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interpublic-my.sharepoint.com/personal/ishank_aggarwal_interactiveavenues_com/Documents/Documents/A_Plan_Automation/raw_plans/"/>
    </mc:Choice>
  </mc:AlternateContent>
  <xr:revisionPtr revIDLastSave="1" documentId="8_{B7BB10E7-658A-423F-8A57-E7AE7E54145B}" xr6:coauthVersionLast="47" xr6:coauthVersionMax="47" xr10:uidLastSave="{9F9C2116-FA37-49CE-93FA-30D5DA34B67D}"/>
  <bookViews>
    <workbookView xWindow="-108" yWindow="-108" windowWidth="23256" windowHeight="12456" tabRatio="749" firstSheet="3" activeTab="3" xr2:uid="{00000000-000D-0000-FFFF-FFFF00000000}"/>
  </bookViews>
  <sheets>
    <sheet name="Plan Summary" sheetId="4" r:id="rId1"/>
    <sheet name="Phase 1 rnf" sheetId="16" state="hidden" r:id="rId2"/>
    <sheet name="Sheet2" sheetId="36" state="hidden" r:id="rId3"/>
    <sheet name="Media Plan Phase 1" sheetId="5" r:id="rId4"/>
    <sheet name="Sheet3" sheetId="37" state="hidden" r:id="rId5"/>
    <sheet name="Media Mix" sheetId="1" state="hidden" r:id="rId6"/>
    <sheet name="Impact SOV" sheetId="8" state="hidden" r:id="rId7"/>
    <sheet name="Media Plan Phase 2" sheetId="14" r:id="rId8"/>
    <sheet name="Media Plan Phase3" sheetId="7" r:id="rId9"/>
    <sheet name="Sheet1" sheetId="32" state="hidden" r:id="rId10"/>
    <sheet name="Euro Cup" sheetId="39" state="hidden" r:id="rId11"/>
    <sheet name="Fashion Sale day Inputs" sheetId="41" r:id="rId12"/>
    <sheet name="Jupiter comp" sheetId="34" r:id="rId13"/>
    <sheet name="Booster- Delhi &amp; Lucknow" sheetId="29" state="hidden" r:id="rId14"/>
    <sheet name="Booster" sheetId="28" state="hidden" r:id="rId15"/>
    <sheet name="Imp scheduling" sheetId="19" r:id="rId16"/>
    <sheet name="Regional Platform Selection" sheetId="27" r:id="rId17"/>
    <sheet name="Impact selection" sheetId="17" r:id="rId18"/>
    <sheet name="Impact Affinity score" sheetId="18" state="hidden" r:id="rId19"/>
    <sheet name="C1 cities" sheetId="21" r:id="rId20"/>
    <sheet name="C2 Cities" sheetId="35" r:id="rId21"/>
    <sheet name="DSP - Suggestion" sheetId="24" state="hidden" r:id="rId22"/>
    <sheet name="Earlier scheduling" sheetId="20" state="hidden" r:id="rId23"/>
  </sheets>
  <externalReferences>
    <externalReference r:id="rId24"/>
  </externalReferences>
  <definedNames>
    <definedName name="_xlnm._FilterDatabase" localSheetId="11" hidden="1">'Fashion Sale day Inputs'!$A$1:$BO$9</definedName>
    <definedName name="_xlnm._FilterDatabase" localSheetId="17" hidden="1">'Impact selection'!$A$2:$P$2</definedName>
    <definedName name="_xlnm._FilterDatabase" localSheetId="12" hidden="1">'Jupiter comp'!$A$3:$N$3</definedName>
    <definedName name="_xlnm._FilterDatabase" localSheetId="3" hidden="1">'Media Plan Phase 1'!$A$1:$EW$70</definedName>
    <definedName name="_xlnm._FilterDatabase" localSheetId="7" hidden="1">'Media Plan Phase 2'!$A$1:$AW$103</definedName>
    <definedName name="_xlnm._FilterDatabase" localSheetId="8" hidden="1">'Media Plan Phase3'!$A$1:$BS$53</definedName>
  </definedNames>
  <calcPr calcId="191028"/>
  <pivotCaches>
    <pivotCache cacheId="9" r:id="rId25"/>
    <pivotCache cacheId="10"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69" i="5" l="1"/>
  <c r="AE69" i="5" s="1"/>
  <c r="AD68" i="5"/>
  <c r="AE68" i="5" s="1"/>
  <c r="AD66" i="5"/>
  <c r="AE66" i="5" s="1"/>
  <c r="AD65" i="5"/>
  <c r="AE65" i="5" s="1"/>
  <c r="AD63" i="5"/>
  <c r="AE63" i="5" s="1"/>
  <c r="AD61" i="5"/>
  <c r="AE61" i="5" s="1"/>
  <c r="AD59" i="5"/>
  <c r="AE59" i="5" s="1"/>
  <c r="AD58" i="5"/>
  <c r="AE58" i="5" s="1"/>
  <c r="AD57" i="5"/>
  <c r="AE57" i="5" s="1"/>
  <c r="AD56" i="5"/>
  <c r="AE56" i="5" s="1"/>
  <c r="AD55" i="5"/>
  <c r="AE55" i="5" s="1"/>
  <c r="AD54" i="5"/>
  <c r="AE54" i="5" s="1"/>
  <c r="AD53" i="5"/>
  <c r="AE53" i="5" s="1"/>
  <c r="AD52" i="5"/>
  <c r="AE52" i="5" s="1"/>
  <c r="AD50" i="5"/>
  <c r="AE50" i="5" s="1"/>
  <c r="AD49" i="5"/>
  <c r="AE49" i="5" s="1"/>
  <c r="AD47" i="5"/>
  <c r="AE47" i="5" s="1"/>
  <c r="AD46" i="5"/>
  <c r="AE46" i="5" s="1"/>
  <c r="AD44" i="5"/>
  <c r="AE44" i="5" s="1"/>
  <c r="AD43" i="5"/>
  <c r="AE43" i="5" s="1"/>
  <c r="AD41" i="5"/>
  <c r="AE41" i="5" s="1"/>
  <c r="AD40" i="5"/>
  <c r="AE40" i="5" s="1"/>
  <c r="AD38" i="5"/>
  <c r="AE38" i="5" s="1"/>
  <c r="AD37" i="5"/>
  <c r="AE37" i="5" s="1"/>
  <c r="AD35" i="5"/>
  <c r="AE35" i="5" s="1"/>
  <c r="AD34" i="5"/>
  <c r="AE34" i="5" s="1"/>
  <c r="AD32" i="5"/>
  <c r="AE32" i="5" s="1"/>
  <c r="AD31" i="5"/>
  <c r="AE31" i="5" s="1"/>
  <c r="AD29" i="5"/>
  <c r="AE29" i="5" s="1"/>
  <c r="AD28" i="5"/>
  <c r="AE28" i="5" s="1"/>
  <c r="AD27" i="5"/>
  <c r="AE27" i="5" s="1"/>
  <c r="AD25" i="5"/>
  <c r="AE25" i="5" s="1"/>
  <c r="AD24" i="5"/>
  <c r="AE24" i="5" s="1"/>
  <c r="AD23" i="5"/>
  <c r="AE23" i="5" s="1"/>
  <c r="AD21" i="5"/>
  <c r="AE21" i="5" s="1"/>
  <c r="AD20" i="5"/>
  <c r="AE20" i="5" s="1"/>
  <c r="AD19" i="5"/>
  <c r="AE19" i="5" s="1"/>
  <c r="AD17" i="5"/>
  <c r="AE17" i="5" s="1"/>
  <c r="AD16" i="5"/>
  <c r="AE16" i="5" s="1"/>
  <c r="AD15" i="5"/>
  <c r="AE15" i="5" s="1"/>
  <c r="AD13" i="5"/>
  <c r="AE13" i="5" s="1"/>
  <c r="AD12" i="5"/>
  <c r="AE12" i="5" s="1"/>
  <c r="AD11" i="5"/>
  <c r="AE11" i="5" s="1"/>
  <c r="AD9" i="5"/>
  <c r="AE9" i="5" s="1"/>
  <c r="AD8" i="5"/>
  <c r="AE8" i="5" s="1"/>
  <c r="AD7" i="5"/>
  <c r="AE7" i="5" s="1"/>
  <c r="AD5" i="5"/>
  <c r="AE5" i="5" s="1"/>
  <c r="AD4" i="5"/>
  <c r="AE4" i="5" s="1"/>
  <c r="AD3" i="5"/>
  <c r="AE3" i="5" s="1"/>
  <c r="O11" i="19"/>
  <c r="X8" i="41"/>
  <c r="Y8" i="41" s="1"/>
  <c r="L8" i="41" l="1"/>
  <c r="U8" i="41" l="1"/>
  <c r="P8" i="41"/>
  <c r="N8" i="41"/>
  <c r="V8" i="41" l="1"/>
  <c r="R8" i="41"/>
  <c r="Q8" i="41"/>
  <c r="AU17" i="7" l="1"/>
  <c r="U6" i="41" s="1"/>
  <c r="L6" i="41" s="1"/>
  <c r="AU15" i="7"/>
  <c r="AU11" i="7"/>
  <c r="U5" i="41" s="1"/>
  <c r="L5" i="41" s="1"/>
  <c r="AU8" i="7"/>
  <c r="U4" i="41" s="1"/>
  <c r="L4" i="41" s="1"/>
  <c r="AU7" i="7"/>
  <c r="U3" i="41" s="1"/>
  <c r="AT8" i="7"/>
  <c r="AP8" i="7"/>
  <c r="BD6" i="41"/>
  <c r="AT6" i="41"/>
  <c r="AS6" i="41"/>
  <c r="AR6" i="41"/>
  <c r="AP6" i="41"/>
  <c r="AO6" i="41"/>
  <c r="AF6" i="41"/>
  <c r="BD5" i="41"/>
  <c r="AT5" i="41"/>
  <c r="AS5" i="41"/>
  <c r="AR5" i="41"/>
  <c r="AP5" i="41"/>
  <c r="AO5" i="41"/>
  <c r="AF5" i="41"/>
  <c r="BD4" i="41"/>
  <c r="AT4" i="41"/>
  <c r="AS4" i="41"/>
  <c r="AR4" i="41"/>
  <c r="AP4" i="41"/>
  <c r="AO4" i="41"/>
  <c r="AF4" i="41"/>
  <c r="BD3" i="41"/>
  <c r="AT3" i="41"/>
  <c r="X3" i="41" s="1"/>
  <c r="Y3" i="41" s="1"/>
  <c r="AS3" i="41"/>
  <c r="AR3" i="41"/>
  <c r="AP3" i="41"/>
  <c r="AO3" i="41"/>
  <c r="AF3" i="41"/>
  <c r="BB37" i="7"/>
  <c r="BB36" i="7"/>
  <c r="X4" i="41" l="1"/>
  <c r="Y4" i="41" s="1"/>
  <c r="X5" i="41"/>
  <c r="Y5" i="41" s="1"/>
  <c r="X6" i="41"/>
  <c r="Y6" i="41" s="1"/>
  <c r="L3" i="41"/>
  <c r="U9" i="41"/>
  <c r="AX4" i="41"/>
  <c r="Q5" i="41"/>
  <c r="X36" i="7"/>
  <c r="Y36" i="7" s="1"/>
  <c r="U36" i="7"/>
  <c r="X37" i="7"/>
  <c r="AA37" i="7" s="1"/>
  <c r="Y9" i="41" l="1"/>
  <c r="U10" i="41"/>
  <c r="U11" i="41" s="1"/>
  <c r="L9" i="41"/>
  <c r="Q3" i="41"/>
  <c r="N5" i="41"/>
  <c r="R5" i="41" s="1"/>
  <c r="AY4" i="41"/>
  <c r="Q4" i="41"/>
  <c r="AX5" i="41"/>
  <c r="N4" i="41"/>
  <c r="BA4" i="41" s="1"/>
  <c r="AD4" i="41"/>
  <c r="AY5" i="41"/>
  <c r="AD5" i="41"/>
  <c r="AL4" i="41"/>
  <c r="AX6" i="41"/>
  <c r="AD6" i="41"/>
  <c r="AY6" i="41"/>
  <c r="N6" i="41"/>
  <c r="R6" i="41" s="1"/>
  <c r="AA36" i="7"/>
  <c r="Y37" i="7"/>
  <c r="U37" i="7"/>
  <c r="AD9" i="41" l="1"/>
  <c r="BB4" i="41"/>
  <c r="BA5" i="41"/>
  <c r="BB5" i="41"/>
  <c r="R4" i="41"/>
  <c r="BA6" i="41"/>
  <c r="BB6" i="41"/>
  <c r="P9" i="41"/>
  <c r="Q37" i="7"/>
  <c r="Q36" i="7"/>
  <c r="P37" i="7"/>
  <c r="P36" i="7"/>
  <c r="N36" i="7"/>
  <c r="N37" i="7"/>
  <c r="BE37" i="7" s="1"/>
  <c r="V6" i="41" l="1"/>
  <c r="V5" i="41"/>
  <c r="V4" i="41"/>
  <c r="V3" i="41"/>
  <c r="BE9" i="41"/>
  <c r="BD9" i="41"/>
  <c r="R36" i="7"/>
  <c r="BE36" i="7"/>
  <c r="R37" i="7"/>
  <c r="BI35" i="7"/>
  <c r="BH35" i="7"/>
  <c r="BF35" i="7"/>
  <c r="BE35" i="7"/>
  <c r="BC35" i="7"/>
  <c r="BB35" i="7"/>
  <c r="K66" i="5"/>
  <c r="K65" i="5"/>
  <c r="L9" i="7"/>
  <c r="AQ4" i="7"/>
  <c r="AQ7" i="7"/>
  <c r="AV7" i="7" s="1"/>
  <c r="AW7" i="7" s="1"/>
  <c r="AQ8" i="7"/>
  <c r="AV8" i="7" s="1"/>
  <c r="AW8" i="7" s="1"/>
  <c r="AQ9" i="7"/>
  <c r="AQ10" i="7"/>
  <c r="AQ11" i="7"/>
  <c r="AQ13" i="7"/>
  <c r="AQ17" i="7"/>
  <c r="AV17" i="7" s="1"/>
  <c r="AW17" i="7" s="1"/>
  <c r="AQ20" i="7"/>
  <c r="AQ21" i="7"/>
  <c r="AQ22" i="7"/>
  <c r="AQ3" i="7"/>
  <c r="AJ19" i="7"/>
  <c r="AQ19" i="7" s="1"/>
  <c r="AJ18" i="7"/>
  <c r="AQ18" i="7" s="1"/>
  <c r="AJ16" i="7"/>
  <c r="AQ16" i="7" s="1"/>
  <c r="AJ15" i="7"/>
  <c r="AJ14" i="7"/>
  <c r="AQ14" i="7" s="1"/>
  <c r="AJ12" i="7"/>
  <c r="AQ12" i="7" s="1"/>
  <c r="AJ6" i="7"/>
  <c r="AQ6" i="7" s="1"/>
  <c r="AJ5" i="7"/>
  <c r="AQ5" i="7" s="1"/>
  <c r="BC52" i="7"/>
  <c r="BB52" i="7"/>
  <c r="BI24" i="7"/>
  <c r="BH24" i="7"/>
  <c r="BI23" i="7"/>
  <c r="BH23" i="7"/>
  <c r="BI22" i="7"/>
  <c r="BH22" i="7"/>
  <c r="BI52" i="7"/>
  <c r="BI41" i="7"/>
  <c r="BI47" i="7"/>
  <c r="BI38" i="7"/>
  <c r="BH52" i="7"/>
  <c r="BH38" i="7"/>
  <c r="BH41" i="7"/>
  <c r="BH47" i="7"/>
  <c r="BH29" i="7"/>
  <c r="BH4" i="7"/>
  <c r="BH5" i="7"/>
  <c r="BH6" i="7"/>
  <c r="BH7" i="7"/>
  <c r="BH8" i="7"/>
  <c r="BH9" i="7"/>
  <c r="BH10" i="7"/>
  <c r="BH11" i="7"/>
  <c r="BH12" i="7"/>
  <c r="BH13" i="7"/>
  <c r="BH14" i="7"/>
  <c r="BH15" i="7"/>
  <c r="BH16" i="7"/>
  <c r="BH17" i="7"/>
  <c r="BH18" i="7"/>
  <c r="BH19" i="7"/>
  <c r="BH20" i="7"/>
  <c r="BH21" i="7"/>
  <c r="BH3" i="7"/>
  <c r="BI29" i="7"/>
  <c r="BC23" i="7"/>
  <c r="BB23" i="7"/>
  <c r="AX11" i="7"/>
  <c r="X11" i="7" s="1"/>
  <c r="Y11" i="7" s="1"/>
  <c r="AT11" i="7"/>
  <c r="AS11" i="7"/>
  <c r="AP11" i="7"/>
  <c r="AF11" i="7"/>
  <c r="S11" i="7" l="1"/>
  <c r="AV11" i="7"/>
  <c r="AW11" i="7" s="1"/>
  <c r="AQ15" i="7"/>
  <c r="AV15" i="7" s="1"/>
  <c r="AW15" i="7" s="1"/>
  <c r="U11" i="7"/>
  <c r="L11" i="7"/>
  <c r="BC11" i="7" l="1"/>
  <c r="Q11" i="7"/>
  <c r="AD11" i="7"/>
  <c r="BB11" i="7"/>
  <c r="N11" i="7"/>
  <c r="BF11" i="7" s="1"/>
  <c r="R11" i="7" l="1"/>
  <c r="BE11" i="7"/>
  <c r="B9" i="4"/>
  <c r="S10" i="7"/>
  <c r="W89" i="14" l="1"/>
  <c r="K89" i="14" s="1"/>
  <c r="W88" i="14"/>
  <c r="K88" i="14" s="1"/>
  <c r="O88" i="14" s="1"/>
  <c r="W86" i="14"/>
  <c r="K86" i="14" s="1"/>
  <c r="T86" i="14" s="1"/>
  <c r="W85" i="14"/>
  <c r="K85" i="14" s="1"/>
  <c r="T85" i="14" s="1"/>
  <c r="W82" i="14"/>
  <c r="K82" i="14" s="1"/>
  <c r="W83" i="14"/>
  <c r="K83" i="14" s="1"/>
  <c r="T83" i="14" s="1"/>
  <c r="O89" i="14" l="1"/>
  <c r="T89" i="14"/>
  <c r="P89" i="14" s="1"/>
  <c r="M88" i="14"/>
  <c r="T88" i="14"/>
  <c r="M89" i="14"/>
  <c r="P86" i="14"/>
  <c r="M85" i="14"/>
  <c r="Q85" i="14" s="1"/>
  <c r="O85" i="14"/>
  <c r="O86" i="14"/>
  <c r="M86" i="14"/>
  <c r="Q86" i="14" s="1"/>
  <c r="O83" i="14"/>
  <c r="M83" i="14"/>
  <c r="Q83" i="14" s="1"/>
  <c r="M82" i="14"/>
  <c r="O82" i="14"/>
  <c r="T82" i="14"/>
  <c r="P85" i="14"/>
  <c r="P83" i="14"/>
  <c r="Q89" i="14" l="1"/>
  <c r="Q82" i="14"/>
  <c r="Q88" i="14"/>
  <c r="P88" i="14"/>
  <c r="P82" i="14"/>
  <c r="W99" i="14" l="1"/>
  <c r="X99" i="14" s="1"/>
  <c r="W98" i="14"/>
  <c r="K98" i="14" s="1"/>
  <c r="T98" i="14" s="1"/>
  <c r="K99" i="14" l="1"/>
  <c r="T99" i="14" s="1"/>
  <c r="X98" i="14"/>
  <c r="Y79" i="14"/>
  <c r="W79" i="14" s="1"/>
  <c r="K79" i="14" s="1"/>
  <c r="O79" i="14" l="1"/>
  <c r="M79" i="14"/>
  <c r="T79" i="14"/>
  <c r="P79" i="14" s="1"/>
  <c r="X79" i="14"/>
  <c r="AB79" i="14" s="1"/>
  <c r="AX21" i="7"/>
  <c r="X21" i="7" s="1"/>
  <c r="Y21" i="7" s="1"/>
  <c r="AT21" i="7"/>
  <c r="AS21" i="7"/>
  <c r="AP21" i="7"/>
  <c r="U21" i="7" s="1"/>
  <c r="AF21" i="7"/>
  <c r="AX3" i="7"/>
  <c r="X3" i="7" s="1"/>
  <c r="Y3" i="7" s="1"/>
  <c r="AT3" i="7"/>
  <c r="AS3" i="7"/>
  <c r="AP3" i="7"/>
  <c r="AF3" i="7"/>
  <c r="U3" i="7" l="1"/>
  <c r="L3" i="7"/>
  <c r="BB3" i="7" s="1"/>
  <c r="Q79" i="14"/>
  <c r="L21" i="7"/>
  <c r="BC21" i="7" s="1"/>
  <c r="BC3" i="7" l="1"/>
  <c r="AL3" i="7"/>
  <c r="AD21" i="7"/>
  <c r="BB21" i="7"/>
  <c r="N21" i="7"/>
  <c r="Q21" i="7"/>
  <c r="S21" i="7" s="1"/>
  <c r="N3" i="7"/>
  <c r="R3" i="7" s="1"/>
  <c r="AD3" i="7"/>
  <c r="Q3" i="7"/>
  <c r="S3" i="7" s="1"/>
  <c r="BF21" i="7" l="1"/>
  <c r="BE21" i="7"/>
  <c r="R21" i="7"/>
  <c r="BE3" i="7"/>
  <c r="BF3" i="7"/>
  <c r="M100" i="14" l="1"/>
  <c r="Y100" i="14"/>
  <c r="T102" i="14"/>
  <c r="E63" i="4" l="1"/>
  <c r="E64" i="4"/>
  <c r="E67" i="4"/>
  <c r="E68" i="4"/>
  <c r="E51" i="4" l="1"/>
  <c r="E50" i="4"/>
  <c r="E46" i="4"/>
  <c r="E47" i="4"/>
  <c r="E34" i="4"/>
  <c r="E29" i="4"/>
  <c r="E30" i="4"/>
  <c r="E17" i="4"/>
  <c r="E11" i="4"/>
  <c r="E12" i="4"/>
  <c r="E33" i="4" l="1"/>
  <c r="E16" i="4"/>
  <c r="X52" i="7" l="1"/>
  <c r="Y52" i="7" s="1"/>
  <c r="N52" i="7"/>
  <c r="W96" i="14"/>
  <c r="X96" i="14" s="1"/>
  <c r="W95" i="14"/>
  <c r="K95" i="14" s="1"/>
  <c r="W93" i="14"/>
  <c r="X93" i="14" s="1"/>
  <c r="W92" i="14"/>
  <c r="X92" i="14" s="1"/>
  <c r="BF52" i="7" l="1"/>
  <c r="BE52" i="7"/>
  <c r="O95" i="14"/>
  <c r="K93" i="14"/>
  <c r="T93" i="14" s="1"/>
  <c r="P93" i="14" s="1"/>
  <c r="K92" i="14"/>
  <c r="T92" i="14" s="1"/>
  <c r="P92" i="14" s="1"/>
  <c r="R52" i="7"/>
  <c r="X95" i="14"/>
  <c r="K96" i="14"/>
  <c r="T96" i="14" s="1"/>
  <c r="T95" i="14"/>
  <c r="X100" i="14" l="1"/>
  <c r="Z100" i="14" s="1"/>
  <c r="K100" i="14"/>
  <c r="P95" i="14"/>
  <c r="T100" i="14"/>
  <c r="Q93" i="14"/>
  <c r="Q92" i="14"/>
  <c r="O93" i="14"/>
  <c r="O92" i="14"/>
  <c r="O96" i="14"/>
  <c r="AC100" i="14" l="1"/>
  <c r="O100" i="14"/>
  <c r="L5" i="39"/>
  <c r="L6" i="39" s="1"/>
  <c r="N5" i="39"/>
  <c r="P5" i="39"/>
  <c r="S5" i="39"/>
  <c r="S6" i="39" s="1"/>
  <c r="K6" i="39"/>
  <c r="M102" i="14" l="1"/>
  <c r="U23" i="7"/>
  <c r="Q23" i="7" s="1"/>
  <c r="N23" i="7"/>
  <c r="P102" i="14" l="1"/>
  <c r="X23" i="7"/>
  <c r="Y23" i="7" s="1"/>
  <c r="Q102" i="14"/>
  <c r="W102" i="14"/>
  <c r="R23" i="7"/>
  <c r="X49" i="7" l="1"/>
  <c r="L49" i="7" s="1"/>
  <c r="U49" i="7" l="1"/>
  <c r="P49" i="7"/>
  <c r="N49" i="7"/>
  <c r="BC49" i="7"/>
  <c r="BB49" i="7"/>
  <c r="Y49" i="7"/>
  <c r="BH49" i="7" l="1"/>
  <c r="BI49" i="7"/>
  <c r="BF49" i="7"/>
  <c r="BE49" i="7"/>
  <c r="R49" i="7"/>
  <c r="Q49" i="7"/>
  <c r="X28" i="7" l="1"/>
  <c r="Y28" i="7" s="1"/>
  <c r="AC28" i="7" s="1"/>
  <c r="X27" i="7"/>
  <c r="L27" i="7" s="1"/>
  <c r="X26" i="7"/>
  <c r="Y26" i="7" s="1"/>
  <c r="AC26" i="7" s="1"/>
  <c r="X25" i="7"/>
  <c r="Y25" i="7" s="1"/>
  <c r="AC25" i="7" s="1"/>
  <c r="BB27" i="7" l="1"/>
  <c r="BC27" i="7"/>
  <c r="L25" i="7"/>
  <c r="L28" i="7"/>
  <c r="P27" i="7"/>
  <c r="N27" i="7"/>
  <c r="U27" i="7"/>
  <c r="Y27" i="7"/>
  <c r="AC27" i="7" s="1"/>
  <c r="L26" i="7"/>
  <c r="BI27" i="7" l="1"/>
  <c r="BH27" i="7"/>
  <c r="BB26" i="7"/>
  <c r="BC26" i="7"/>
  <c r="BF27" i="7"/>
  <c r="BE27" i="7"/>
  <c r="BB28" i="7"/>
  <c r="BC28" i="7"/>
  <c r="BC25" i="7"/>
  <c r="BB25" i="7"/>
  <c r="U25" i="7"/>
  <c r="N25" i="7"/>
  <c r="P25" i="7"/>
  <c r="U28" i="7"/>
  <c r="P28" i="7"/>
  <c r="N28" i="7"/>
  <c r="Q27" i="7"/>
  <c r="V27" i="7"/>
  <c r="R27" i="7"/>
  <c r="P26" i="7"/>
  <c r="N26" i="7"/>
  <c r="U26" i="7"/>
  <c r="W58" i="14"/>
  <c r="K58" i="14" s="1"/>
  <c r="W56" i="14"/>
  <c r="K56" i="14" s="1"/>
  <c r="W54" i="14"/>
  <c r="K54" i="14" s="1"/>
  <c r="W52" i="14"/>
  <c r="K52" i="14" s="1"/>
  <c r="BE26" i="7" l="1"/>
  <c r="BF26" i="7"/>
  <c r="BF28" i="7"/>
  <c r="BE28" i="7"/>
  <c r="BI25" i="7"/>
  <c r="BH25" i="7"/>
  <c r="BI26" i="7"/>
  <c r="BH26" i="7"/>
  <c r="BH28" i="7"/>
  <c r="BI28" i="7"/>
  <c r="BF25" i="7"/>
  <c r="BE25" i="7"/>
  <c r="V25" i="7"/>
  <c r="Q25" i="7"/>
  <c r="R25" i="7"/>
  <c r="V28" i="7"/>
  <c r="R28" i="7"/>
  <c r="Q28" i="7"/>
  <c r="Q26" i="7"/>
  <c r="V26" i="7"/>
  <c r="R26" i="7"/>
  <c r="O58" i="14"/>
  <c r="M58" i="14"/>
  <c r="T58" i="14"/>
  <c r="X58" i="14"/>
  <c r="AB58" i="14" s="1"/>
  <c r="O56" i="14"/>
  <c r="M56" i="14"/>
  <c r="T56" i="14"/>
  <c r="X56" i="14"/>
  <c r="AB56" i="14" s="1"/>
  <c r="O54" i="14"/>
  <c r="T54" i="14"/>
  <c r="M54" i="14"/>
  <c r="X54" i="14"/>
  <c r="AB54" i="14" s="1"/>
  <c r="O52" i="14"/>
  <c r="M52" i="14"/>
  <c r="T52" i="14"/>
  <c r="P52" i="14" s="1"/>
  <c r="X52" i="14"/>
  <c r="AB52" i="14" s="1"/>
  <c r="V57" i="5"/>
  <c r="W57" i="5" s="1"/>
  <c r="V56" i="5"/>
  <c r="W56" i="5" s="1"/>
  <c r="E4" i="37"/>
  <c r="E5" i="37"/>
  <c r="E6" i="37"/>
  <c r="E7" i="37"/>
  <c r="E8" i="37"/>
  <c r="E9" i="37"/>
  <c r="E10" i="37"/>
  <c r="E11" i="37"/>
  <c r="E12" i="37"/>
  <c r="E13" i="37"/>
  <c r="E14" i="37"/>
  <c r="E15" i="37"/>
  <c r="E16" i="37"/>
  <c r="E17" i="37"/>
  <c r="E18" i="37"/>
  <c r="E19" i="37"/>
  <c r="E20" i="37"/>
  <c r="E4" i="36"/>
  <c r="E5" i="36"/>
  <c r="E6" i="36"/>
  <c r="E7" i="36"/>
  <c r="E8" i="36"/>
  <c r="E9" i="36"/>
  <c r="E10" i="36"/>
  <c r="Q58" i="14" l="1"/>
  <c r="P58" i="14"/>
  <c r="P56" i="14"/>
  <c r="Q56" i="14"/>
  <c r="Q54" i="14"/>
  <c r="P54" i="14"/>
  <c r="Q52" i="14"/>
  <c r="K57" i="5"/>
  <c r="S57" i="5" s="1"/>
  <c r="P57" i="5" s="1"/>
  <c r="K56" i="5"/>
  <c r="O57" i="5" l="1"/>
  <c r="S56" i="5"/>
  <c r="O56" i="5"/>
  <c r="AX22" i="7"/>
  <c r="X22" i="7" s="1"/>
  <c r="Y22" i="7" s="1"/>
  <c r="AT22" i="7"/>
  <c r="AS22" i="7"/>
  <c r="AP22" i="7"/>
  <c r="U22" i="7" s="1"/>
  <c r="AF22" i="7"/>
  <c r="V69" i="5"/>
  <c r="W69" i="5" s="1"/>
  <c r="V68" i="5"/>
  <c r="W68" i="5" s="1"/>
  <c r="P56" i="5" l="1"/>
  <c r="K69" i="5"/>
  <c r="S69" i="5" s="1"/>
  <c r="P69" i="5" s="1"/>
  <c r="L22" i="7"/>
  <c r="K68" i="5"/>
  <c r="N40" i="7"/>
  <c r="N39" i="7"/>
  <c r="AH39" i="7"/>
  <c r="M70" i="14"/>
  <c r="K70" i="14" s="1"/>
  <c r="M69" i="14"/>
  <c r="K69" i="14" s="1"/>
  <c r="R40" i="7" l="1"/>
  <c r="BE40" i="7"/>
  <c r="BF40" i="7"/>
  <c r="R39" i="7"/>
  <c r="BF39" i="7"/>
  <c r="BE39" i="7"/>
  <c r="L39" i="7"/>
  <c r="L40" i="7"/>
  <c r="M69" i="5"/>
  <c r="Q69" i="5" s="1"/>
  <c r="S68" i="5"/>
  <c r="M68" i="5"/>
  <c r="AD22" i="7"/>
  <c r="BC22" i="7"/>
  <c r="BB22" i="7"/>
  <c r="N22" i="7"/>
  <c r="Q22" i="7"/>
  <c r="S22" i="7" s="1"/>
  <c r="O69" i="14"/>
  <c r="X46" i="7"/>
  <c r="Q39" i="7" l="1"/>
  <c r="BB39" i="7"/>
  <c r="BC39" i="7"/>
  <c r="Q40" i="7"/>
  <c r="BB40" i="7"/>
  <c r="BC40" i="7"/>
  <c r="P39" i="7"/>
  <c r="P40" i="7"/>
  <c r="Q68" i="5"/>
  <c r="P68" i="5"/>
  <c r="BF22" i="7"/>
  <c r="BE22" i="7"/>
  <c r="R22" i="7"/>
  <c r="BI40" i="7" l="1"/>
  <c r="BH40" i="7"/>
  <c r="BH39" i="7"/>
  <c r="BI39" i="7"/>
  <c r="P69" i="14"/>
  <c r="Q69" i="14"/>
  <c r="O70" i="14"/>
  <c r="P70" i="14" l="1"/>
  <c r="Q70" i="14"/>
  <c r="BB29" i="7"/>
  <c r="BC29" i="7"/>
  <c r="BE29" i="7"/>
  <c r="BF29" i="7"/>
  <c r="L30" i="7"/>
  <c r="L31" i="7"/>
  <c r="P31" i="7" s="1"/>
  <c r="W9" i="14"/>
  <c r="K9" i="14" s="1"/>
  <c r="T9" i="14" s="1"/>
  <c r="P9" i="14" s="1"/>
  <c r="W77" i="14"/>
  <c r="K77" i="14" s="1"/>
  <c r="T77" i="14" s="1"/>
  <c r="W76" i="14"/>
  <c r="BI31" i="7" l="1"/>
  <c r="BH31" i="7"/>
  <c r="BB30" i="7"/>
  <c r="N30" i="7"/>
  <c r="BE30" i="7" s="1"/>
  <c r="P77" i="14"/>
  <c r="N31" i="7"/>
  <c r="BE31" i="7" s="1"/>
  <c r="X30" i="7"/>
  <c r="AA30" i="7" s="1"/>
  <c r="Q30" i="7"/>
  <c r="P30" i="7"/>
  <c r="BC30" i="7"/>
  <c r="BC31" i="7"/>
  <c r="BB31" i="7"/>
  <c r="X31" i="7"/>
  <c r="Q31" i="7"/>
  <c r="X77" i="14"/>
  <c r="M77" i="14"/>
  <c r="BH30" i="7" l="1"/>
  <c r="BI30" i="7"/>
  <c r="BF30" i="7"/>
  <c r="R30" i="7"/>
  <c r="Q77" i="14"/>
  <c r="Y30" i="7"/>
  <c r="R31" i="7"/>
  <c r="BF31" i="7"/>
  <c r="Y31" i="7"/>
  <c r="AA31" i="7"/>
  <c r="AX7" i="7" l="1"/>
  <c r="X7" i="7" s="1"/>
  <c r="Y7" i="7" s="1"/>
  <c r="AT7" i="7"/>
  <c r="AS7" i="7"/>
  <c r="AP7" i="7"/>
  <c r="AF7" i="7"/>
  <c r="W63" i="14"/>
  <c r="U7" i="7" l="1"/>
  <c r="L7" i="7"/>
  <c r="L34" i="7"/>
  <c r="BB34" i="7" s="1"/>
  <c r="L46" i="7"/>
  <c r="U46" i="7" l="1"/>
  <c r="BC7" i="7"/>
  <c r="AD7" i="7"/>
  <c r="Q7" i="7"/>
  <c r="S7" i="7" s="1"/>
  <c r="N7" i="7"/>
  <c r="BB7" i="7"/>
  <c r="BC34" i="7"/>
  <c r="N34" i="7"/>
  <c r="P34" i="7"/>
  <c r="Q34" i="7"/>
  <c r="X34" i="7"/>
  <c r="N46" i="7"/>
  <c r="BB46" i="7"/>
  <c r="P46" i="7"/>
  <c r="BC46" i="7"/>
  <c r="Y46" i="7"/>
  <c r="BH34" i="7" l="1"/>
  <c r="BI34" i="7"/>
  <c r="BH46" i="7"/>
  <c r="BI46" i="7"/>
  <c r="BE7" i="7"/>
  <c r="R7" i="7"/>
  <c r="BF7" i="7"/>
  <c r="AA34" i="7"/>
  <c r="Y34" i="7"/>
  <c r="BF34" i="7"/>
  <c r="BE34" i="7"/>
  <c r="R34" i="7"/>
  <c r="BF46" i="7"/>
  <c r="BE46" i="7"/>
  <c r="R46" i="7"/>
  <c r="Q46" i="7"/>
  <c r="BF38" i="7" l="1"/>
  <c r="BF41" i="7"/>
  <c r="BF47" i="7"/>
  <c r="BE38" i="7"/>
  <c r="BE41" i="7"/>
  <c r="BE47" i="7"/>
  <c r="BC47" i="7"/>
  <c r="BB47" i="7"/>
  <c r="BC41" i="7"/>
  <c r="BB41" i="7"/>
  <c r="BC38" i="7"/>
  <c r="BB38" i="7"/>
  <c r="AF8" i="7" l="1"/>
  <c r="AF6" i="7"/>
  <c r="AF5" i="7"/>
  <c r="AF4" i="7"/>
  <c r="AS4" i="7"/>
  <c r="W53" i="14" l="1"/>
  <c r="K53" i="14" s="1"/>
  <c r="W55" i="14"/>
  <c r="K55" i="14" s="1"/>
  <c r="W57" i="14"/>
  <c r="K57" i="14" s="1"/>
  <c r="W50" i="14"/>
  <c r="K50" i="14" s="1"/>
  <c r="W49" i="14"/>
  <c r="K49" i="14" s="1"/>
  <c r="W47" i="14"/>
  <c r="K47" i="14" s="1"/>
  <c r="T47" i="14" s="1"/>
  <c r="W46" i="14"/>
  <c r="K46" i="14" s="1"/>
  <c r="T46" i="14" s="1"/>
  <c r="W44" i="14"/>
  <c r="K44" i="14" s="1"/>
  <c r="W43" i="14"/>
  <c r="K43" i="14" s="1"/>
  <c r="T43" i="14" s="1"/>
  <c r="W41" i="14"/>
  <c r="K41" i="14" s="1"/>
  <c r="T41" i="14" s="1"/>
  <c r="W40" i="14"/>
  <c r="K40" i="14" s="1"/>
  <c r="W38" i="14"/>
  <c r="K38" i="14" s="1"/>
  <c r="W37" i="14"/>
  <c r="K37" i="14" s="1"/>
  <c r="T37" i="14" s="1"/>
  <c r="W35" i="14"/>
  <c r="K35" i="14" s="1"/>
  <c r="W34" i="14"/>
  <c r="K34" i="14" s="1"/>
  <c r="T34" i="14" s="1"/>
  <c r="W32" i="14"/>
  <c r="K32" i="14" s="1"/>
  <c r="T32" i="14" s="1"/>
  <c r="W31" i="14"/>
  <c r="K31" i="14" s="1"/>
  <c r="T31" i="14" s="1"/>
  <c r="W28" i="14"/>
  <c r="K28" i="14" s="1"/>
  <c r="W27" i="14"/>
  <c r="K27" i="14" s="1"/>
  <c r="W24" i="14"/>
  <c r="K24" i="14" s="1"/>
  <c r="W20" i="14"/>
  <c r="K20" i="14" s="1"/>
  <c r="W12" i="14"/>
  <c r="K12" i="14" s="1"/>
  <c r="W8" i="14"/>
  <c r="K8" i="14" s="1"/>
  <c r="W5" i="14"/>
  <c r="K5" i="14" s="1"/>
  <c r="W4" i="14"/>
  <c r="Y3" i="14"/>
  <c r="W3" i="14" s="1"/>
  <c r="M37" i="14" l="1"/>
  <c r="Q37" i="14" s="1"/>
  <c r="O37" i="14"/>
  <c r="M57" i="14"/>
  <c r="O57" i="14"/>
  <c r="T57" i="14"/>
  <c r="T55" i="14"/>
  <c r="O55" i="14"/>
  <c r="M55" i="14"/>
  <c r="M53" i="14"/>
  <c r="O53" i="14"/>
  <c r="T53" i="14"/>
  <c r="O49" i="14"/>
  <c r="M49" i="14"/>
  <c r="T49" i="14"/>
  <c r="T50" i="14"/>
  <c r="O50" i="14"/>
  <c r="M50" i="14"/>
  <c r="P47" i="14"/>
  <c r="M47" i="14"/>
  <c r="Q47" i="14" s="1"/>
  <c r="O47" i="14"/>
  <c r="M46" i="14"/>
  <c r="Q46" i="14" s="1"/>
  <c r="O46" i="14"/>
  <c r="T44" i="14"/>
  <c r="M44" i="14"/>
  <c r="O44" i="14"/>
  <c r="M43" i="14"/>
  <c r="Q43" i="14" s="1"/>
  <c r="O43" i="14"/>
  <c r="T40" i="14"/>
  <c r="O40" i="14"/>
  <c r="M40" i="14"/>
  <c r="P41" i="14"/>
  <c r="M41" i="14"/>
  <c r="Q41" i="14" s="1"/>
  <c r="O41" i="14"/>
  <c r="T38" i="14"/>
  <c r="M38" i="14"/>
  <c r="O38" i="14"/>
  <c r="T35" i="14"/>
  <c r="O35" i="14"/>
  <c r="M35" i="14"/>
  <c r="M34" i="14"/>
  <c r="Q34" i="14" s="1"/>
  <c r="O34" i="14"/>
  <c r="P32" i="14"/>
  <c r="M32" i="14"/>
  <c r="Q32" i="14" s="1"/>
  <c r="O32" i="14"/>
  <c r="M31" i="14"/>
  <c r="Q31" i="14" s="1"/>
  <c r="O31" i="14"/>
  <c r="T28" i="14"/>
  <c r="O28" i="14"/>
  <c r="M28" i="14"/>
  <c r="M27" i="14"/>
  <c r="T27" i="14"/>
  <c r="O27" i="14"/>
  <c r="O24" i="14"/>
  <c r="M24" i="14"/>
  <c r="T24" i="14"/>
  <c r="O20" i="14"/>
  <c r="M20" i="14"/>
  <c r="T20" i="14"/>
  <c r="O12" i="14"/>
  <c r="T12" i="14"/>
  <c r="M12" i="14"/>
  <c r="O8" i="14"/>
  <c r="M8" i="14"/>
  <c r="T8" i="14"/>
  <c r="Q55" i="14" l="1"/>
  <c r="P55" i="14"/>
  <c r="P53" i="14"/>
  <c r="Q53" i="14"/>
  <c r="P57" i="14"/>
  <c r="Q57" i="14"/>
  <c r="Q50" i="14"/>
  <c r="P50" i="14"/>
  <c r="Q49" i="14"/>
  <c r="Q44" i="14"/>
  <c r="P44" i="14"/>
  <c r="Q40" i="14"/>
  <c r="Q38" i="14"/>
  <c r="P38" i="14"/>
  <c r="Q35" i="14"/>
  <c r="P35" i="14"/>
  <c r="Q27" i="14"/>
  <c r="Q28" i="14"/>
  <c r="P28" i="14"/>
  <c r="Q24" i="14"/>
  <c r="P24" i="14"/>
  <c r="Q20" i="14"/>
  <c r="P20" i="14"/>
  <c r="Q12" i="14"/>
  <c r="P12" i="14"/>
  <c r="Q8" i="14"/>
  <c r="P8" i="14"/>
  <c r="AS4" i="32" l="1"/>
  <c r="W4" i="32" s="1"/>
  <c r="X4" i="32" s="1"/>
  <c r="AR4" i="32"/>
  <c r="AQ4" i="32"/>
  <c r="AN4" i="32"/>
  <c r="T4" i="32" s="1"/>
  <c r="AE4" i="32"/>
  <c r="AF4" i="32" s="1"/>
  <c r="L4" i="32" l="1"/>
  <c r="AX4" i="32" s="1"/>
  <c r="U4" i="32"/>
  <c r="X76" i="14"/>
  <c r="X45" i="7"/>
  <c r="L45" i="7" s="1"/>
  <c r="X44" i="7"/>
  <c r="Y44" i="7" s="1"/>
  <c r="X43" i="7"/>
  <c r="Y43" i="7" s="1"/>
  <c r="X42" i="7"/>
  <c r="L42" i="7" s="1"/>
  <c r="W73" i="14"/>
  <c r="K73" i="14" s="1"/>
  <c r="W74" i="14"/>
  <c r="K74" i="14" s="1"/>
  <c r="W75" i="14"/>
  <c r="X75" i="14" s="1"/>
  <c r="W72" i="14"/>
  <c r="K72" i="14" s="1"/>
  <c r="T72" i="14" s="1"/>
  <c r="T74" i="14" l="1"/>
  <c r="P74" i="14" s="1"/>
  <c r="T73" i="14"/>
  <c r="U42" i="7"/>
  <c r="Q42" i="7" s="1"/>
  <c r="U45" i="7"/>
  <c r="AC4" i="32"/>
  <c r="N4" i="32"/>
  <c r="AZ4" i="32" s="1"/>
  <c r="AW4" i="32"/>
  <c r="Q4" i="32"/>
  <c r="S4" i="32" s="1"/>
  <c r="BC45" i="7"/>
  <c r="BB45" i="7"/>
  <c r="BC42" i="7"/>
  <c r="BB42" i="7"/>
  <c r="K76" i="14"/>
  <c r="T76" i="14" s="1"/>
  <c r="P45" i="7"/>
  <c r="N45" i="7"/>
  <c r="Y45" i="7"/>
  <c r="L44" i="7"/>
  <c r="L43" i="7"/>
  <c r="M73" i="14"/>
  <c r="O73" i="14"/>
  <c r="M74" i="14"/>
  <c r="O74" i="14"/>
  <c r="X74" i="14"/>
  <c r="K75" i="14"/>
  <c r="X73" i="14"/>
  <c r="X72" i="14"/>
  <c r="P42" i="7"/>
  <c r="N42" i="7"/>
  <c r="Y42" i="7"/>
  <c r="M72" i="14"/>
  <c r="O72" i="14"/>
  <c r="BI42" i="7" l="1"/>
  <c r="BH42" i="7"/>
  <c r="BI45" i="7"/>
  <c r="BH45" i="7"/>
  <c r="T75" i="14"/>
  <c r="P75" i="14" s="1"/>
  <c r="U44" i="7"/>
  <c r="Q44" i="7" s="1"/>
  <c r="U43" i="7"/>
  <c r="Q43" i="7" s="1"/>
  <c r="R4" i="32"/>
  <c r="BA4" i="32"/>
  <c r="BB43" i="7"/>
  <c r="BC43" i="7"/>
  <c r="BC44" i="7"/>
  <c r="BB44" i="7"/>
  <c r="BE45" i="7"/>
  <c r="BF45" i="7"/>
  <c r="BF42" i="7"/>
  <c r="BE42" i="7"/>
  <c r="P72" i="14"/>
  <c r="N43" i="7"/>
  <c r="M76" i="14"/>
  <c r="O76" i="14"/>
  <c r="N44" i="7"/>
  <c r="P44" i="7"/>
  <c r="Q45" i="7"/>
  <c r="R45" i="7"/>
  <c r="P43" i="7"/>
  <c r="Q72" i="14"/>
  <c r="R42" i="7"/>
  <c r="Q73" i="14"/>
  <c r="Q74" i="14"/>
  <c r="O75" i="14"/>
  <c r="M75" i="14"/>
  <c r="P73" i="14"/>
  <c r="BI43" i="7" l="1"/>
  <c r="BH43" i="7"/>
  <c r="BI44" i="7"/>
  <c r="BH44" i="7"/>
  <c r="Q76" i="14"/>
  <c r="R44" i="7"/>
  <c r="BE44" i="7"/>
  <c r="BF44" i="7"/>
  <c r="R43" i="7"/>
  <c r="BF43" i="7"/>
  <c r="BE43" i="7"/>
  <c r="P76" i="14"/>
  <c r="Q75" i="14"/>
  <c r="AC13" i="29" l="1"/>
  <c r="AD13" i="29" s="1"/>
  <c r="W13" i="29"/>
  <c r="K13" i="29"/>
  <c r="P13" i="29" s="1"/>
  <c r="AC11" i="29"/>
  <c r="AD11" i="29" s="1"/>
  <c r="W11" i="29"/>
  <c r="K11" i="29"/>
  <c r="U11" i="29" s="1"/>
  <c r="AC8" i="29"/>
  <c r="AD8" i="29" s="1"/>
  <c r="K8" i="29"/>
  <c r="U8" i="29" s="1"/>
  <c r="V8" i="29" s="1"/>
  <c r="K6" i="29"/>
  <c r="U6" i="29" s="1"/>
  <c r="V6" i="29" s="1"/>
  <c r="W6" i="29"/>
  <c r="W7" i="29" s="1"/>
  <c r="W8" i="29" s="1"/>
  <c r="AC5" i="29"/>
  <c r="AD5" i="29" s="1"/>
  <c r="AC6" i="29"/>
  <c r="AD6" i="29" s="1"/>
  <c r="AC7" i="29"/>
  <c r="AD7" i="29" s="1"/>
  <c r="K5" i="29"/>
  <c r="U5" i="29" s="1"/>
  <c r="AC12" i="29"/>
  <c r="AD12" i="29" s="1"/>
  <c r="M11" i="29" l="1"/>
  <c r="Q11" i="29" s="1"/>
  <c r="M8" i="29"/>
  <c r="Q8" i="29" s="1"/>
  <c r="U13" i="29"/>
  <c r="M13" i="29"/>
  <c r="Q13" i="29" s="1"/>
  <c r="P11" i="29"/>
  <c r="P8" i="29"/>
  <c r="M6" i="29"/>
  <c r="Q6" i="29" s="1"/>
  <c r="P6" i="29"/>
  <c r="M5" i="29"/>
  <c r="Q5" i="29" s="1"/>
  <c r="O5" i="29"/>
  <c r="P5" i="29"/>
  <c r="V5" i="29"/>
  <c r="X5" i="29"/>
  <c r="K7" i="29"/>
  <c r="K12" i="29"/>
  <c r="P12" i="29" s="1"/>
  <c r="K4" i="29"/>
  <c r="K14" i="29"/>
  <c r="AC10" i="29"/>
  <c r="AD10" i="29" s="1"/>
  <c r="P7" i="29" l="1"/>
  <c r="U7" i="29"/>
  <c r="V7" i="29" s="1"/>
  <c r="M12" i="29"/>
  <c r="Q12" i="29" s="1"/>
  <c r="U12" i="29"/>
  <c r="V12" i="29" s="1"/>
  <c r="U4" i="29"/>
  <c r="X4" i="29" s="1"/>
  <c r="P4" i="29"/>
  <c r="P14" i="29"/>
  <c r="M7" i="29"/>
  <c r="Q7" i="29" s="1"/>
  <c r="AC14" i="29"/>
  <c r="AD14" i="29" s="1"/>
  <c r="U14" i="29"/>
  <c r="V14" i="29" s="1"/>
  <c r="Z14" i="29" s="1"/>
  <c r="AC4" i="29"/>
  <c r="AD4" i="29" s="1"/>
  <c r="M4" i="29" l="1"/>
  <c r="O4" i="29"/>
  <c r="V4" i="29"/>
  <c r="Z4" i="29" s="1"/>
  <c r="G15" i="27"/>
  <c r="G16" i="27"/>
  <c r="G17" i="27"/>
  <c r="G18" i="27"/>
  <c r="E14" i="27"/>
  <c r="G25" i="27"/>
  <c r="G26" i="27"/>
  <c r="G27" i="27"/>
  <c r="G28" i="27"/>
  <c r="G29" i="27"/>
  <c r="F25" i="27"/>
  <c r="F26" i="27"/>
  <c r="F27" i="27"/>
  <c r="F28" i="27"/>
  <c r="F29" i="27"/>
  <c r="E25" i="27"/>
  <c r="E26" i="27"/>
  <c r="E27" i="27"/>
  <c r="E28" i="27"/>
  <c r="E29" i="27"/>
  <c r="G24" i="27"/>
  <c r="F24" i="27"/>
  <c r="E24" i="27"/>
  <c r="F18" i="27"/>
  <c r="E18" i="27"/>
  <c r="F17" i="27"/>
  <c r="E17" i="27"/>
  <c r="F16" i="27"/>
  <c r="E16" i="27"/>
  <c r="F15" i="27"/>
  <c r="E15" i="27"/>
  <c r="G14" i="27"/>
  <c r="F14" i="27"/>
  <c r="G9" i="27"/>
  <c r="F9" i="27"/>
  <c r="E9" i="27"/>
  <c r="G8" i="27"/>
  <c r="F8" i="27"/>
  <c r="E8" i="27"/>
  <c r="G7" i="27"/>
  <c r="F7" i="27"/>
  <c r="E7" i="27"/>
  <c r="G6" i="27"/>
  <c r="F6" i="27"/>
  <c r="E6" i="27"/>
  <c r="G5" i="27"/>
  <c r="F5" i="27"/>
  <c r="E5" i="27"/>
  <c r="G4" i="27"/>
  <c r="F4" i="27"/>
  <c r="E4" i="27"/>
  <c r="AF17" i="7"/>
  <c r="AF9" i="7"/>
  <c r="E6" i="24"/>
  <c r="D6" i="24"/>
  <c r="F5" i="24"/>
  <c r="F4" i="24"/>
  <c r="H17" i="27" l="1"/>
  <c r="H7" i="27"/>
  <c r="H5" i="27"/>
  <c r="H24" i="27"/>
  <c r="H14" i="27"/>
  <c r="H4" i="27"/>
  <c r="H27" i="27"/>
  <c r="H26" i="27"/>
  <c r="F6" i="24"/>
  <c r="M14" i="29"/>
  <c r="Q14" i="29" s="1"/>
  <c r="Q4" i="29"/>
  <c r="H16" i="27"/>
  <c r="H18" i="27"/>
  <c r="H6" i="27"/>
  <c r="H29" i="27"/>
  <c r="H25" i="27"/>
  <c r="H15" i="27"/>
  <c r="H28" i="27"/>
  <c r="H8" i="27"/>
  <c r="H9" i="27"/>
  <c r="AT19" i="7"/>
  <c r="AS19" i="7"/>
  <c r="L32" i="7" l="1"/>
  <c r="L33" i="7"/>
  <c r="N33" i="7" l="1"/>
  <c r="BC33" i="7"/>
  <c r="BB33" i="7"/>
  <c r="N32" i="7"/>
  <c r="BC32" i="7"/>
  <c r="BB32" i="7"/>
  <c r="X33" i="7"/>
  <c r="X32" i="7"/>
  <c r="Q33" i="7"/>
  <c r="Q32" i="7"/>
  <c r="P32" i="7"/>
  <c r="P33" i="7"/>
  <c r="BH32" i="7" l="1"/>
  <c r="BI32" i="7"/>
  <c r="BH33" i="7"/>
  <c r="BI33" i="7"/>
  <c r="R33" i="7"/>
  <c r="BE33" i="7"/>
  <c r="BF33" i="7"/>
  <c r="R32" i="7"/>
  <c r="BE32" i="7"/>
  <c r="BF32" i="7"/>
  <c r="AA33" i="7"/>
  <c r="Y33" i="7"/>
  <c r="AA32" i="7"/>
  <c r="Y32" i="7"/>
  <c r="AF20" i="7" l="1"/>
  <c r="AF19" i="7"/>
  <c r="AF18" i="7"/>
  <c r="AF16" i="7"/>
  <c r="AF15" i="7"/>
  <c r="AF14" i="7"/>
  <c r="AF12" i="7"/>
  <c r="AF10" i="7"/>
  <c r="W62" i="14" l="1"/>
  <c r="X62" i="14" s="1"/>
  <c r="AB62" i="14" s="1"/>
  <c r="K62" i="14" l="1"/>
  <c r="T62" i="14" l="1"/>
  <c r="P62" i="14" s="1"/>
  <c r="M62" i="14"/>
  <c r="O62" i="14"/>
  <c r="Q62" i="14" l="1"/>
  <c r="AX17" i="7" l="1"/>
  <c r="X51" i="7" l="1"/>
  <c r="X50" i="7"/>
  <c r="L50" i="7" s="1"/>
  <c r="X48" i="7"/>
  <c r="L48" i="7" s="1"/>
  <c r="W59" i="14"/>
  <c r="K59" i="14" s="1"/>
  <c r="V29" i="5"/>
  <c r="V25" i="5"/>
  <c r="V21" i="5"/>
  <c r="V17" i="5"/>
  <c r="V13" i="5"/>
  <c r="V9" i="5"/>
  <c r="K9" i="5" s="1"/>
  <c r="S9" i="5" s="1"/>
  <c r="V5" i="5"/>
  <c r="K5" i="5" s="1"/>
  <c r="V49" i="5"/>
  <c r="K49" i="5" s="1"/>
  <c r="V46" i="5"/>
  <c r="K46" i="5" s="1"/>
  <c r="V43" i="5"/>
  <c r="K43" i="5" s="1"/>
  <c r="V40" i="5"/>
  <c r="K40" i="5" s="1"/>
  <c r="V37" i="5"/>
  <c r="K37" i="5" s="1"/>
  <c r="V34" i="5"/>
  <c r="K34" i="5" s="1"/>
  <c r="V31" i="5"/>
  <c r="K31" i="5" s="1"/>
  <c r="V27" i="5"/>
  <c r="K27" i="5" s="1"/>
  <c r="V23" i="5"/>
  <c r="K23" i="5" s="1"/>
  <c r="V19" i="5"/>
  <c r="K19" i="5" s="1"/>
  <c r="V15" i="5"/>
  <c r="K15" i="5" s="1"/>
  <c r="V11" i="5"/>
  <c r="K11" i="5" s="1"/>
  <c r="V7" i="5"/>
  <c r="K7" i="5" s="1"/>
  <c r="V50" i="5"/>
  <c r="K50" i="5" s="1"/>
  <c r="M50" i="5" s="1"/>
  <c r="V47" i="5"/>
  <c r="K47" i="5" s="1"/>
  <c r="V44" i="5"/>
  <c r="K44" i="5" s="1"/>
  <c r="S44" i="5" s="1"/>
  <c r="V41" i="5"/>
  <c r="K41" i="5" s="1"/>
  <c r="V38" i="5"/>
  <c r="K38" i="5" s="1"/>
  <c r="M38" i="5" s="1"/>
  <c r="V35" i="5"/>
  <c r="K35" i="5" s="1"/>
  <c r="V32" i="5"/>
  <c r="K32" i="5" s="1"/>
  <c r="S32" i="5" s="1"/>
  <c r="V28" i="5"/>
  <c r="K28" i="5" s="1"/>
  <c r="V24" i="5"/>
  <c r="K24" i="5" s="1"/>
  <c r="V20" i="5"/>
  <c r="K20" i="5" s="1"/>
  <c r="M20" i="5" s="1"/>
  <c r="V16" i="5"/>
  <c r="K16" i="5" s="1"/>
  <c r="S16" i="5" s="1"/>
  <c r="V12" i="5"/>
  <c r="K12" i="5" s="1"/>
  <c r="S12" i="5" s="1"/>
  <c r="V8" i="5"/>
  <c r="K8" i="5" s="1"/>
  <c r="V55" i="5"/>
  <c r="K55" i="5" s="1"/>
  <c r="S55" i="5" s="1"/>
  <c r="V54" i="5"/>
  <c r="K54" i="5" s="1"/>
  <c r="S54" i="5" s="1"/>
  <c r="V53" i="5"/>
  <c r="K53" i="5" s="1"/>
  <c r="S53" i="5" s="1"/>
  <c r="V52" i="5"/>
  <c r="K52" i="5" s="1"/>
  <c r="AH49" i="5"/>
  <c r="AH46" i="5"/>
  <c r="AH43" i="5"/>
  <c r="AH40" i="5"/>
  <c r="AH37" i="5"/>
  <c r="AH34" i="5"/>
  <c r="AH31" i="5"/>
  <c r="AH27" i="5"/>
  <c r="AH23" i="5"/>
  <c r="AH19" i="5"/>
  <c r="AH15" i="5"/>
  <c r="AH11" i="5"/>
  <c r="AH7" i="5"/>
  <c r="AH3" i="5"/>
  <c r="AG49" i="5"/>
  <c r="AG46" i="5"/>
  <c r="AG43" i="5"/>
  <c r="AG40" i="5"/>
  <c r="AG37" i="5"/>
  <c r="AG34" i="5"/>
  <c r="AG31" i="5"/>
  <c r="AG27" i="5"/>
  <c r="AG23" i="5"/>
  <c r="AG19" i="5"/>
  <c r="AG15" i="5"/>
  <c r="AG11" i="5"/>
  <c r="AG7" i="5"/>
  <c r="K29" i="5" l="1"/>
  <c r="S29" i="5" s="1"/>
  <c r="K21" i="5"/>
  <c r="S21" i="5" s="1"/>
  <c r="K13" i="5"/>
  <c r="S13" i="5" s="1"/>
  <c r="K25" i="5"/>
  <c r="S25" i="5" s="1"/>
  <c r="K17" i="5"/>
  <c r="S17" i="5" s="1"/>
  <c r="B70" i="4"/>
  <c r="L51" i="7"/>
  <c r="T59" i="14"/>
  <c r="BC48" i="7"/>
  <c r="BB48" i="7"/>
  <c r="BC50" i="7"/>
  <c r="BB50" i="7"/>
  <c r="O40" i="5"/>
  <c r="S40" i="5" s="1"/>
  <c r="O43" i="5"/>
  <c r="S43" i="5" s="1"/>
  <c r="O11" i="5"/>
  <c r="S11" i="5" s="1"/>
  <c r="O19" i="5"/>
  <c r="S19" i="5" s="1"/>
  <c r="O46" i="5"/>
  <c r="S46" i="5" s="1"/>
  <c r="O49" i="5"/>
  <c r="S49" i="5" s="1"/>
  <c r="O27" i="5"/>
  <c r="S27" i="5" s="1"/>
  <c r="O31" i="5"/>
  <c r="S31" i="5" s="1"/>
  <c r="O7" i="5"/>
  <c r="S7" i="5" s="1"/>
  <c r="O34" i="5"/>
  <c r="S34" i="5" s="1"/>
  <c r="O15" i="5"/>
  <c r="S15" i="5" s="1"/>
  <c r="O23" i="5"/>
  <c r="S23" i="5" s="1"/>
  <c r="O37" i="5"/>
  <c r="S37" i="5" s="1"/>
  <c r="N50" i="7"/>
  <c r="M5" i="5"/>
  <c r="S5" i="5"/>
  <c r="M35" i="5"/>
  <c r="O35" i="5"/>
  <c r="O8" i="5"/>
  <c r="S8" i="5"/>
  <c r="S28" i="5"/>
  <c r="O28" i="5"/>
  <c r="S41" i="5"/>
  <c r="O41" i="5"/>
  <c r="M24" i="5"/>
  <c r="S24" i="5"/>
  <c r="M47" i="5"/>
  <c r="O47" i="5"/>
  <c r="O12" i="5"/>
  <c r="O20" i="5"/>
  <c r="S38" i="5"/>
  <c r="S50" i="5"/>
  <c r="P12" i="5"/>
  <c r="P44" i="5"/>
  <c r="P32" i="5"/>
  <c r="P16" i="5"/>
  <c r="M16" i="5"/>
  <c r="Q16" i="5" s="1"/>
  <c r="M32" i="5"/>
  <c r="Q32" i="5" s="1"/>
  <c r="M44" i="5"/>
  <c r="Q44" i="5" s="1"/>
  <c r="O16" i="5"/>
  <c r="O32" i="5"/>
  <c r="O44" i="5"/>
  <c r="M12" i="5"/>
  <c r="Q12" i="5" s="1"/>
  <c r="S20" i="5"/>
  <c r="M28" i="5"/>
  <c r="S35" i="5"/>
  <c r="M41" i="5"/>
  <c r="S47" i="5"/>
  <c r="M8" i="5"/>
  <c r="O24" i="5"/>
  <c r="O38" i="5"/>
  <c r="O50" i="5"/>
  <c r="BC51" i="7" l="1"/>
  <c r="BB51" i="7"/>
  <c r="N51" i="7"/>
  <c r="BF51" i="7" s="1"/>
  <c r="P24" i="5"/>
  <c r="P50" i="5"/>
  <c r="P38" i="5"/>
  <c r="P41" i="5"/>
  <c r="P8" i="5"/>
  <c r="P28" i="5"/>
  <c r="U50" i="7"/>
  <c r="BE50" i="7"/>
  <c r="BF50" i="7"/>
  <c r="U48" i="7"/>
  <c r="N48" i="7"/>
  <c r="Q41" i="5"/>
  <c r="Q8" i="5"/>
  <c r="Q50" i="5"/>
  <c r="Q28" i="5"/>
  <c r="Q38" i="5"/>
  <c r="Q24" i="5"/>
  <c r="Q35" i="5"/>
  <c r="P35" i="5"/>
  <c r="Q47" i="5"/>
  <c r="P47" i="5"/>
  <c r="P20" i="5"/>
  <c r="Q20" i="5"/>
  <c r="U51" i="7" l="1"/>
  <c r="BE51" i="7"/>
  <c r="BE48" i="7"/>
  <c r="BF48" i="7"/>
  <c r="AG59" i="5" l="1"/>
  <c r="AG58" i="5"/>
  <c r="AH59" i="5"/>
  <c r="AH58" i="5"/>
  <c r="AI59" i="5" l="1"/>
  <c r="AJ59" i="5" s="1"/>
  <c r="AI58" i="5"/>
  <c r="AJ58" i="5" s="1"/>
  <c r="X57" i="14" l="1"/>
  <c r="AB57" i="14" s="1"/>
  <c r="O59" i="14"/>
  <c r="M59" i="14"/>
  <c r="Q59" i="14" s="1"/>
  <c r="P59" i="14"/>
  <c r="X59" i="14" l="1"/>
  <c r="AB59" i="14" s="1"/>
  <c r="M34" i="17" l="1"/>
  <c r="L34" i="17"/>
  <c r="K34" i="17"/>
  <c r="J34" i="17"/>
  <c r="I34" i="17"/>
  <c r="H34" i="17"/>
  <c r="M47" i="17"/>
  <c r="L47" i="17"/>
  <c r="K47" i="17"/>
  <c r="J47" i="17"/>
  <c r="I47" i="17"/>
  <c r="H47" i="17"/>
  <c r="M44" i="17"/>
  <c r="G44" i="17"/>
  <c r="F44" i="17"/>
  <c r="E44" i="17"/>
  <c r="C44" i="17"/>
  <c r="M24" i="17"/>
  <c r="G24" i="17"/>
  <c r="F24" i="17"/>
  <c r="E24" i="17"/>
  <c r="C24" i="17"/>
  <c r="M28" i="17"/>
  <c r="L28" i="17"/>
  <c r="K28" i="17"/>
  <c r="J28" i="17"/>
  <c r="I28" i="17"/>
  <c r="H28" i="17"/>
  <c r="M35" i="17"/>
  <c r="F35" i="17"/>
  <c r="E35" i="17"/>
  <c r="C35" i="17"/>
  <c r="M46" i="17"/>
  <c r="L46" i="17"/>
  <c r="K46" i="17"/>
  <c r="J46" i="17"/>
  <c r="I46" i="17"/>
  <c r="H46" i="17"/>
  <c r="M38" i="17"/>
  <c r="G38" i="17"/>
  <c r="F38" i="17"/>
  <c r="E38" i="17"/>
  <c r="C38" i="17"/>
  <c r="M18" i="17"/>
  <c r="L18" i="17"/>
  <c r="K18" i="17"/>
  <c r="J18" i="17"/>
  <c r="I18" i="17"/>
  <c r="H18" i="17"/>
  <c r="M41" i="17"/>
  <c r="G41" i="17"/>
  <c r="F41" i="17"/>
  <c r="E41" i="17"/>
  <c r="C41" i="17"/>
  <c r="M43" i="17"/>
  <c r="L43" i="17"/>
  <c r="K43" i="17"/>
  <c r="J43" i="17"/>
  <c r="I43" i="17"/>
  <c r="H43" i="17"/>
  <c r="M26" i="17"/>
  <c r="L26" i="17"/>
  <c r="K26" i="17"/>
  <c r="J26" i="17"/>
  <c r="I26" i="17"/>
  <c r="H26" i="17"/>
  <c r="M22" i="17"/>
  <c r="L22" i="17"/>
  <c r="K22" i="17"/>
  <c r="J22" i="17"/>
  <c r="I22" i="17"/>
  <c r="H22" i="17"/>
  <c r="M16" i="17"/>
  <c r="L16" i="17"/>
  <c r="K16" i="17"/>
  <c r="J16" i="17"/>
  <c r="I16" i="17"/>
  <c r="H16" i="17"/>
  <c r="M25" i="17"/>
  <c r="G25" i="17"/>
  <c r="F25" i="17"/>
  <c r="E25" i="17"/>
  <c r="C25" i="17"/>
  <c r="M40" i="17"/>
  <c r="L40" i="17"/>
  <c r="K40" i="17"/>
  <c r="J40" i="17"/>
  <c r="I40" i="17"/>
  <c r="H40" i="17"/>
  <c r="M12" i="17"/>
  <c r="L12" i="17"/>
  <c r="K12" i="17"/>
  <c r="J12" i="17"/>
  <c r="I12" i="17"/>
  <c r="H12" i="17"/>
  <c r="M32" i="17"/>
  <c r="L32" i="17"/>
  <c r="K32" i="17"/>
  <c r="J32" i="17"/>
  <c r="I32" i="17"/>
  <c r="H32" i="17"/>
  <c r="M31" i="17"/>
  <c r="L31" i="17"/>
  <c r="K31" i="17"/>
  <c r="J31" i="17"/>
  <c r="I31" i="17"/>
  <c r="H31" i="17"/>
  <c r="M27" i="17"/>
  <c r="L27" i="17"/>
  <c r="K27" i="17"/>
  <c r="J27" i="17"/>
  <c r="I27" i="17"/>
  <c r="H27" i="17"/>
  <c r="M37" i="17"/>
  <c r="L37" i="17"/>
  <c r="K37" i="17"/>
  <c r="J37" i="17"/>
  <c r="I37" i="17"/>
  <c r="H37" i="17"/>
  <c r="M45" i="17"/>
  <c r="L45" i="17"/>
  <c r="K45" i="17"/>
  <c r="J45" i="17"/>
  <c r="I45" i="17"/>
  <c r="H45" i="17"/>
  <c r="M23" i="17"/>
  <c r="L23" i="17"/>
  <c r="K23" i="17"/>
  <c r="J23" i="17"/>
  <c r="I23" i="17"/>
  <c r="H23" i="17"/>
  <c r="M39" i="17"/>
  <c r="L39" i="17"/>
  <c r="K39" i="17"/>
  <c r="J39" i="17"/>
  <c r="I39" i="17"/>
  <c r="H39" i="17"/>
  <c r="M36" i="17"/>
  <c r="L36" i="17"/>
  <c r="K36" i="17"/>
  <c r="J36" i="17"/>
  <c r="I36" i="17"/>
  <c r="H36" i="17"/>
  <c r="M13" i="17"/>
  <c r="L13" i="17"/>
  <c r="K13" i="17"/>
  <c r="J13" i="17"/>
  <c r="I13" i="17"/>
  <c r="H13" i="17"/>
  <c r="M33" i="17"/>
  <c r="L33" i="17"/>
  <c r="K33" i="17"/>
  <c r="J33" i="17"/>
  <c r="I33" i="17"/>
  <c r="H33" i="17"/>
  <c r="M20" i="17"/>
  <c r="L20" i="17"/>
  <c r="K20" i="17"/>
  <c r="J20" i="17"/>
  <c r="I20" i="17"/>
  <c r="H20" i="17"/>
  <c r="M42" i="17"/>
  <c r="G42" i="17"/>
  <c r="F42" i="17"/>
  <c r="E42" i="17"/>
  <c r="C42" i="17"/>
  <c r="M17" i="17"/>
  <c r="L17" i="17"/>
  <c r="K17" i="17"/>
  <c r="J17" i="17"/>
  <c r="I17" i="17"/>
  <c r="H17" i="17"/>
  <c r="M10" i="17"/>
  <c r="L10" i="17"/>
  <c r="K10" i="17"/>
  <c r="J10" i="17"/>
  <c r="I10" i="17"/>
  <c r="H10" i="17"/>
  <c r="M29" i="17"/>
  <c r="L29" i="17"/>
  <c r="K29" i="17"/>
  <c r="J29" i="17"/>
  <c r="I29" i="17"/>
  <c r="H29" i="17"/>
  <c r="M6" i="17"/>
  <c r="L6" i="17"/>
  <c r="K6" i="17"/>
  <c r="J6" i="17"/>
  <c r="I6" i="17"/>
  <c r="H6" i="17"/>
  <c r="M11" i="17"/>
  <c r="L11" i="17"/>
  <c r="K11" i="17"/>
  <c r="J11" i="17"/>
  <c r="I11" i="17"/>
  <c r="H11" i="17"/>
  <c r="M15" i="17"/>
  <c r="L15" i="17"/>
  <c r="K15" i="17"/>
  <c r="J15" i="17"/>
  <c r="I15" i="17"/>
  <c r="H15" i="17"/>
  <c r="M30" i="17"/>
  <c r="L30" i="17"/>
  <c r="K30" i="17"/>
  <c r="J30" i="17"/>
  <c r="I30" i="17"/>
  <c r="H30" i="17"/>
  <c r="M9" i="17"/>
  <c r="L9" i="17"/>
  <c r="K9" i="17"/>
  <c r="J9" i="17"/>
  <c r="I9" i="17"/>
  <c r="H9" i="17"/>
  <c r="M21" i="17"/>
  <c r="L21" i="17"/>
  <c r="K21" i="17"/>
  <c r="J21" i="17"/>
  <c r="I21" i="17"/>
  <c r="H21" i="17"/>
  <c r="M5" i="17"/>
  <c r="L5" i="17"/>
  <c r="K5" i="17"/>
  <c r="J5" i="17"/>
  <c r="I5" i="17"/>
  <c r="H5" i="17"/>
  <c r="M3" i="17"/>
  <c r="K3" i="17"/>
  <c r="H3" i="17"/>
  <c r="F3" i="17"/>
  <c r="J3" i="17" s="1"/>
  <c r="M19" i="17"/>
  <c r="L19" i="17"/>
  <c r="K19" i="17"/>
  <c r="J19" i="17"/>
  <c r="I19" i="17"/>
  <c r="H19" i="17"/>
  <c r="M14" i="17"/>
  <c r="L14" i="17"/>
  <c r="K14" i="17"/>
  <c r="J14" i="17"/>
  <c r="I14" i="17"/>
  <c r="H14" i="17"/>
  <c r="M8" i="17"/>
  <c r="L8" i="17"/>
  <c r="K8" i="17"/>
  <c r="J8" i="17"/>
  <c r="I8" i="17"/>
  <c r="H8" i="17"/>
  <c r="M7" i="17"/>
  <c r="L7" i="17"/>
  <c r="K7" i="17"/>
  <c r="J7" i="17"/>
  <c r="I7" i="17"/>
  <c r="H7" i="17"/>
  <c r="M4" i="17"/>
  <c r="L4" i="17"/>
  <c r="K4" i="17"/>
  <c r="J4" i="17"/>
  <c r="I4" i="17"/>
  <c r="H4" i="17"/>
  <c r="H44" i="17" l="1"/>
  <c r="H38" i="17"/>
  <c r="H42" i="17"/>
  <c r="I35" i="17"/>
  <c r="H35" i="17"/>
  <c r="L35" i="17"/>
  <c r="I41" i="17"/>
  <c r="H41" i="17"/>
  <c r="I42" i="17"/>
  <c r="J24" i="17"/>
  <c r="L24" i="17"/>
  <c r="J38" i="17"/>
  <c r="L41" i="17"/>
  <c r="J25" i="17"/>
  <c r="L25" i="17"/>
  <c r="J42" i="17"/>
  <c r="L38" i="17"/>
  <c r="J44" i="17"/>
  <c r="K42" i="17"/>
  <c r="I24" i="17"/>
  <c r="K44" i="17"/>
  <c r="J35" i="17"/>
  <c r="K24" i="17"/>
  <c r="I25" i="17"/>
  <c r="K35" i="17"/>
  <c r="K38" i="17"/>
  <c r="L3" i="17"/>
  <c r="K25" i="17"/>
  <c r="J41" i="17"/>
  <c r="L44" i="17"/>
  <c r="H25" i="17"/>
  <c r="L42" i="17"/>
  <c r="H24" i="17"/>
  <c r="K41" i="17"/>
  <c r="I38" i="17"/>
  <c r="I44" i="17"/>
  <c r="N32" i="17" l="1"/>
  <c r="N38" i="17"/>
  <c r="O19" i="17"/>
  <c r="N16" i="17"/>
  <c r="N22" i="17"/>
  <c r="N44" i="17"/>
  <c r="N34" i="17"/>
  <c r="N24" i="17"/>
  <c r="N31" i="17"/>
  <c r="N39" i="17"/>
  <c r="O25" i="17"/>
  <c r="N8" i="17"/>
  <c r="N26" i="17"/>
  <c r="N12" i="17"/>
  <c r="O4" i="17"/>
  <c r="O32" i="17"/>
  <c r="P32" i="17" s="1"/>
  <c r="O31" i="17"/>
  <c r="O27" i="17"/>
  <c r="N17" i="17"/>
  <c r="N33" i="17"/>
  <c r="O26" i="17"/>
  <c r="N13" i="17"/>
  <c r="N45" i="17"/>
  <c r="N37" i="17"/>
  <c r="O36" i="17"/>
  <c r="O35" i="17"/>
  <c r="N42" i="17"/>
  <c r="O18" i="17"/>
  <c r="O33" i="17"/>
  <c r="O42" i="17"/>
  <c r="N23" i="17"/>
  <c r="N35" i="17"/>
  <c r="N15" i="17"/>
  <c r="N18" i="17"/>
  <c r="N9" i="17"/>
  <c r="O38" i="17"/>
  <c r="O43" i="17"/>
  <c r="O15" i="17"/>
  <c r="O34" i="17"/>
  <c r="O22" i="17"/>
  <c r="N27" i="17"/>
  <c r="O20" i="17"/>
  <c r="N36" i="17"/>
  <c r="N41" i="17"/>
  <c r="N29" i="17"/>
  <c r="O39" i="17"/>
  <c r="N11" i="17"/>
  <c r="N14" i="17"/>
  <c r="N4" i="17"/>
  <c r="O41" i="17"/>
  <c r="O28" i="17"/>
  <c r="O21" i="17"/>
  <c r="O37" i="17"/>
  <c r="O14" i="17"/>
  <c r="O5" i="17"/>
  <c r="O30" i="17"/>
  <c r="O29" i="17"/>
  <c r="N28" i="17"/>
  <c r="N19" i="17"/>
  <c r="N43" i="17"/>
  <c r="N6" i="17"/>
  <c r="N40" i="17"/>
  <c r="O47" i="17"/>
  <c r="N20" i="17"/>
  <c r="O24" i="17"/>
  <c r="O44" i="17"/>
  <c r="O7" i="17"/>
  <c r="N5" i="17"/>
  <c r="N7" i="17"/>
  <c r="O12" i="17"/>
  <c r="O13" i="17"/>
  <c r="O6" i="17"/>
  <c r="N47" i="17"/>
  <c r="O10" i="17"/>
  <c r="O40" i="17"/>
  <c r="O17" i="17"/>
  <c r="O3" i="17"/>
  <c r="N21" i="17"/>
  <c r="N10" i="17"/>
  <c r="O46" i="17"/>
  <c r="N3" i="17"/>
  <c r="N46" i="17"/>
  <c r="N25" i="17"/>
  <c r="O16" i="17"/>
  <c r="N30" i="17"/>
  <c r="O8" i="17"/>
  <c r="O9" i="17"/>
  <c r="O23" i="17"/>
  <c r="O45" i="17"/>
  <c r="O11" i="17"/>
  <c r="P16" i="17" l="1"/>
  <c r="P25" i="17"/>
  <c r="P4" i="17"/>
  <c r="P19" i="17"/>
  <c r="P38" i="17"/>
  <c r="P24" i="17"/>
  <c r="P22" i="17"/>
  <c r="P39" i="17"/>
  <c r="P10" i="17"/>
  <c r="P15" i="17"/>
  <c r="P11" i="17"/>
  <c r="P44" i="17"/>
  <c r="P14" i="17"/>
  <c r="P47" i="17"/>
  <c r="P27" i="17"/>
  <c r="P31" i="17"/>
  <c r="P3" i="17"/>
  <c r="P20" i="17"/>
  <c r="P35" i="17"/>
  <c r="P37" i="17"/>
  <c r="P34" i="17"/>
  <c r="P21" i="17"/>
  <c r="P40" i="17"/>
  <c r="P17" i="17"/>
  <c r="P36" i="17"/>
  <c r="P9" i="17"/>
  <c r="P42" i="17"/>
  <c r="P46" i="17"/>
  <c r="P28" i="17"/>
  <c r="P18" i="17"/>
  <c r="P23" i="17"/>
  <c r="P45" i="17"/>
  <c r="P12" i="17"/>
  <c r="P7" i="17"/>
  <c r="P26" i="17"/>
  <c r="P13" i="17"/>
  <c r="P30" i="17"/>
  <c r="P6" i="17"/>
  <c r="P29" i="17"/>
  <c r="P5" i="17"/>
  <c r="P43" i="17"/>
  <c r="P41" i="17"/>
  <c r="P33" i="17"/>
  <c r="P8" i="17"/>
  <c r="R48" i="7" l="1"/>
  <c r="Q48" i="7" l="1"/>
  <c r="P48" i="7"/>
  <c r="BH48" i="7" l="1"/>
  <c r="BI48" i="7"/>
  <c r="Y48" i="7"/>
  <c r="AX20" i="7" l="1"/>
  <c r="X20" i="7" s="1"/>
  <c r="AX9" i="7"/>
  <c r="X9" i="7" s="1"/>
  <c r="AX19" i="7"/>
  <c r="X19" i="7" s="1"/>
  <c r="AX18" i="7"/>
  <c r="X18" i="7" s="1"/>
  <c r="AX15" i="7"/>
  <c r="X15" i="7" s="1"/>
  <c r="AX16" i="7"/>
  <c r="X16" i="7" s="1"/>
  <c r="X17" i="7"/>
  <c r="AX14" i="7"/>
  <c r="X14" i="7" s="1"/>
  <c r="AX13" i="7"/>
  <c r="X13" i="7" s="1"/>
  <c r="AX12" i="7"/>
  <c r="X12" i="7" s="1"/>
  <c r="AX10" i="7"/>
  <c r="X10" i="7" s="1"/>
  <c r="AX8" i="7"/>
  <c r="X8" i="7" s="1"/>
  <c r="AX6" i="7"/>
  <c r="X6" i="7" s="1"/>
  <c r="AX5" i="7"/>
  <c r="X5" i="7" s="1"/>
  <c r="AX4" i="7"/>
  <c r="X4" i="7" s="1"/>
  <c r="D54" i="16" l="1"/>
  <c r="D50" i="16" s="1"/>
  <c r="B54" i="16"/>
  <c r="C53" i="16" s="1"/>
  <c r="G17" i="16"/>
  <c r="G16" i="16"/>
  <c r="G15" i="16"/>
  <c r="G14" i="16"/>
  <c r="G13" i="16"/>
  <c r="G12" i="16"/>
  <c r="G11" i="16"/>
  <c r="G10" i="16"/>
  <c r="G9" i="16"/>
  <c r="G8" i="16"/>
  <c r="G7" i="16"/>
  <c r="G6" i="16"/>
  <c r="G5" i="16"/>
  <c r="G4" i="16"/>
  <c r="F17" i="16"/>
  <c r="F16" i="16"/>
  <c r="F15" i="16"/>
  <c r="F14" i="16"/>
  <c r="F13" i="16"/>
  <c r="F12" i="16"/>
  <c r="F11" i="16"/>
  <c r="F10" i="16"/>
  <c r="F9" i="16"/>
  <c r="F8" i="16"/>
  <c r="F7" i="16"/>
  <c r="F6" i="16"/>
  <c r="F5" i="16"/>
  <c r="F4" i="16"/>
  <c r="D44" i="16" l="1"/>
  <c r="D47" i="16"/>
  <c r="D46" i="16"/>
  <c r="D41" i="16"/>
  <c r="E54" i="16"/>
  <c r="D52" i="16"/>
  <c r="D51" i="16"/>
  <c r="C40" i="16"/>
  <c r="C48" i="16"/>
  <c r="C46" i="16"/>
  <c r="C47" i="16"/>
  <c r="C41" i="16"/>
  <c r="C49" i="16"/>
  <c r="C42" i="16"/>
  <c r="C50" i="16"/>
  <c r="C43" i="16"/>
  <c r="C51" i="16"/>
  <c r="C44" i="16"/>
  <c r="C52" i="16"/>
  <c r="C45" i="16"/>
  <c r="E40" i="16" l="1"/>
  <c r="E42" i="16"/>
  <c r="E43" i="16"/>
  <c r="E45" i="16"/>
  <c r="E48" i="16"/>
  <c r="E49" i="16"/>
  <c r="E53" i="16"/>
  <c r="AT20" i="7"/>
  <c r="AT18" i="7"/>
  <c r="AT17" i="7"/>
  <c r="AT16" i="7"/>
  <c r="AT15" i="7"/>
  <c r="AT14" i="7"/>
  <c r="AT13" i="7"/>
  <c r="AT12" i="7"/>
  <c r="AT10" i="7"/>
  <c r="AT9" i="7"/>
  <c r="AT6" i="7"/>
  <c r="AT5" i="7"/>
  <c r="AT4" i="7"/>
  <c r="AS20" i="7" l="1"/>
  <c r="AP20" i="7"/>
  <c r="L20" i="7" s="1"/>
  <c r="Y19" i="7"/>
  <c r="AP19" i="7"/>
  <c r="BC20" i="7" l="1"/>
  <c r="BB20" i="7"/>
  <c r="U19" i="7"/>
  <c r="L19" i="7"/>
  <c r="AL19" i="7" s="1"/>
  <c r="N20" i="7"/>
  <c r="U20" i="7"/>
  <c r="Q20" i="7" s="1"/>
  <c r="S20" i="7" s="1"/>
  <c r="AD20" i="7"/>
  <c r="Y20" i="7"/>
  <c r="AD19" i="7" l="1"/>
  <c r="BC19" i="7"/>
  <c r="BB19" i="7"/>
  <c r="BF20" i="7"/>
  <c r="BE20" i="7"/>
  <c r="Q19" i="7"/>
  <c r="S19" i="7" s="1"/>
  <c r="N19" i="7"/>
  <c r="R20" i="7"/>
  <c r="R19" i="7" l="1"/>
  <c r="BF19" i="7"/>
  <c r="BE19" i="7"/>
  <c r="C39" i="8"/>
  <c r="D39" i="8" s="1"/>
  <c r="E39" i="8" s="1"/>
  <c r="C38" i="8"/>
  <c r="D37" i="8"/>
  <c r="D36" i="8"/>
  <c r="D34" i="8" s="1"/>
  <c r="C34" i="8"/>
  <c r="X63" i="5"/>
  <c r="V63" i="5" s="1"/>
  <c r="K63" i="5" s="1"/>
  <c r="S63" i="5" s="1"/>
  <c r="D38" i="8" l="1"/>
  <c r="E36" i="8"/>
  <c r="E34" i="8" s="1"/>
  <c r="E37" i="8"/>
  <c r="AG55" i="5" l="1"/>
  <c r="AG54" i="5"/>
  <c r="AG53" i="5"/>
  <c r="AG52" i="5"/>
  <c r="F35" i="16" l="1"/>
  <c r="P63" i="5"/>
  <c r="F36" i="16"/>
  <c r="M63" i="5"/>
  <c r="Q63" i="5" s="1"/>
  <c r="O63" i="5"/>
  <c r="G54" i="16" l="1"/>
  <c r="G40" i="16" s="1"/>
  <c r="W63" i="5"/>
  <c r="AA63" i="5" s="1"/>
  <c r="G43" i="16" l="1"/>
  <c r="G46" i="16"/>
  <c r="G48" i="16"/>
  <c r="G49" i="16"/>
  <c r="G52" i="16"/>
  <c r="G50" i="16"/>
  <c r="G53" i="16"/>
  <c r="G42" i="16"/>
  <c r="G44" i="16"/>
  <c r="G47" i="16"/>
  <c r="G45" i="16"/>
  <c r="G51" i="16"/>
  <c r="G41" i="16"/>
  <c r="AS16" i="7"/>
  <c r="AS18" i="7"/>
  <c r="AS17" i="7"/>
  <c r="AS15" i="7"/>
  <c r="AS14" i="7"/>
  <c r="AS13" i="7"/>
  <c r="AS12" i="7"/>
  <c r="AS10" i="7"/>
  <c r="AS9" i="7"/>
  <c r="AS8" i="7"/>
  <c r="AS6" i="7"/>
  <c r="AS5" i="7"/>
  <c r="Q50" i="7"/>
  <c r="P50" i="7" l="1"/>
  <c r="R50" i="7"/>
  <c r="BI50" i="7" l="1"/>
  <c r="BH50" i="7"/>
  <c r="Y50" i="7"/>
  <c r="Y15" i="7" l="1"/>
  <c r="Y16" i="7"/>
  <c r="Y18" i="7"/>
  <c r="Y17" i="7"/>
  <c r="Y14" i="7"/>
  <c r="Y13" i="7"/>
  <c r="Y12" i="7"/>
  <c r="Y10" i="7"/>
  <c r="Y9" i="7"/>
  <c r="Y8" i="7"/>
  <c r="Y6" i="7"/>
  <c r="Y5" i="7"/>
  <c r="Y4" i="7"/>
  <c r="AP16" i="7"/>
  <c r="L16" i="7" s="1"/>
  <c r="AL16" i="7" s="1"/>
  <c r="AP18" i="7"/>
  <c r="AP17" i="7"/>
  <c r="AP15" i="7"/>
  <c r="AP14" i="7"/>
  <c r="U14" i="7" s="1"/>
  <c r="AP13" i="7"/>
  <c r="L13" i="7" s="1"/>
  <c r="AP12" i="7"/>
  <c r="L12" i="7" s="1"/>
  <c r="AL12" i="7" s="1"/>
  <c r="AP10" i="7"/>
  <c r="AP9" i="7"/>
  <c r="U9" i="7" s="1"/>
  <c r="AP6" i="7"/>
  <c r="L6" i="7" s="1"/>
  <c r="AL6" i="7" s="1"/>
  <c r="AP5" i="7"/>
  <c r="AP4" i="7"/>
  <c r="U8" i="7" l="1"/>
  <c r="L18" i="7"/>
  <c r="AL18" i="7" s="1"/>
  <c r="U10" i="7"/>
  <c r="L15" i="7"/>
  <c r="AL15" i="7" s="1"/>
  <c r="U4" i="7"/>
  <c r="L4" i="7"/>
  <c r="AL4" i="7" s="1"/>
  <c r="U5" i="7"/>
  <c r="L5" i="7"/>
  <c r="AL5" i="7" s="1"/>
  <c r="N6" i="7"/>
  <c r="BE6" i="7" s="1"/>
  <c r="BC6" i="7"/>
  <c r="BB6" i="7"/>
  <c r="N13" i="7"/>
  <c r="BE13" i="7" s="1"/>
  <c r="BC13" i="7"/>
  <c r="BB13" i="7"/>
  <c r="N16" i="7"/>
  <c r="BE16" i="7" s="1"/>
  <c r="BB16" i="7"/>
  <c r="BC16" i="7"/>
  <c r="N12" i="7"/>
  <c r="BE12" i="7" s="1"/>
  <c r="BB12" i="7"/>
  <c r="BC12" i="7"/>
  <c r="N18" i="7"/>
  <c r="BE18" i="7" s="1"/>
  <c r="BC18" i="7"/>
  <c r="BB18" i="7"/>
  <c r="L17" i="7"/>
  <c r="L14" i="7"/>
  <c r="AL14" i="7" s="1"/>
  <c r="L10" i="7"/>
  <c r="AD12" i="7"/>
  <c r="AD16" i="7"/>
  <c r="AD13" i="7"/>
  <c r="AD6" i="7"/>
  <c r="U16" i="7"/>
  <c r="U15" i="7"/>
  <c r="U13" i="7"/>
  <c r="Q13" i="7" s="1"/>
  <c r="S13" i="7" s="1"/>
  <c r="U6" i="7"/>
  <c r="L8" i="7"/>
  <c r="U18" i="7"/>
  <c r="U12" i="7"/>
  <c r="U17" i="7"/>
  <c r="N15" i="7" l="1"/>
  <c r="BE15" i="7" s="1"/>
  <c r="AL8" i="7"/>
  <c r="AD15" i="7"/>
  <c r="BC15" i="7"/>
  <c r="AD18" i="7"/>
  <c r="BB15" i="7"/>
  <c r="L53" i="7"/>
  <c r="B71" i="4" s="1"/>
  <c r="BB10" i="7"/>
  <c r="U53" i="7"/>
  <c r="BF16" i="7"/>
  <c r="BF13" i="7"/>
  <c r="BF18" i="7"/>
  <c r="BF6" i="7"/>
  <c r="BC4" i="7"/>
  <c r="BB4" i="7"/>
  <c r="BB9" i="7"/>
  <c r="BC9" i="7"/>
  <c r="BC8" i="7"/>
  <c r="BB8" i="7"/>
  <c r="BF12" i="7"/>
  <c r="N10" i="7"/>
  <c r="BF10" i="7" s="1"/>
  <c r="BC10" i="7"/>
  <c r="N14" i="7"/>
  <c r="R14" i="7" s="1"/>
  <c r="BC14" i="7"/>
  <c r="BB14" i="7"/>
  <c r="N17" i="7"/>
  <c r="BC17" i="7"/>
  <c r="BB17" i="7"/>
  <c r="BC5" i="7"/>
  <c r="BB5" i="7"/>
  <c r="AD17" i="7"/>
  <c r="S17" i="7"/>
  <c r="Q15" i="7"/>
  <c r="S15" i="7" s="1"/>
  <c r="AD14" i="7"/>
  <c r="Q14" i="7"/>
  <c r="S14" i="7" s="1"/>
  <c r="Q18" i="7"/>
  <c r="S18" i="7" s="1"/>
  <c r="R18" i="7"/>
  <c r="R13" i="7"/>
  <c r="Q6" i="7"/>
  <c r="S6" i="7" s="1"/>
  <c r="R6" i="7"/>
  <c r="Q12" i="7"/>
  <c r="S12" i="7" s="1"/>
  <c r="R12" i="7"/>
  <c r="Q16" i="7"/>
  <c r="S16" i="7" s="1"/>
  <c r="R16" i="7"/>
  <c r="AD10" i="7"/>
  <c r="Q10" i="7"/>
  <c r="N4" i="7"/>
  <c r="AD4" i="7"/>
  <c r="N9" i="7"/>
  <c r="AD9" i="7"/>
  <c r="Q9" i="7"/>
  <c r="S9" i="7" s="1"/>
  <c r="N5" i="7"/>
  <c r="AD5" i="7"/>
  <c r="Q5" i="7"/>
  <c r="S5" i="7" s="1"/>
  <c r="N8" i="7"/>
  <c r="AD8" i="7"/>
  <c r="Q8" i="7"/>
  <c r="S8" i="7" s="1"/>
  <c r="Q4" i="7"/>
  <c r="S4" i="7" s="1"/>
  <c r="BF15" i="7" l="1"/>
  <c r="R15" i="7"/>
  <c r="V11" i="7"/>
  <c r="V36" i="7"/>
  <c r="V37" i="7"/>
  <c r="BF17" i="7"/>
  <c r="N53" i="7"/>
  <c r="M53" i="7" s="1"/>
  <c r="BC53" i="7"/>
  <c r="W3" i="19" s="1"/>
  <c r="BB53" i="7"/>
  <c r="V21" i="7"/>
  <c r="V52" i="7"/>
  <c r="V3" i="7"/>
  <c r="V49" i="7"/>
  <c r="V23" i="7"/>
  <c r="V22" i="7"/>
  <c r="V39" i="7"/>
  <c r="V40" i="7"/>
  <c r="V30" i="7"/>
  <c r="V7" i="7"/>
  <c r="V31" i="7"/>
  <c r="V34" i="7"/>
  <c r="V46" i="7"/>
  <c r="V45" i="7"/>
  <c r="V44" i="7"/>
  <c r="V42" i="7"/>
  <c r="V43" i="7"/>
  <c r="BE10" i="7"/>
  <c r="BE14" i="7"/>
  <c r="BF14" i="7"/>
  <c r="R10" i="7"/>
  <c r="BE17" i="7"/>
  <c r="R17" i="7"/>
  <c r="R9" i="7"/>
  <c r="BE9" i="7"/>
  <c r="BF9" i="7"/>
  <c r="R8" i="7"/>
  <c r="BE8" i="7"/>
  <c r="BF8" i="7"/>
  <c r="R5" i="7"/>
  <c r="BF5" i="7"/>
  <c r="BE5" i="7"/>
  <c r="R4" i="7"/>
  <c r="BF4" i="7"/>
  <c r="BE4" i="7"/>
  <c r="BF53" i="7" l="1"/>
  <c r="W5" i="19" s="1"/>
  <c r="BE53" i="7"/>
  <c r="V5" i="19" s="1"/>
  <c r="BD53" i="7"/>
  <c r="V3" i="19"/>
  <c r="H17" i="8" l="1"/>
  <c r="H18" i="8"/>
  <c r="H16" i="8"/>
  <c r="J16" i="8"/>
  <c r="J18" i="8"/>
  <c r="J17" i="8"/>
  <c r="P24" i="8"/>
  <c r="Q24" i="8" s="1"/>
  <c r="S24" i="8" s="1"/>
  <c r="P23" i="8"/>
  <c r="Q23" i="8" s="1"/>
  <c r="S23" i="8" s="1"/>
  <c r="AG50" i="5"/>
  <c r="AG47" i="5"/>
  <c r="AG44" i="5"/>
  <c r="AG41" i="5"/>
  <c r="AG38" i="5"/>
  <c r="AG35" i="5"/>
  <c r="AG32" i="5"/>
  <c r="AG28" i="5"/>
  <c r="AG24" i="5"/>
  <c r="AG20" i="5"/>
  <c r="AG16" i="5"/>
  <c r="AG12" i="5"/>
  <c r="AG8" i="5"/>
  <c r="X5" i="14" l="1"/>
  <c r="AB5" i="14" s="1"/>
  <c r="X40" i="14" l="1"/>
  <c r="AB40" i="14" s="1"/>
  <c r="X46" i="14"/>
  <c r="AB46" i="14" s="1"/>
  <c r="X37" i="14"/>
  <c r="AB37" i="14" s="1"/>
  <c r="X43" i="14"/>
  <c r="AB43" i="14" s="1"/>
  <c r="X31" i="14"/>
  <c r="AB31" i="14" s="1"/>
  <c r="X34" i="14"/>
  <c r="AB34" i="14" s="1"/>
  <c r="X27" i="14"/>
  <c r="AB27" i="14" s="1"/>
  <c r="X49" i="14" l="1"/>
  <c r="AB49" i="14" s="1"/>
  <c r="H7" i="1" l="1"/>
  <c r="X4" i="5" l="1"/>
  <c r="AG4" i="5" l="1"/>
  <c r="V4" i="5"/>
  <c r="K4" i="5" s="1"/>
  <c r="S4" i="5" s="1"/>
  <c r="M29" i="5" l="1"/>
  <c r="Q29" i="5" s="1"/>
  <c r="M25" i="5"/>
  <c r="Q25" i="5" s="1"/>
  <c r="M21" i="5"/>
  <c r="Q21" i="5" s="1"/>
  <c r="M17" i="5"/>
  <c r="Q17" i="5" s="1"/>
  <c r="O13" i="5"/>
  <c r="P5" i="5"/>
  <c r="W17" i="5" l="1"/>
  <c r="AA17" i="5" s="1"/>
  <c r="P21" i="5"/>
  <c r="P25" i="5"/>
  <c r="O21" i="5"/>
  <c r="O29" i="5"/>
  <c r="O17" i="5"/>
  <c r="P29" i="5"/>
  <c r="P17" i="5"/>
  <c r="O25" i="5"/>
  <c r="W29" i="5"/>
  <c r="AA29" i="5" s="1"/>
  <c r="M13" i="5"/>
  <c r="Q13" i="5" s="1"/>
  <c r="P13" i="5"/>
  <c r="W9" i="5"/>
  <c r="AA9" i="5" s="1"/>
  <c r="M9" i="5"/>
  <c r="O9" i="5"/>
  <c r="P9" i="5"/>
  <c r="Q5" i="5"/>
  <c r="O5" i="5"/>
  <c r="Q9" i="5" l="1"/>
  <c r="W25" i="5"/>
  <c r="AA25" i="5" s="1"/>
  <c r="W21" i="5"/>
  <c r="AA21" i="5" s="1"/>
  <c r="W13" i="5"/>
  <c r="AA13" i="5" s="1"/>
  <c r="W5" i="5"/>
  <c r="AA5" i="5" s="1"/>
  <c r="AI52" i="5" l="1"/>
  <c r="AJ52" i="5" s="1"/>
  <c r="AI53" i="5"/>
  <c r="AJ53" i="5" s="1"/>
  <c r="AI38" i="5"/>
  <c r="AJ38" i="5" s="1"/>
  <c r="AI37" i="5"/>
  <c r="AJ37" i="5" s="1"/>
  <c r="AI41" i="5"/>
  <c r="AJ41" i="5" s="1"/>
  <c r="AI40" i="5"/>
  <c r="AJ40" i="5" s="1"/>
  <c r="AI32" i="5"/>
  <c r="AJ32" i="5" s="1"/>
  <c r="AI31" i="5"/>
  <c r="AJ31" i="5" s="1"/>
  <c r="AI35" i="5"/>
  <c r="AJ35" i="5" s="1"/>
  <c r="AI34" i="5"/>
  <c r="AJ34" i="5" s="1"/>
  <c r="P37" i="5" l="1"/>
  <c r="M40" i="5"/>
  <c r="Q40" i="5" s="1"/>
  <c r="P34" i="5" l="1"/>
  <c r="M34" i="5"/>
  <c r="Q34" i="5" s="1"/>
  <c r="W38" i="5"/>
  <c r="AA38" i="5" s="1"/>
  <c r="W40" i="5"/>
  <c r="AA40" i="5" s="1"/>
  <c r="P40" i="5"/>
  <c r="P31" i="5"/>
  <c r="M31" i="5"/>
  <c r="Q31" i="5" s="1"/>
  <c r="M37" i="5"/>
  <c r="Q37" i="5" s="1"/>
  <c r="W31" i="5"/>
  <c r="AA31" i="5" s="1"/>
  <c r="W34" i="5"/>
  <c r="AA34" i="5" s="1"/>
  <c r="W35" i="5"/>
  <c r="AA35" i="5" s="1"/>
  <c r="W41" i="5" l="1"/>
  <c r="AA41" i="5" s="1"/>
  <c r="W32" i="5"/>
  <c r="AA32" i="5" s="1"/>
  <c r="W37" i="5"/>
  <c r="AA37" i="5" s="1"/>
  <c r="E51" i="1" l="1"/>
  <c r="F49" i="1"/>
  <c r="G49" i="1" s="1"/>
  <c r="G50" i="1"/>
  <c r="G48" i="1"/>
  <c r="F48" i="1"/>
  <c r="C35" i="1"/>
  <c r="G47" i="1"/>
  <c r="F47" i="1"/>
  <c r="G51" i="1" l="1"/>
  <c r="F51" i="1"/>
  <c r="D35" i="1"/>
  <c r="H34" i="1" l="1"/>
  <c r="I34" i="1"/>
  <c r="H33" i="1"/>
  <c r="I33" i="1"/>
  <c r="H32" i="1"/>
  <c r="I32" i="1"/>
  <c r="H31" i="1"/>
  <c r="I31" i="1"/>
  <c r="AI54" i="5" l="1"/>
  <c r="AJ54" i="5" s="1"/>
  <c r="AI7" i="5"/>
  <c r="AJ7" i="5" s="1"/>
  <c r="AI55" i="5"/>
  <c r="AJ55" i="5" s="1"/>
  <c r="AI50" i="5"/>
  <c r="AJ50" i="5" s="1"/>
  <c r="AI47" i="5"/>
  <c r="AJ47" i="5" s="1"/>
  <c r="AI44" i="5"/>
  <c r="AJ44" i="5" s="1"/>
  <c r="AI28" i="5"/>
  <c r="AJ28" i="5" s="1"/>
  <c r="AI8" i="5"/>
  <c r="Q51" i="7"/>
  <c r="AI43" i="5" l="1"/>
  <c r="AJ43" i="5" s="1"/>
  <c r="AI46" i="5"/>
  <c r="AJ46" i="5" s="1"/>
  <c r="AI49" i="5"/>
  <c r="AJ49" i="5" s="1"/>
  <c r="AI27" i="5"/>
  <c r="AJ27" i="5" s="1"/>
  <c r="AI20" i="5"/>
  <c r="AJ20" i="5" s="1"/>
  <c r="AI12" i="5"/>
  <c r="AJ12" i="5" s="1"/>
  <c r="AI16" i="5"/>
  <c r="AJ16" i="5" s="1"/>
  <c r="AI24" i="5"/>
  <c r="AJ24" i="5" s="1"/>
  <c r="AI11" i="5"/>
  <c r="AJ11" i="5" s="1"/>
  <c r="AI15" i="5"/>
  <c r="AJ15" i="5" s="1"/>
  <c r="AI19" i="5"/>
  <c r="AJ19" i="5" s="1"/>
  <c r="AI23" i="5"/>
  <c r="AJ23" i="5" s="1"/>
  <c r="AJ8" i="5"/>
  <c r="P51" i="7"/>
  <c r="R51" i="7"/>
  <c r="P53" i="7" l="1"/>
  <c r="BI51" i="7"/>
  <c r="BI53" i="7" s="1"/>
  <c r="W4" i="19" s="1"/>
  <c r="BH51" i="7"/>
  <c r="BH53" i="7" s="1"/>
  <c r="V4" i="19" s="1"/>
  <c r="Y51" i="7"/>
  <c r="Y53" i="7" s="1"/>
  <c r="B10" i="4" l="1"/>
  <c r="B62" i="4"/>
  <c r="B63" i="4" s="1"/>
  <c r="AA53" i="7"/>
  <c r="AD53" i="7"/>
  <c r="P15" i="5"/>
  <c r="P11" i="5"/>
  <c r="P7" i="5"/>
  <c r="V3" i="5" l="1"/>
  <c r="K3" i="5" s="1"/>
  <c r="AG3" i="5"/>
  <c r="AI3" i="5" s="1"/>
  <c r="AJ3" i="5" s="1"/>
  <c r="P53" i="5"/>
  <c r="F29" i="16"/>
  <c r="P54" i="5"/>
  <c r="F30" i="16"/>
  <c r="W55" i="5"/>
  <c r="AA55" i="5" s="1"/>
  <c r="F31" i="16"/>
  <c r="AI4" i="5"/>
  <c r="AJ4" i="5" s="1"/>
  <c r="W43" i="5"/>
  <c r="AA43" i="5" s="1"/>
  <c r="W46" i="5"/>
  <c r="AA46" i="5" s="1"/>
  <c r="W44" i="5"/>
  <c r="AA44" i="5" s="1"/>
  <c r="W49" i="5"/>
  <c r="AA49" i="5" s="1"/>
  <c r="M54" i="5"/>
  <c r="Q54" i="5" s="1"/>
  <c r="M55" i="5"/>
  <c r="Q55" i="5" s="1"/>
  <c r="P55" i="5"/>
  <c r="O54" i="5"/>
  <c r="M46" i="5"/>
  <c r="Q46" i="5" s="1"/>
  <c r="P46" i="5"/>
  <c r="O55" i="5"/>
  <c r="M49" i="5"/>
  <c r="Q49" i="5" s="1"/>
  <c r="P43" i="5"/>
  <c r="M43" i="5"/>
  <c r="Q43" i="5" s="1"/>
  <c r="M11" i="5"/>
  <c r="Q11" i="5" s="1"/>
  <c r="P49" i="5"/>
  <c r="W52" i="5"/>
  <c r="W15" i="5"/>
  <c r="M19" i="5"/>
  <c r="Q19" i="5" s="1"/>
  <c r="M23" i="5"/>
  <c r="Q23" i="5" s="1"/>
  <c r="P19" i="5"/>
  <c r="W27" i="5"/>
  <c r="M27" i="5"/>
  <c r="Q27" i="5" s="1"/>
  <c r="M7" i="5"/>
  <c r="Q7" i="5" s="1"/>
  <c r="W19" i="5"/>
  <c r="P23" i="5"/>
  <c r="W23" i="5"/>
  <c r="M15" i="5"/>
  <c r="Q15" i="5" s="1"/>
  <c r="P27" i="5"/>
  <c r="W24" i="5"/>
  <c r="AA24" i="5" s="1"/>
  <c r="O53" i="5"/>
  <c r="M53" i="5"/>
  <c r="Q53" i="5" s="1"/>
  <c r="O3" i="5" l="1"/>
  <c r="M4" i="5"/>
  <c r="Q4" i="5" s="1"/>
  <c r="W54" i="5"/>
  <c r="AA54" i="5" s="1"/>
  <c r="W20" i="5"/>
  <c r="AA20" i="5" s="1"/>
  <c r="W28" i="5"/>
  <c r="AA28" i="5" s="1"/>
  <c r="W12" i="5"/>
  <c r="AA12" i="5" s="1"/>
  <c r="W16" i="5"/>
  <c r="AA16" i="5" s="1"/>
  <c r="W47" i="5"/>
  <c r="AA47" i="5" s="1"/>
  <c r="W50" i="5"/>
  <c r="AA50" i="5" s="1"/>
  <c r="W53" i="5"/>
  <c r="AA53" i="5" s="1"/>
  <c r="W8" i="5"/>
  <c r="AA8" i="5" s="1"/>
  <c r="W11" i="5"/>
  <c r="AA11" i="5" s="1"/>
  <c r="W7" i="5"/>
  <c r="AA7" i="5" s="1"/>
  <c r="AA19" i="5"/>
  <c r="AA52" i="5"/>
  <c r="AA23" i="5"/>
  <c r="AA15" i="5"/>
  <c r="AA27" i="5"/>
  <c r="S3" i="5" l="1"/>
  <c r="P4" i="5"/>
  <c r="O4" i="5"/>
  <c r="W4" i="5" l="1"/>
  <c r="AA4" i="5" s="1"/>
  <c r="P3" i="5" l="1"/>
  <c r="M3" i="5"/>
  <c r="Q3" i="5" l="1"/>
  <c r="W3" i="5"/>
  <c r="I29" i="1"/>
  <c r="I30" i="1"/>
  <c r="I28" i="1"/>
  <c r="E9" i="1"/>
  <c r="F9" i="1" s="1"/>
  <c r="D9" i="1"/>
  <c r="D11" i="1" s="1"/>
  <c r="C9" i="1"/>
  <c r="F7" i="1"/>
  <c r="C11" i="1" l="1"/>
  <c r="C13" i="1" s="1"/>
  <c r="H9" i="1"/>
  <c r="H8" i="1" s="1"/>
  <c r="AA3" i="5"/>
  <c r="F8" i="1"/>
  <c r="D13" i="1"/>
  <c r="E11" i="1"/>
  <c r="E13" i="1" s="1"/>
  <c r="F13" i="1" l="1"/>
  <c r="F11" i="1"/>
  <c r="F10" i="1" s="1"/>
  <c r="F12" i="1" l="1"/>
  <c r="G29" i="1" l="1"/>
  <c r="H29" i="1" s="1"/>
  <c r="G30" i="1"/>
  <c r="H30" i="1" s="1"/>
  <c r="G28" i="1"/>
  <c r="G35" i="1" l="1"/>
  <c r="H35" i="1" s="1"/>
  <c r="H28" i="1"/>
  <c r="I35" i="1"/>
  <c r="C23" i="1"/>
  <c r="E23" i="1" s="1"/>
  <c r="G23" i="1" s="1"/>
  <c r="L23" i="1" s="1"/>
  <c r="E18" i="1"/>
  <c r="G18" i="1" s="1"/>
  <c r="L18" i="1" s="1"/>
  <c r="C21" i="1"/>
  <c r="E21" i="1" s="1"/>
  <c r="C20" i="1"/>
  <c r="E20" i="1" s="1"/>
  <c r="G20" i="1" s="1"/>
  <c r="C19" i="1"/>
  <c r="E19" i="1" s="1"/>
  <c r="G19" i="1" s="1"/>
  <c r="E17" i="1"/>
  <c r="G17" i="1" s="1"/>
  <c r="D3" i="1"/>
  <c r="G3" i="1" s="1"/>
  <c r="I3" i="1" s="1"/>
  <c r="L20" i="1" l="1"/>
  <c r="I18" i="1"/>
  <c r="K18" i="1" s="1"/>
  <c r="E24" i="1"/>
  <c r="G21" i="1"/>
  <c r="I23" i="1"/>
  <c r="I17" i="1"/>
  <c r="L17" i="1"/>
  <c r="I20" i="1"/>
  <c r="C22" i="1"/>
  <c r="E22" i="1" s="1"/>
  <c r="G22" i="1" s="1"/>
  <c r="I19" i="1"/>
  <c r="L19" i="1"/>
  <c r="G24" i="1" l="1"/>
  <c r="L25" i="1" s="1"/>
  <c r="O20" i="1"/>
  <c r="K20" i="1"/>
  <c r="I21" i="1"/>
  <c r="L21" i="1"/>
  <c r="K23" i="1"/>
  <c r="L22" i="1"/>
  <c r="I22" i="1"/>
  <c r="K17" i="1"/>
  <c r="K19" i="1"/>
  <c r="F24" i="1" l="1"/>
  <c r="L24" i="1"/>
  <c r="L26" i="1" s="1"/>
  <c r="I24" i="1"/>
  <c r="K24" i="1" s="1"/>
  <c r="K21" i="1"/>
  <c r="K22" i="1"/>
  <c r="J24" i="1" l="1"/>
  <c r="X4" i="14"/>
  <c r="K4" i="14"/>
  <c r="T4" i="14" s="1"/>
  <c r="P4" i="14" s="1"/>
  <c r="AB4" i="14" l="1"/>
  <c r="M4" i="14"/>
  <c r="O4" i="14"/>
  <c r="Q4" i="14" l="1"/>
  <c r="X8" i="14"/>
  <c r="AB8" i="14" s="1"/>
  <c r="X38" i="14"/>
  <c r="X53" i="14"/>
  <c r="AB53" i="14" s="1"/>
  <c r="X24" i="14"/>
  <c r="AB24" i="14" s="1"/>
  <c r="X50" i="14"/>
  <c r="AB50" i="14" s="1"/>
  <c r="X32" i="14"/>
  <c r="AB32" i="14" s="1"/>
  <c r="X12" i="14"/>
  <c r="AB12" i="14" s="1"/>
  <c r="X20" i="14"/>
  <c r="AB20" i="14" s="1"/>
  <c r="X35" i="14"/>
  <c r="AB35" i="14" s="1"/>
  <c r="X28" i="14"/>
  <c r="AB28" i="14" s="1"/>
  <c r="X41" i="14"/>
  <c r="X44" i="14"/>
  <c r="X55" i="14"/>
  <c r="AB55" i="14" s="1"/>
  <c r="X47" i="14"/>
  <c r="M52" i="5" l="1"/>
  <c r="O52" i="5"/>
  <c r="F28" i="16"/>
  <c r="H54" i="16" s="1"/>
  <c r="H52" i="16" s="1"/>
  <c r="S52" i="5"/>
  <c r="P52" i="5" l="1"/>
  <c r="H51" i="16"/>
  <c r="H53" i="16"/>
  <c r="H50" i="16"/>
  <c r="H44" i="16"/>
  <c r="H47" i="16"/>
  <c r="H45" i="16"/>
  <c r="H48" i="16"/>
  <c r="Q52" i="5"/>
  <c r="H42" i="16"/>
  <c r="H49" i="16"/>
  <c r="H43" i="16"/>
  <c r="H41" i="16"/>
  <c r="H40" i="16"/>
  <c r="H46" i="16"/>
  <c r="V58" i="5" l="1"/>
  <c r="W58" i="5" l="1"/>
  <c r="AA58" i="5" s="1"/>
  <c r="K58" i="5"/>
  <c r="V59" i="5"/>
  <c r="W59" i="5" l="1"/>
  <c r="AA59" i="5" s="1"/>
  <c r="K59" i="5"/>
  <c r="S58" i="5"/>
  <c r="O58" i="5"/>
  <c r="M58" i="5"/>
  <c r="V61" i="5"/>
  <c r="K61" i="5" s="1"/>
  <c r="B36" i="4" l="1"/>
  <c r="P58" i="5"/>
  <c r="Q58" i="5"/>
  <c r="S61" i="5"/>
  <c r="P61" i="5" s="1"/>
  <c r="F33" i="16"/>
  <c r="I54" i="16" s="1"/>
  <c r="M61" i="5"/>
  <c r="O61" i="5"/>
  <c r="S59" i="5"/>
  <c r="M59" i="5"/>
  <c r="O59" i="5"/>
  <c r="W61" i="5"/>
  <c r="P59" i="5" l="1"/>
  <c r="Q61" i="5"/>
  <c r="AA61" i="5"/>
  <c r="I43" i="16"/>
  <c r="J43" i="16" s="1"/>
  <c r="I46" i="16"/>
  <c r="J46" i="16" s="1"/>
  <c r="I52" i="16"/>
  <c r="J52" i="16" s="1"/>
  <c r="I42" i="16"/>
  <c r="J42" i="16" s="1"/>
  <c r="I53" i="16"/>
  <c r="J53" i="16" s="1"/>
  <c r="I41" i="16"/>
  <c r="J41" i="16" s="1"/>
  <c r="I44" i="16"/>
  <c r="J44" i="16" s="1"/>
  <c r="I45" i="16"/>
  <c r="J45" i="16" s="1"/>
  <c r="I48" i="16"/>
  <c r="J48" i="16" s="1"/>
  <c r="I40" i="16"/>
  <c r="J40" i="16" s="1"/>
  <c r="I49" i="16"/>
  <c r="J49" i="16" s="1"/>
  <c r="I50" i="16"/>
  <c r="J50" i="16" s="1"/>
  <c r="I51" i="16"/>
  <c r="J51" i="16" s="1"/>
  <c r="I47" i="16"/>
  <c r="J47" i="16" s="1"/>
  <c r="Q59" i="5"/>
  <c r="W65" i="14" l="1"/>
  <c r="K65" i="14" s="1"/>
  <c r="X65" i="14" l="1"/>
  <c r="AB65" i="14" l="1"/>
  <c r="B60" i="4" l="1"/>
  <c r="B65" i="4"/>
  <c r="B11" i="4" l="1"/>
  <c r="B64" i="4"/>
  <c r="B66" i="4" l="1"/>
  <c r="V32" i="7" l="1"/>
  <c r="V33" i="7"/>
  <c r="V10" i="7"/>
  <c r="V16" i="7"/>
  <c r="V50" i="7"/>
  <c r="V19" i="7"/>
  <c r="V17" i="7"/>
  <c r="V15" i="7"/>
  <c r="V14" i="7"/>
  <c r="V18" i="7"/>
  <c r="V6" i="7"/>
  <c r="V5" i="7"/>
  <c r="V48" i="7"/>
  <c r="V51" i="7"/>
  <c r="V4" i="7"/>
  <c r="B69" i="4"/>
  <c r="B72" i="4" s="1"/>
  <c r="V13" i="7"/>
  <c r="V12" i="7"/>
  <c r="Q53" i="7"/>
  <c r="R53" i="7"/>
  <c r="V8" i="7"/>
  <c r="V9" i="7"/>
  <c r="V20" i="7"/>
  <c r="B67" i="4" l="1"/>
  <c r="B68" i="4"/>
  <c r="W61" i="14" l="1"/>
  <c r="K61" i="14" s="1"/>
  <c r="T61" i="14" l="1"/>
  <c r="O61" i="14"/>
  <c r="M61" i="14"/>
  <c r="X61" i="14"/>
  <c r="AB61" i="14" l="1"/>
  <c r="Q61" i="14"/>
  <c r="P61" i="14"/>
  <c r="K10" i="29" l="1"/>
  <c r="U10" i="29" s="1"/>
  <c r="X10" i="29" l="1"/>
  <c r="V10" i="29"/>
  <c r="Z10" i="29" s="1"/>
  <c r="P10" i="29"/>
  <c r="O10" i="29"/>
  <c r="M10" i="29"/>
  <c r="Q10" i="29" s="1"/>
  <c r="X12" i="29" l="1"/>
  <c r="K70" i="5" l="1"/>
  <c r="AY70" i="5" s="1"/>
  <c r="W70" i="5"/>
  <c r="AY71" i="5" l="1"/>
  <c r="D3" i="19" s="1"/>
  <c r="S70" i="5"/>
  <c r="M70" i="5"/>
  <c r="AZ70" i="5" s="1"/>
  <c r="O70" i="5"/>
  <c r="BA70" i="5" s="1"/>
  <c r="B37" i="4"/>
  <c r="B28" i="4"/>
  <c r="Y70" i="5"/>
  <c r="AZ71" i="5" l="1"/>
  <c r="D5" i="19" s="1"/>
  <c r="AY72" i="5"/>
  <c r="AY73" i="5" s="1"/>
  <c r="AY74" i="5" s="1"/>
  <c r="BA71" i="5"/>
  <c r="D4" i="19" s="1"/>
  <c r="AB70" i="5"/>
  <c r="B26" i="4"/>
  <c r="L70" i="5"/>
  <c r="B31" i="4"/>
  <c r="B29" i="4"/>
  <c r="AZ72" i="5" l="1"/>
  <c r="AZ73" i="5" s="1"/>
  <c r="AZ74" i="5" s="1"/>
  <c r="J5" i="19" s="1"/>
  <c r="BA72" i="5"/>
  <c r="BA73" i="5" s="1"/>
  <c r="BA74" i="5" s="1"/>
  <c r="J3" i="19"/>
  <c r="K3" i="19"/>
  <c r="H3" i="19"/>
  <c r="G3" i="19"/>
  <c r="E3" i="19"/>
  <c r="I3" i="19"/>
  <c r="F3" i="19"/>
  <c r="B30" i="4"/>
  <c r="T57" i="5"/>
  <c r="T56" i="5"/>
  <c r="T69" i="5"/>
  <c r="T68" i="5"/>
  <c r="B32" i="4"/>
  <c r="Q70" i="5"/>
  <c r="B35" i="4"/>
  <c r="B33" i="4" s="1"/>
  <c r="P70" i="5"/>
  <c r="T39" i="5"/>
  <c r="T33" i="5"/>
  <c r="T45" i="5"/>
  <c r="T10" i="5"/>
  <c r="T18" i="5"/>
  <c r="T26" i="5"/>
  <c r="T48" i="5"/>
  <c r="T60" i="5"/>
  <c r="T42" i="5"/>
  <c r="T62" i="5"/>
  <c r="T36" i="5"/>
  <c r="T51" i="5"/>
  <c r="T6" i="5"/>
  <c r="T14" i="5"/>
  <c r="T22" i="5"/>
  <c r="T30" i="5"/>
  <c r="T29" i="5"/>
  <c r="T53" i="5"/>
  <c r="T44" i="5"/>
  <c r="T17" i="5"/>
  <c r="T25" i="5"/>
  <c r="T12" i="5"/>
  <c r="T21" i="5"/>
  <c r="T16" i="5"/>
  <c r="T13" i="5"/>
  <c r="T54" i="5"/>
  <c r="T55" i="5"/>
  <c r="T32" i="5"/>
  <c r="T9" i="5"/>
  <c r="T49" i="5"/>
  <c r="T19" i="5"/>
  <c r="T7" i="5"/>
  <c r="T11" i="5"/>
  <c r="T40" i="5"/>
  <c r="T37" i="5"/>
  <c r="T24" i="5"/>
  <c r="T46" i="5"/>
  <c r="T43" i="5"/>
  <c r="T50" i="5"/>
  <c r="T31" i="5"/>
  <c r="T35" i="5"/>
  <c r="T38" i="5"/>
  <c r="T41" i="5"/>
  <c r="T5" i="5"/>
  <c r="T27" i="5"/>
  <c r="T15" i="5"/>
  <c r="T28" i="5"/>
  <c r="T47" i="5"/>
  <c r="T20" i="5"/>
  <c r="T34" i="5"/>
  <c r="T23" i="5"/>
  <c r="T8" i="5"/>
  <c r="T63" i="5"/>
  <c r="T4" i="5"/>
  <c r="T3" i="5"/>
  <c r="T52" i="5"/>
  <c r="T58" i="5"/>
  <c r="T61" i="5"/>
  <c r="T59" i="5"/>
  <c r="K5" i="19" l="1"/>
  <c r="G5" i="19"/>
  <c r="F5" i="19"/>
  <c r="H5" i="19"/>
  <c r="E5" i="19"/>
  <c r="I5" i="19"/>
  <c r="G4" i="19"/>
  <c r="K4" i="19"/>
  <c r="J4" i="19"/>
  <c r="I4" i="19"/>
  <c r="H4" i="19"/>
  <c r="F4" i="19"/>
  <c r="E4" i="19"/>
  <c r="B38" i="4"/>
  <c r="B34" i="4"/>
  <c r="X3" i="14"/>
  <c r="AB3" i="14" s="1"/>
  <c r="K3" i="14"/>
  <c r="T3" i="14" l="1"/>
  <c r="O3" i="14"/>
  <c r="M3" i="14"/>
  <c r="Q3" i="14" l="1"/>
  <c r="X9" i="14"/>
  <c r="AB9" i="14" s="1"/>
  <c r="W7" i="14"/>
  <c r="X7" i="14" s="1"/>
  <c r="AB7" i="14" s="1"/>
  <c r="K7" i="14" l="1"/>
  <c r="O7" i="14" l="1"/>
  <c r="M7" i="14"/>
  <c r="T7" i="14"/>
  <c r="W13" i="14"/>
  <c r="W11" i="14"/>
  <c r="X11" i="14" s="1"/>
  <c r="AB11" i="14" s="1"/>
  <c r="Q7" i="14" l="1"/>
  <c r="X13" i="14"/>
  <c r="AB13" i="14" s="1"/>
  <c r="K13" i="14"/>
  <c r="K11" i="14"/>
  <c r="T11" i="14" l="1"/>
  <c r="T13" i="14"/>
  <c r="P13" i="14" s="1"/>
  <c r="O13" i="14"/>
  <c r="M13" i="14"/>
  <c r="O11" i="14"/>
  <c r="M11" i="14"/>
  <c r="Q11" i="14" l="1"/>
  <c r="Q13" i="14"/>
  <c r="W17" i="14"/>
  <c r="W15" i="14"/>
  <c r="K15" i="14" s="1"/>
  <c r="W16" i="14"/>
  <c r="X16" i="14" s="1"/>
  <c r="AB16" i="14" s="1"/>
  <c r="X17" i="14" l="1"/>
  <c r="AB17" i="14" s="1"/>
  <c r="K17" i="14"/>
  <c r="K16" i="14"/>
  <c r="T16" i="14" s="1"/>
  <c r="P16" i="14" s="1"/>
  <c r="T15" i="14"/>
  <c r="M15" i="14"/>
  <c r="O15" i="14"/>
  <c r="X15" i="14"/>
  <c r="AB15" i="14" s="1"/>
  <c r="M16" i="14" l="1"/>
  <c r="Q16" i="14" s="1"/>
  <c r="O16" i="14"/>
  <c r="T17" i="14"/>
  <c r="P17" i="14" s="1"/>
  <c r="O17" i="14"/>
  <c r="M17" i="14"/>
  <c r="Q15" i="14"/>
  <c r="W21" i="14"/>
  <c r="W19" i="14"/>
  <c r="X19" i="14" s="1"/>
  <c r="AB19" i="14" s="1"/>
  <c r="Q17" i="14" l="1"/>
  <c r="X21" i="14"/>
  <c r="AB21" i="14" s="1"/>
  <c r="K21" i="14"/>
  <c r="K19" i="14"/>
  <c r="W23" i="14"/>
  <c r="X23" i="14" s="1"/>
  <c r="AB23" i="14" s="1"/>
  <c r="W25" i="14"/>
  <c r="T19" i="14" l="1"/>
  <c r="X25" i="14"/>
  <c r="AB25" i="14" s="1"/>
  <c r="K25" i="14"/>
  <c r="T21" i="14"/>
  <c r="P21" i="14" s="1"/>
  <c r="M21" i="14"/>
  <c r="O21" i="14"/>
  <c r="M19" i="14"/>
  <c r="O19" i="14"/>
  <c r="K23" i="14"/>
  <c r="O23" i="14" s="1"/>
  <c r="Q19" i="14" l="1"/>
  <c r="Q21" i="14"/>
  <c r="T25" i="14"/>
  <c r="P25" i="14" s="1"/>
  <c r="O25" i="14"/>
  <c r="M25" i="14"/>
  <c r="M23" i="14"/>
  <c r="T23" i="14"/>
  <c r="W29" i="14"/>
  <c r="Q25" i="14" l="1"/>
  <c r="Q23" i="14"/>
  <c r="X29" i="14"/>
  <c r="AB29" i="14" s="1"/>
  <c r="K29" i="14"/>
  <c r="T29" i="14" l="1"/>
  <c r="P29" i="14" s="1"/>
  <c r="O29" i="14"/>
  <c r="M29" i="14"/>
  <c r="Q29" i="14" l="1"/>
  <c r="X63" i="14" l="1"/>
  <c r="AB63" i="14" s="1"/>
  <c r="K63" i="14"/>
  <c r="M63" i="14" l="1"/>
  <c r="T63" i="14" s="1"/>
  <c r="O63" i="14"/>
  <c r="U63" i="14" l="1"/>
  <c r="Q63" i="14"/>
  <c r="P63" i="14"/>
  <c r="M5" i="14" l="1"/>
  <c r="O5" i="14"/>
  <c r="T5" i="14"/>
  <c r="Q5" i="14" l="1"/>
  <c r="P5" i="14"/>
  <c r="M9" i="14"/>
  <c r="O9" i="14"/>
  <c r="Q9" i="14" l="1"/>
  <c r="O65" i="14" l="1"/>
  <c r="M65" i="14"/>
  <c r="T65" i="14"/>
  <c r="U56" i="14" l="1"/>
  <c r="U58" i="14"/>
  <c r="Q65" i="14"/>
  <c r="U57" i="14"/>
  <c r="U59" i="14"/>
  <c r="P65" i="14"/>
  <c r="W67" i="14"/>
  <c r="K67" i="14" s="1"/>
  <c r="B53" i="4" s="1"/>
  <c r="B18" i="4" l="1"/>
  <c r="K90" i="14"/>
  <c r="X67" i="14"/>
  <c r="X90" i="14" s="1"/>
  <c r="X103" i="14" s="1"/>
  <c r="M67" i="14"/>
  <c r="M90" i="14" s="1"/>
  <c r="T67" i="14"/>
  <c r="T90" i="14" s="1"/>
  <c r="T103" i="14" s="1"/>
  <c r="O67" i="14"/>
  <c r="O90" i="14" s="1"/>
  <c r="O103" i="14" s="1"/>
  <c r="AK103" i="14" s="1"/>
  <c r="K103" i="14" l="1"/>
  <c r="AI103" i="14" s="1"/>
  <c r="M103" i="14"/>
  <c r="AJ103" i="14" s="1"/>
  <c r="Z90" i="14"/>
  <c r="AC90" i="14"/>
  <c r="AB67" i="14"/>
  <c r="P67" i="14"/>
  <c r="Q67" i="14"/>
  <c r="N3" i="19" l="1"/>
  <c r="O3" i="19"/>
  <c r="Q3" i="19"/>
  <c r="U3" i="19"/>
  <c r="R3" i="19"/>
  <c r="L3" i="19"/>
  <c r="M3" i="19"/>
  <c r="T3" i="19"/>
  <c r="P3" i="19"/>
  <c r="S3" i="19"/>
  <c r="U5" i="19"/>
  <c r="T5" i="19"/>
  <c r="S5" i="19"/>
  <c r="R5" i="19"/>
  <c r="Q5" i="19"/>
  <c r="P5" i="19"/>
  <c r="O5" i="19"/>
  <c r="N5" i="19"/>
  <c r="M5" i="19"/>
  <c r="L5" i="19"/>
  <c r="B48" i="4"/>
  <c r="B13" i="4" s="1"/>
  <c r="B49" i="4"/>
  <c r="B14" i="4" s="1"/>
  <c r="L103" i="14"/>
  <c r="AC103" i="14"/>
  <c r="B54" i="4"/>
  <c r="B43" i="4"/>
  <c r="S4" i="19" l="1"/>
  <c r="Q4" i="19"/>
  <c r="P4" i="19"/>
  <c r="O4" i="19"/>
  <c r="N4" i="19"/>
  <c r="M4" i="19"/>
  <c r="U4" i="19"/>
  <c r="T4" i="19"/>
  <c r="L4" i="19"/>
  <c r="R4" i="19"/>
  <c r="B8" i="4"/>
  <c r="B45" i="4"/>
  <c r="B46" i="4" s="1"/>
  <c r="Z103" i="14"/>
  <c r="B12" i="4" l="1"/>
  <c r="B19" i="4"/>
  <c r="B47" i="4"/>
  <c r="B52" i="4"/>
  <c r="B50" i="4" s="1"/>
  <c r="R90" i="14"/>
  <c r="B51" i="4" l="1"/>
  <c r="B15" i="4"/>
  <c r="B16" i="4" s="1"/>
  <c r="B55" i="4"/>
  <c r="U15" i="14"/>
  <c r="U69" i="14"/>
  <c r="U24" i="14"/>
  <c r="U5" i="14"/>
  <c r="P103" i="14"/>
  <c r="U13" i="14"/>
  <c r="U70" i="14"/>
  <c r="U4" i="14"/>
  <c r="U19" i="14"/>
  <c r="U9" i="14"/>
  <c r="U54" i="14"/>
  <c r="U28" i="14"/>
  <c r="U17" i="14"/>
  <c r="U55" i="14"/>
  <c r="U43" i="14"/>
  <c r="Q103" i="14"/>
  <c r="U67" i="14"/>
  <c r="U23" i="14"/>
  <c r="U79" i="14"/>
  <c r="U47" i="14"/>
  <c r="U41" i="14"/>
  <c r="U16" i="14"/>
  <c r="U49" i="14"/>
  <c r="U74" i="14"/>
  <c r="U72" i="14"/>
  <c r="U27" i="14"/>
  <c r="U53" i="14"/>
  <c r="U40" i="14"/>
  <c r="U11" i="14"/>
  <c r="U76" i="14"/>
  <c r="U52" i="14"/>
  <c r="U21" i="14"/>
  <c r="U25" i="14"/>
  <c r="U35" i="14"/>
  <c r="U3" i="14"/>
  <c r="U29" i="14"/>
  <c r="U12" i="14"/>
  <c r="U65" i="14"/>
  <c r="U8" i="14"/>
  <c r="U31" i="14"/>
  <c r="U34" i="14"/>
  <c r="U102" i="14"/>
  <c r="U73" i="14"/>
  <c r="U32" i="14"/>
  <c r="U46" i="14"/>
  <c r="U50" i="14"/>
  <c r="U44" i="14"/>
  <c r="U61" i="14"/>
  <c r="U7" i="14"/>
  <c r="U75" i="14"/>
  <c r="U37" i="14"/>
  <c r="U62" i="14"/>
  <c r="U38" i="14"/>
  <c r="U20" i="14"/>
  <c r="B17" i="4" l="1"/>
  <c r="B20" i="4"/>
  <c r="AX3" i="41"/>
  <c r="AX9" i="41" s="1"/>
  <c r="AY3" i="41"/>
  <c r="AY9" i="41" s="1"/>
  <c r="AD3" i="41"/>
  <c r="N3" i="41"/>
  <c r="BB3" i="41" l="1"/>
  <c r="BB9" i="41" s="1"/>
  <c r="N9" i="41"/>
  <c r="BA3" i="41"/>
  <c r="BA9" i="41" s="1"/>
  <c r="R9" i="41"/>
  <c r="R3" i="41"/>
  <c r="AZ9" i="41"/>
  <c r="M9" i="41"/>
  <c r="Q9"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Naik, Rahul  (BLR-INA)</author>
  </authors>
  <commentList>
    <comment ref="H20" authorId="0" shapeId="0" xr:uid="{D5EDF694-CBD0-45FE-84DE-DA241B4D02C4}">
      <text>
        <r>
          <rPr>
            <b/>
            <sz val="9"/>
            <color indexed="81"/>
            <rFont val="Tahoma"/>
            <family val="2"/>
          </rPr>
          <t>Naik, Rahul  (BLR-INA):</t>
        </r>
        <r>
          <rPr>
            <sz val="9"/>
            <color indexed="81"/>
            <rFont val="Tahoma"/>
            <family val="2"/>
          </rPr>
          <t xml:space="preserve">
     Date               CPH Slot          
15-07-2023     21:00 - 22:00
15-07-2023     19:00 - 20:00
16-07-2023     20:00 - 21:00
16-07-2023     21:00 - 22:00   
16-07-2023     19:00 - 20:00</t>
        </r>
      </text>
    </comment>
  </commentList>
</comments>
</file>

<file path=xl/sharedStrings.xml><?xml version="1.0" encoding="utf-8"?>
<sst xmlns="http://schemas.openxmlformats.org/spreadsheetml/2006/main" count="3617" uniqueCount="706">
  <si>
    <t>Brand</t>
  </si>
  <si>
    <t>Amazon Prime</t>
  </si>
  <si>
    <t>Campaign</t>
  </si>
  <si>
    <t>Prime Day'24</t>
  </si>
  <si>
    <t>Start Date</t>
  </si>
  <si>
    <t>T-17</t>
  </si>
  <si>
    <t>End Date</t>
  </si>
  <si>
    <t>T+1</t>
  </si>
  <si>
    <t>Days</t>
  </si>
  <si>
    <t>19days</t>
  </si>
  <si>
    <t>Overall Summary - Plan Eval</t>
  </si>
  <si>
    <t>Old version</t>
  </si>
  <si>
    <t>Impressions</t>
  </si>
  <si>
    <t>Universe</t>
  </si>
  <si>
    <t>Reach</t>
  </si>
  <si>
    <t>% Reach</t>
  </si>
  <si>
    <t>Frequency</t>
  </si>
  <si>
    <t>Video Views</t>
  </si>
  <si>
    <t>Clicks</t>
  </si>
  <si>
    <t>Net Investment (INR)</t>
  </si>
  <si>
    <t>ecpm</t>
  </si>
  <si>
    <t>ecpc</t>
  </si>
  <si>
    <t>Brand Safety (Double Verify)</t>
  </si>
  <si>
    <t>Tracking (DCM)</t>
  </si>
  <si>
    <t xml:space="preserve">Ace fee* </t>
  </si>
  <si>
    <t>Total Net Investment (INR)</t>
  </si>
  <si>
    <t>7days</t>
  </si>
  <si>
    <t>10days</t>
  </si>
  <si>
    <t>Phase 1 Plan Eval</t>
  </si>
  <si>
    <t>Phase 2 Plan Eval</t>
  </si>
  <si>
    <t>2days</t>
  </si>
  <si>
    <t>Phase 3 Plan Eval</t>
  </si>
  <si>
    <t>DV will not be applied on Impacts.</t>
  </si>
  <si>
    <t>Phase 1</t>
  </si>
  <si>
    <t>Geo</t>
  </si>
  <si>
    <t>Mumbai</t>
  </si>
  <si>
    <t>Delhi NCR</t>
  </si>
  <si>
    <t>Bangalore</t>
  </si>
  <si>
    <t>Kolkata</t>
  </si>
  <si>
    <t>Chennai</t>
  </si>
  <si>
    <t>Hyderabad</t>
  </si>
  <si>
    <t>Pune</t>
  </si>
  <si>
    <t>RO-C1</t>
  </si>
  <si>
    <t>Phase 2</t>
  </si>
  <si>
    <t>Row Labels</t>
  </si>
  <si>
    <t>Sum of Effective Reach</t>
  </si>
  <si>
    <t>Sum of Est-Imp</t>
  </si>
  <si>
    <t>Geos</t>
  </si>
  <si>
    <t>Imp</t>
  </si>
  <si>
    <t>Ahemdabad, Gandhinagar, Surat, Vadodara</t>
  </si>
  <si>
    <t>Bhubaneswar, Lucknow</t>
  </si>
  <si>
    <t>Chandigarh,Jaipur</t>
  </si>
  <si>
    <t>Coimbatore, Vizag</t>
  </si>
  <si>
    <t>Indore,Patna</t>
  </si>
  <si>
    <t>Kochi</t>
  </si>
  <si>
    <t>Thane &amp; Nagpur</t>
  </si>
  <si>
    <t>Grand Total</t>
  </si>
  <si>
    <t>Cord Cutters</t>
  </si>
  <si>
    <t>Platofrm</t>
  </si>
  <si>
    <t>Device</t>
  </si>
  <si>
    <t>Adunit</t>
  </si>
  <si>
    <t>Entertainment</t>
  </si>
  <si>
    <t>Metros</t>
  </si>
  <si>
    <t>YouTube</t>
  </si>
  <si>
    <t>CTV</t>
  </si>
  <si>
    <t xml:space="preserve">Skippable| Video 20 Sec </t>
  </si>
  <si>
    <t>Deals 6 sec Video - Bumper</t>
  </si>
  <si>
    <t>RO C1</t>
  </si>
  <si>
    <t>Affluent Streamers</t>
  </si>
  <si>
    <t>PMP - OTT</t>
  </si>
  <si>
    <t>Desktop &amp; Mobile</t>
  </si>
  <si>
    <t xml:space="preserve">Non-Skip| Video 6 Sec </t>
  </si>
  <si>
    <t>Not yet Prime</t>
  </si>
  <si>
    <t>C1 Geos</t>
  </si>
  <si>
    <t>Glance</t>
  </si>
  <si>
    <t xml:space="preserve">Infeed| Video 15 Sec </t>
  </si>
  <si>
    <t>Hotstar</t>
  </si>
  <si>
    <t xml:space="preserve">Non-Skip| Video 15 Sec </t>
  </si>
  <si>
    <t>Audience Pool</t>
  </si>
  <si>
    <t>Distribution C1</t>
  </si>
  <si>
    <t>Distribution Metro</t>
  </si>
  <si>
    <t>Distribution RO C1</t>
  </si>
  <si>
    <t>C1</t>
  </si>
  <si>
    <t>Metro</t>
  </si>
  <si>
    <t>Total</t>
  </si>
  <si>
    <t>Sum of Total Net Cost</t>
  </si>
  <si>
    <t>DSP</t>
  </si>
  <si>
    <t>Facebook &amp; IG</t>
  </si>
  <si>
    <t>(blank)</t>
  </si>
  <si>
    <t>Genre</t>
  </si>
  <si>
    <t>Demo</t>
  </si>
  <si>
    <t>Medium</t>
  </si>
  <si>
    <t>Publisher</t>
  </si>
  <si>
    <t>Platform</t>
  </si>
  <si>
    <t>Section</t>
  </si>
  <si>
    <t>Ad Unit</t>
  </si>
  <si>
    <t>Deal Type</t>
  </si>
  <si>
    <t>Targeting</t>
  </si>
  <si>
    <t>Est-Imp</t>
  </si>
  <si>
    <t>CTR</t>
  </si>
  <si>
    <t>Est Clicks</t>
  </si>
  <si>
    <t>VTR</t>
  </si>
  <si>
    <t>Est Views / Engag</t>
  </si>
  <si>
    <t xml:space="preserve">eCPM </t>
  </si>
  <si>
    <t xml:space="preserve">eCPC </t>
  </si>
  <si>
    <t>Net Unit Cost</t>
  </si>
  <si>
    <t>Total Net Cost</t>
  </si>
  <si>
    <t>% Allocation</t>
  </si>
  <si>
    <t>Duplication</t>
  </si>
  <si>
    <t>Effective Reach</t>
  </si>
  <si>
    <t>Operating Reach</t>
  </si>
  <si>
    <t>Avg. Freq</t>
  </si>
  <si>
    <t>Star Date</t>
  </si>
  <si>
    <t>Reach T</t>
  </si>
  <si>
    <t>Freq</t>
  </si>
  <si>
    <t>Imp F</t>
  </si>
  <si>
    <t>Budget T</t>
  </si>
  <si>
    <t>Est. Reach</t>
  </si>
  <si>
    <t>CPM</t>
  </si>
  <si>
    <t>Budget</t>
  </si>
  <si>
    <t>Fre</t>
  </si>
  <si>
    <t>PG possibility</t>
  </si>
  <si>
    <t>DV CPM</t>
  </si>
  <si>
    <t>DV Fee</t>
  </si>
  <si>
    <t>Daily Imp</t>
  </si>
  <si>
    <t>Daily Clicks</t>
  </si>
  <si>
    <t>P1 Geos - MF 25-44 - Mumbai</t>
  </si>
  <si>
    <t>25-44</t>
  </si>
  <si>
    <t>Video</t>
  </si>
  <si>
    <t>Instream</t>
  </si>
  <si>
    <t>Skippable 31 Sec</t>
  </si>
  <si>
    <t>CPV</t>
  </si>
  <si>
    <t>MF 25-44 - Affinity - Shoppers, Light TV Viewers</t>
  </si>
  <si>
    <t>Bumper</t>
  </si>
  <si>
    <t>6 sec Video - Bumper</t>
  </si>
  <si>
    <t>PMP</t>
  </si>
  <si>
    <t>Run across OTT</t>
  </si>
  <si>
    <t xml:space="preserve">Non-Skip| Video 25 Sec </t>
  </si>
  <si>
    <t>MF 25-44| Online Shoppers with 20k+ handsets</t>
  </si>
  <si>
    <t>Yes</t>
  </si>
  <si>
    <t>P1 Geos - MF 25-44 - Delhi</t>
  </si>
  <si>
    <t>P1 Geos - MF 25-44 - Bangalore</t>
  </si>
  <si>
    <t>P1 Geos - MF 25-44 - Chennai</t>
  </si>
  <si>
    <t>P1 Geos - MF 25-44 - Hyderabad</t>
  </si>
  <si>
    <t>P1 Geos - MF 25-44 - Kolkata</t>
  </si>
  <si>
    <t>P1 Geos - MF 25-44 - Pune</t>
  </si>
  <si>
    <t>RO C1 Geo - MF 25-44 - Thane &amp; Nagpur (MH geos)</t>
  </si>
  <si>
    <t xml:space="preserve">RO C1 - MF 25-44 - Gujarat Cluster geos </t>
  </si>
  <si>
    <t>RO C1 - MF 25-44 - Bhubaneswar, Lucknow</t>
  </si>
  <si>
    <t>MF 25-44| Affinity - Shoppers, Light TV Viewers</t>
  </si>
  <si>
    <t>RO C1- MF 25-44 - Chandigarh, Jaipur</t>
  </si>
  <si>
    <t>RO C1- MF 25-44 - Indore,Patna</t>
  </si>
  <si>
    <t>RO C1 - MF 25-44 -Coimbatore, Vizag</t>
  </si>
  <si>
    <t>RO C1- MF 25-44 - Kochi</t>
  </si>
  <si>
    <t>18+</t>
  </si>
  <si>
    <t>Run On Site</t>
  </si>
  <si>
    <t>MF 18 +, Metros | Affinity - Shoppers, Light TV Viewers</t>
  </si>
  <si>
    <t>MF 18+, RO C1 | Affinity - Shoppers, Light TV Viewers</t>
  </si>
  <si>
    <t>MF 18+</t>
  </si>
  <si>
    <t>Nonskip 10 sec</t>
  </si>
  <si>
    <t xml:space="preserve">Non-Skip| Video 10 Sec </t>
  </si>
  <si>
    <t>MF 25-44 (A.in minus prime video app)</t>
  </si>
  <si>
    <t>Google Demand Gen</t>
  </si>
  <si>
    <t>Network</t>
  </si>
  <si>
    <t>Display</t>
  </si>
  <si>
    <t>Run across Network</t>
  </si>
  <si>
    <t>Banner</t>
  </si>
  <si>
    <t>CPC</t>
  </si>
  <si>
    <t>MF 25-44 | Affinity - Shopping Enthusiasts</t>
  </si>
  <si>
    <t>MF 25-44 | All Amazon Clickers</t>
  </si>
  <si>
    <t>ROC1</t>
  </si>
  <si>
    <t>Rest Days</t>
  </si>
  <si>
    <t>Day 1</t>
  </si>
  <si>
    <t>For 7days</t>
  </si>
  <si>
    <t>DMP</t>
  </si>
  <si>
    <t>Loksatta</t>
  </si>
  <si>
    <t>OneIndia</t>
  </si>
  <si>
    <t>PMP OTT</t>
  </si>
  <si>
    <t>Sharechat</t>
  </si>
  <si>
    <t>Snapchat</t>
  </si>
  <si>
    <t>Truecaller</t>
  </si>
  <si>
    <t>TV 9</t>
  </si>
  <si>
    <t>Vikatan</t>
  </si>
  <si>
    <t>Planned (2023)</t>
  </si>
  <si>
    <t>e-CPM</t>
  </si>
  <si>
    <t>Size</t>
  </si>
  <si>
    <t>%Reach</t>
  </si>
  <si>
    <t xml:space="preserve">Prime </t>
  </si>
  <si>
    <t>Projections - PD'23 basis PD22 benchmarks</t>
  </si>
  <si>
    <t xml:space="preserve">KPI </t>
  </si>
  <si>
    <t>Build up</t>
  </si>
  <si>
    <t>Lead up</t>
  </si>
  <si>
    <t>Sale</t>
  </si>
  <si>
    <t>Overall</t>
  </si>
  <si>
    <t>Potential</t>
  </si>
  <si>
    <t>Reach %</t>
  </si>
  <si>
    <t>Cost</t>
  </si>
  <si>
    <t>Including DV &amp; Tracking</t>
  </si>
  <si>
    <t>Audience Size</t>
  </si>
  <si>
    <t>Est. CTR</t>
  </si>
  <si>
    <t>e-CPC</t>
  </si>
  <si>
    <t>Social</t>
  </si>
  <si>
    <t>Youtube</t>
  </si>
  <si>
    <t>Impact</t>
  </si>
  <si>
    <t>OTT</t>
  </si>
  <si>
    <t>ROS</t>
  </si>
  <si>
    <t>CPC Drivers</t>
  </si>
  <si>
    <t>Dailyhunt</t>
  </si>
  <si>
    <t>OPPO</t>
  </si>
  <si>
    <t>Vivo</t>
  </si>
  <si>
    <t>TOI + Languages pack + Gadgets Now</t>
  </si>
  <si>
    <t>Paytm</t>
  </si>
  <si>
    <t>Sr No.</t>
  </si>
  <si>
    <t>Digital impact buy</t>
  </si>
  <si>
    <t>Nature of substitution</t>
  </si>
  <si>
    <t>Total cost (cr)</t>
  </si>
  <si>
    <t>Applicable cost (cr)</t>
  </si>
  <si>
    <t>Substituted cost (cr)</t>
  </si>
  <si>
    <t>TrueCaller</t>
  </si>
  <si>
    <t>Shared buy Specials</t>
  </si>
  <si>
    <t xml:space="preserve">Times Group </t>
  </si>
  <si>
    <t>NDTV+Gadgets package</t>
  </si>
  <si>
    <t>Total substitution by Specials</t>
  </si>
  <si>
    <t>-</t>
  </si>
  <si>
    <t>Substituting Digital impact buys either by sharing the impact buys or completely substituting it. This has led to substitution of 2.2cr</t>
  </si>
  <si>
    <t>Fashion synergies will be complimenting core PD digital input during the event to drive traffic and OPS. This will result in incremental ~25 MM reach during the two critical days of the event (exact numbers to be basis final budgets and excel planning).</t>
  </si>
  <si>
    <t>Option 1</t>
  </si>
  <si>
    <t>25-44 M/F (A.in App users) + Selected Geo's</t>
  </si>
  <si>
    <t>Option 2</t>
  </si>
  <si>
    <t>25-44 M/F (Prime Video app users) + Selected Geo's</t>
  </si>
  <si>
    <t>Option 3</t>
  </si>
  <si>
    <t>25-44 M/F (Online Shoppers)+ Selected Geo's</t>
  </si>
  <si>
    <t>HSOV plan</t>
  </si>
  <si>
    <t>Estimated 1day Unique user reach</t>
  </si>
  <si>
    <t>Approx SOV%</t>
  </si>
  <si>
    <t>Est. Impressions</t>
  </si>
  <si>
    <t>25-44 M/F (E-Com App users) + Selected Geo's</t>
  </si>
  <si>
    <t>0.5-1%</t>
  </si>
  <si>
    <t>25-44 M/F (OTT app users) + Selected Geo's</t>
  </si>
  <si>
    <t>Aud - Impact</t>
  </si>
  <si>
    <t>Property</t>
  </si>
  <si>
    <t>Period</t>
  </si>
  <si>
    <t>Audience Universe</t>
  </si>
  <si>
    <t>Reach %age</t>
  </si>
  <si>
    <t>CTR (%)</t>
  </si>
  <si>
    <t>Net Amount</t>
  </si>
  <si>
    <t>Aud/Targeted RB</t>
  </si>
  <si>
    <t>Bangalore, Delhi, Mumbai, Hyderabad, Chennai, Pune, Kolkata, Gurgaon, Noida, Jaipur, Ahmedabad, Coimbatore. Visakhapatnam, Patna, Thane, Chandigarh, Surat, Kochi, Gandhi Nagar, Nagpur, Faridabad, Vadodara, Indore, Lucknow, Bhubaneshwar</t>
  </si>
  <si>
    <t>A.in App users</t>
  </si>
  <si>
    <t>1 Day</t>
  </si>
  <si>
    <t>ACS - 300x250 (Display)</t>
  </si>
  <si>
    <t xml:space="preserve">                           50 </t>
  </si>
  <si>
    <t xml:space="preserve">               50,40,000 </t>
  </si>
  <si>
    <t>Prime Video App users</t>
  </si>
  <si>
    <t xml:space="preserve">               22,50,000 </t>
  </si>
  <si>
    <t>Online Shoppers</t>
  </si>
  <si>
    <t xml:space="preserve">               70,20,000 </t>
  </si>
  <si>
    <t>The above-mentioned rate is net to Truecaller, platform fee and taxes are over and above.</t>
  </si>
  <si>
    <r>
      <t>The trending CTR for </t>
    </r>
    <r>
      <rPr>
        <sz val="11"/>
        <color rgb="FF000000"/>
        <rFont val="Arial"/>
        <family val="2"/>
      </rPr>
      <t>ACS - 300x250 (Display) =</t>
    </r>
    <r>
      <rPr>
        <sz val="11"/>
        <color theme="1"/>
        <rFont val="Arial"/>
        <family val="2"/>
      </rPr>
      <t> 1-1.2%.</t>
    </r>
  </si>
  <si>
    <t>YT - MH (4hours)</t>
  </si>
  <si>
    <t xml:space="preserve">YT - MH (1hours) est. </t>
  </si>
  <si>
    <t>Spends</t>
  </si>
  <si>
    <t>Clicks to video</t>
  </si>
  <si>
    <t>CTR (Clicks to video)</t>
  </si>
  <si>
    <t>Reach at avg. 4 freq</t>
  </si>
  <si>
    <t>Data Cost</t>
  </si>
  <si>
    <t xml:space="preserve">NonSkip| Video 10 Sec </t>
  </si>
  <si>
    <t>MF 25-44 - Mumbai | Affinity - Shoppers, Light TV Viewers</t>
  </si>
  <si>
    <t>T-10</t>
  </si>
  <si>
    <t>T-1</t>
  </si>
  <si>
    <t>MF 25-44 - Delhi NCR | Affinity - Shoppers, Light TV Viewers</t>
  </si>
  <si>
    <t>MF 25-44 - Bangalore | Affinity - Shoppers, Light TV Viewers</t>
  </si>
  <si>
    <t>MF 25-44 - Chennai | Affinity - Shoppers, Light TV Viewers</t>
  </si>
  <si>
    <t>MF 25-44 - Hyderabad | Affinity - Shoppers, Light TV Viewers</t>
  </si>
  <si>
    <t>MF 25-44 - Kolkata | Affinity - Shoppers, Light TV Viewers</t>
  </si>
  <si>
    <t>MF 25-44 - Pune | Affinity - Shoppers, Light TV Viewers</t>
  </si>
  <si>
    <t>MF 25-44 - Thane, Nagpur | Affinity - Shoppers, Light TV Viewers</t>
  </si>
  <si>
    <t>C1 Geo - MF 25-44 - Bhubaneswar, Lucknow</t>
  </si>
  <si>
    <t>C1 Geo - MF 25-44 - Chandigarh, Jaipur</t>
  </si>
  <si>
    <t>North Cluster C1 Geo - MF 25-44 - Indore,Patna</t>
  </si>
  <si>
    <t>MF 25-44 -  Indore,Patna | Affinity - Shoppers, Light TV Viewers</t>
  </si>
  <si>
    <t>South C1 Cluster - MF 25-44 -Coimbatore, Vizag</t>
  </si>
  <si>
    <t>MF 25-44 - Kochi, Coimbatore, Vizag | Affinity - Shoppers, Light TV Viewers</t>
  </si>
  <si>
    <t>South C1 Cluster - MF 25-44 - Kochi</t>
  </si>
  <si>
    <t>Deals 10 sec Video</t>
  </si>
  <si>
    <t>MF 25-44 - Metros | Affinity - Shoppers, Light TV Viewers</t>
  </si>
  <si>
    <t>MF 25-44 - RO C1 - Shoppers, Light TV Viewers</t>
  </si>
  <si>
    <t>MF 18 +, Metros</t>
  </si>
  <si>
    <t>MF 18+, RO C1</t>
  </si>
  <si>
    <t>Countdown</t>
  </si>
  <si>
    <t>Utility</t>
  </si>
  <si>
    <t>Audience Roadblock : SOV 50% APV users</t>
  </si>
  <si>
    <t xml:space="preserve">CPM - 1day </t>
  </si>
  <si>
    <t xml:space="preserve">MF 25-44 | APV App users </t>
  </si>
  <si>
    <t>Mobile</t>
  </si>
  <si>
    <t>Banner (Frames)</t>
  </si>
  <si>
    <t xml:space="preserve">MF 25-44 | All C1 Geos </t>
  </si>
  <si>
    <t>Video/Display</t>
  </si>
  <si>
    <t>Automatic Placements</t>
  </si>
  <si>
    <t>Video 6 second / Link Ad / Carousel</t>
  </si>
  <si>
    <t>OBJECTIVE : Traffic | Location: C1 geos Age:25-44 Language: English (UK) or English (US) People who match: Interests: Voot, hotstar, Streaming media, Online shopping, Entertainment or Netflix
And must also match:
Behaviours: Facebook access (mobile): smartphones and tablets</t>
  </si>
  <si>
    <t>Not Yet Prime</t>
  </si>
  <si>
    <t>T-11</t>
  </si>
  <si>
    <t>Lotame</t>
  </si>
  <si>
    <t>Run On Network</t>
  </si>
  <si>
    <t>All Amazon Clickers + Fashionistas Affinity</t>
  </si>
  <si>
    <t>All Amazon Clickers + Electronics Appliances</t>
  </si>
  <si>
    <t>All Amazon Clickers + Beauty &amp; Wellness</t>
  </si>
  <si>
    <t>All Amazon Clickers + Kitchen Appliances (Cooking Enthusiasts) Affinity + Inmarket Kitchen Appliances</t>
  </si>
  <si>
    <t>All Amazon Clickers + New Parents</t>
  </si>
  <si>
    <t>All Amazon Clickers + Personal Care</t>
  </si>
  <si>
    <t>DMP x YouTube</t>
  </si>
  <si>
    <t>YouTube (Trueview for Action)</t>
  </si>
  <si>
    <t>DMP Audience | All Amazon Clickers</t>
  </si>
  <si>
    <t>Deaveraging Booster</t>
  </si>
  <si>
    <t>Pragmatic Nomads</t>
  </si>
  <si>
    <t>Video 10 Sec</t>
  </si>
  <si>
    <t>Display Banner</t>
  </si>
  <si>
    <t>All Amazon Clickers + Frequent Shoppers</t>
  </si>
  <si>
    <t>Convenience Seeker</t>
  </si>
  <si>
    <t>All Amazon Clickers + Convenience Seekers</t>
  </si>
  <si>
    <t>Trailblazer</t>
  </si>
  <si>
    <t>All Amazon Clickers + Techies</t>
  </si>
  <si>
    <t>C1 Total</t>
  </si>
  <si>
    <t>C2- MF 25-44</t>
  </si>
  <si>
    <t>C2</t>
  </si>
  <si>
    <t>MF 25-44 - C2 | Affinity - Shoppers, Light TV Viewers</t>
  </si>
  <si>
    <t>Heavy Streamers</t>
  </si>
  <si>
    <t>MF 18+, C2</t>
  </si>
  <si>
    <t>PSE- C2</t>
  </si>
  <si>
    <t>MF 25-44 | Heavy Shoppers</t>
  </si>
  <si>
    <t>C2 Total</t>
  </si>
  <si>
    <t>Community App</t>
  </si>
  <si>
    <t>PAN India</t>
  </si>
  <si>
    <t>My Gate</t>
  </si>
  <si>
    <t>Ingress</t>
  </si>
  <si>
    <t>Pan India</t>
  </si>
  <si>
    <t>T-5</t>
  </si>
  <si>
    <t>Execution</t>
  </si>
  <si>
    <t>Total Imp</t>
  </si>
  <si>
    <t>Total cost</t>
  </si>
  <si>
    <t>%Prime</t>
  </si>
  <si>
    <t>%Specials</t>
  </si>
  <si>
    <t>%Fashion</t>
  </si>
  <si>
    <t>Prime Budget</t>
  </si>
  <si>
    <t>Unique Reach</t>
  </si>
  <si>
    <t>Prime Actual</t>
  </si>
  <si>
    <t>Special budget</t>
  </si>
  <si>
    <t>Fashion Budget</t>
  </si>
  <si>
    <t>Fasion Imp</t>
  </si>
  <si>
    <t>Views</t>
  </si>
  <si>
    <t>Impact Pan India</t>
  </si>
  <si>
    <t>Day1</t>
  </si>
  <si>
    <t>Day2</t>
  </si>
  <si>
    <t>News</t>
  </si>
  <si>
    <t>Direct</t>
  </si>
  <si>
    <t>Aajtak</t>
  </si>
  <si>
    <t>Mobile+Desktop</t>
  </si>
  <si>
    <t>(Hindi + Regional ) Regional language package</t>
  </si>
  <si>
    <t>Roadblock</t>
  </si>
  <si>
    <t>Fixed</t>
  </si>
  <si>
    <t>T</t>
  </si>
  <si>
    <t>ravindra.prabhu@aajtak.com</t>
  </si>
  <si>
    <t>DailyHunt</t>
  </si>
  <si>
    <t>Gateway to Bharat (GTB)- Pkge 1</t>
  </si>
  <si>
    <t>ravi.bs@verse.in</t>
  </si>
  <si>
    <t>BillBoard</t>
  </si>
  <si>
    <t>pushpdeep.bahade@hotstar.com</t>
  </si>
  <si>
    <t>Inshorts</t>
  </si>
  <si>
    <t xml:space="preserve">Interstitial Roadblock </t>
  </si>
  <si>
    <t>chetan@inshorts.com</t>
  </si>
  <si>
    <t>News 18</t>
  </si>
  <si>
    <t>News18 Eng + Languages + Firstpost</t>
  </si>
  <si>
    <t>vinay.s@indianexpress.com</t>
  </si>
  <si>
    <t>MX Player</t>
  </si>
  <si>
    <t>Lead Banner+Ott Mast Head</t>
  </si>
  <si>
    <t>kumar.vikram@mxplayer.in</t>
  </si>
  <si>
    <t>Vidmate</t>
  </si>
  <si>
    <t>Splash Page</t>
  </si>
  <si>
    <t>tasneem@ventesavenues.in</t>
  </si>
  <si>
    <t>PhonePe</t>
  </si>
  <si>
    <t>ATF Masthead Slot 1 (100%) - Full Day</t>
  </si>
  <si>
    <t>rahul.sridhar@phonepe.com</t>
  </si>
  <si>
    <t>Music</t>
  </si>
  <si>
    <t>Saavn</t>
  </si>
  <si>
    <t>Showcase, Native Audio Spot, Overlay</t>
  </si>
  <si>
    <t>prerna.gupta@saavn.com</t>
  </si>
  <si>
    <t>Jio TV</t>
  </si>
  <si>
    <t>Home Page Masthead</t>
  </si>
  <si>
    <t xml:space="preserve">Hold this </t>
  </si>
  <si>
    <t>PG</t>
  </si>
  <si>
    <t>Spotify</t>
  </si>
  <si>
    <t>Mobile Headliner  - Video, Audio, Display</t>
  </si>
  <si>
    <t>rmathur@spotify.com</t>
  </si>
  <si>
    <t>Times Of India</t>
  </si>
  <si>
    <t>TOI + ET + Gadgets Now + Languages pack</t>
  </si>
  <si>
    <t>nibin.joseph@timesinternet.in</t>
  </si>
  <si>
    <t>RB2</t>
  </si>
  <si>
    <t>pratham.shetty@truecaller.com</t>
  </si>
  <si>
    <t>OEM</t>
  </si>
  <si>
    <t>Zee News</t>
  </si>
  <si>
    <t>English News Cluster</t>
  </si>
  <si>
    <t>jaibalaji.t@india.com</t>
  </si>
  <si>
    <t>IMO</t>
  </si>
  <si>
    <t>Splash Page, Chat List, End Call, Story</t>
  </si>
  <si>
    <t>Hourly Masthead</t>
  </si>
  <si>
    <t>Masthead - CPH 1hour (1-2PM)</t>
  </si>
  <si>
    <t>Marketplace</t>
  </si>
  <si>
    <t>OLX</t>
  </si>
  <si>
    <t>App takeover</t>
  </si>
  <si>
    <t>Jio Cinema</t>
  </si>
  <si>
    <t>Masthead</t>
  </si>
  <si>
    <t>Midroll</t>
  </si>
  <si>
    <t>MF 18 +, ROC1</t>
  </si>
  <si>
    <t>Youtube - Sale | ASIN Specific Creatives</t>
  </si>
  <si>
    <t>Nonskip - 10 sec</t>
  </si>
  <si>
    <t xml:space="preserve">25-44,C1 Geos |  LA &amp; TV </t>
  </si>
  <si>
    <t>25-44,C1 Geos | Consumables</t>
  </si>
  <si>
    <t>25-44,C1 Geos | OHL</t>
  </si>
  <si>
    <t>25-44,C1 Geos | CEPC</t>
  </si>
  <si>
    <t>25-44,C1 Geos | Softlines</t>
  </si>
  <si>
    <t>Community Apps</t>
  </si>
  <si>
    <t>T7 Metros</t>
  </si>
  <si>
    <t>PAC</t>
  </si>
  <si>
    <t>MyGate</t>
  </si>
  <si>
    <t>PAC  - 1 Day high SOV</t>
  </si>
  <si>
    <t>Top 7 Metros</t>
  </si>
  <si>
    <t>PAS</t>
  </si>
  <si>
    <t>Nobrokerhood</t>
  </si>
  <si>
    <t>PAS  - 1 Day high SOV</t>
  </si>
  <si>
    <t>Traffic</t>
  </si>
  <si>
    <t>RO C1 Geos</t>
  </si>
  <si>
    <t>DMP Audience</t>
  </si>
  <si>
    <t>Event Reminder</t>
  </si>
  <si>
    <t>Bumper - 6 sec Video</t>
  </si>
  <si>
    <t>MF 25-44 - C1 geos | In Market Affinity - Apparel &amp; Accessories, Baby &amp; Children's Products, Beauty &amp; Personal Care, Computers &amp; Peripherals, Consumer Electronics, Home &amp; Garden</t>
  </si>
  <si>
    <t>Run on Screen</t>
  </si>
  <si>
    <t>Pause Ads</t>
  </si>
  <si>
    <t>18+ MF</t>
  </si>
  <si>
    <t>Mediakart</t>
  </si>
  <si>
    <t>Banner - NonAce</t>
  </si>
  <si>
    <t>MF 25-44 - C1 Geos | Prime Shoppers</t>
  </si>
  <si>
    <t>Huella</t>
  </si>
  <si>
    <t>Native Banner - NonAce</t>
  </si>
  <si>
    <t>Value Add</t>
  </si>
  <si>
    <t xml:space="preserve">*Youtube Masthead impressions/Reach is estimated. It will be at fixed cost for an hour. </t>
  </si>
  <si>
    <t>*Impacts highlighted in green will be shared with specials</t>
  </si>
  <si>
    <t>*Impacts are subject to availability at the time of booking</t>
  </si>
  <si>
    <t>Sony LIV Plan - EURO Deal - Option 2</t>
  </si>
  <si>
    <t>Platforms</t>
  </si>
  <si>
    <t>Client</t>
  </si>
  <si>
    <t>Buy Type</t>
  </si>
  <si>
    <t>Property Type</t>
  </si>
  <si>
    <t>Asset</t>
  </si>
  <si>
    <t>Creative Duration</t>
  </si>
  <si>
    <t>Impressions(In Mn)</t>
  </si>
  <si>
    <t>CPM (10secs)</t>
  </si>
  <si>
    <t>CPM (20secs)</t>
  </si>
  <si>
    <t>Avg Frequency</t>
  </si>
  <si>
    <t>Approx Reach (Mn)</t>
  </si>
  <si>
    <t>Estimated CTR</t>
  </si>
  <si>
    <t>Estimated VTR</t>
  </si>
  <si>
    <t>Estd. Net Spends (INR)</t>
  </si>
  <si>
    <t>SonyLiv</t>
  </si>
  <si>
    <t>Amazon</t>
  </si>
  <si>
    <t>Multi Brand</t>
  </si>
  <si>
    <t>EURO-2024</t>
  </si>
  <si>
    <t>Pre +Midroll</t>
  </si>
  <si>
    <t>All India</t>
  </si>
  <si>
    <t>Video 10 Secs</t>
  </si>
  <si>
    <t>6-8</t>
  </si>
  <si>
    <t>0.2% &amp; Above</t>
  </si>
  <si>
    <t>80% &amp; Above</t>
  </si>
  <si>
    <t>Tracking cost (DCM+DV)</t>
  </si>
  <si>
    <t>PD</t>
  </si>
  <si>
    <t>Jupiter</t>
  </si>
  <si>
    <t>Wave 2</t>
  </si>
  <si>
    <t>Wave 3</t>
  </si>
  <si>
    <t>Phase</t>
  </si>
  <si>
    <t>eCPM</t>
  </si>
  <si>
    <t>eCPC</t>
  </si>
  <si>
    <t>Prime day</t>
  </si>
  <si>
    <t>Sale PD</t>
  </si>
  <si>
    <t>Hindustan Times</t>
  </si>
  <si>
    <t>Wynk</t>
  </si>
  <si>
    <t>MxPlayer</t>
  </si>
  <si>
    <t>Indian Express</t>
  </si>
  <si>
    <t>Live Hindustan</t>
  </si>
  <si>
    <t>JioCinema</t>
  </si>
  <si>
    <t>Wave3</t>
  </si>
  <si>
    <t>Way2News</t>
  </si>
  <si>
    <t>JioSaavn</t>
  </si>
  <si>
    <t>The Hindu</t>
  </si>
  <si>
    <t>ZEE News</t>
  </si>
  <si>
    <t>Wave2</t>
  </si>
  <si>
    <t>WION/Zee biz/india.com/DNA</t>
  </si>
  <si>
    <t>TOI</t>
  </si>
  <si>
    <t xml:space="preserve">NDTV </t>
  </si>
  <si>
    <t>LiveHindustan (HT)</t>
  </si>
  <si>
    <t>News18 Network</t>
  </si>
  <si>
    <t>HT Network</t>
  </si>
  <si>
    <t>Mygate</t>
  </si>
  <si>
    <t>Jagran</t>
  </si>
  <si>
    <t>TV9</t>
  </si>
  <si>
    <t>ABPLive.com</t>
  </si>
  <si>
    <t>Amarujala</t>
  </si>
  <si>
    <t>Lokmat</t>
  </si>
  <si>
    <t>Eenadu</t>
  </si>
  <si>
    <t>Bhaskar</t>
  </si>
  <si>
    <t>Infomo</t>
  </si>
  <si>
    <t>ZEE5</t>
  </si>
  <si>
    <t>Samsung Ads</t>
  </si>
  <si>
    <t>Gadgets360</t>
  </si>
  <si>
    <t>Delhi</t>
  </si>
  <si>
    <t>Video 6 Sec</t>
  </si>
  <si>
    <t>Standard Banner</t>
  </si>
  <si>
    <t>25-44 Delhi | Appograpghy : Online shopping apps | Lang : Eng</t>
  </si>
  <si>
    <t>HT Media</t>
  </si>
  <si>
    <t>25-44 Delhi | News/Lifestyle/Entertainment/Finance</t>
  </si>
  <si>
    <t>TIL Audience Network (English)</t>
  </si>
  <si>
    <t>25-44 Delhi | Online shoppers + OTT interest</t>
  </si>
  <si>
    <t>Lucknow</t>
  </si>
  <si>
    <t>MF 25-44 - Lucknow | Affinity - Shoppers, Light TV Viewers</t>
  </si>
  <si>
    <t>25-44 Lucknow | Appograpghy : Online shopping apps | Lang : Eng</t>
  </si>
  <si>
    <t>25-44 Lucknow |  News/Lifestyle/Entertainment/Finance</t>
  </si>
  <si>
    <t>25-44 Lucknow | Online shoppers + OTT interest</t>
  </si>
  <si>
    <t xml:space="preserve"> 18+ Lucknow</t>
  </si>
  <si>
    <t>Build Up</t>
  </si>
  <si>
    <t>Sale phase</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</si>
  <si>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</si>
  <si>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</si>
  <si>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</si>
  <si>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</si>
  <si>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</si>
  <si>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</si>
  <si>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</si>
  <si>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</si>
  <si>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</si>
  <si>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</si>
  <si>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</si>
  <si>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</si>
  <si>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</si>
  <si>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</si>
  <si>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</si>
  <si>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</si>
  <si>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</si>
  <si>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</si>
  <si>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</si>
  <si>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Impacts Scheduling</t>
  </si>
  <si>
    <t>T-18</t>
  </si>
  <si>
    <t>Oppo</t>
  </si>
  <si>
    <t>Xiaomi</t>
  </si>
  <si>
    <t>YouTube (MH)</t>
  </si>
  <si>
    <t>Impacts highlighted in blue are shared with specials</t>
  </si>
  <si>
    <t>AP/TL News</t>
  </si>
  <si>
    <t>Media</t>
  </si>
  <si>
    <t>Affinity
index</t>
  </si>
  <si>
    <t>Avg minutes
/visitor</t>
  </si>
  <si>
    <t>Reach Score</t>
  </si>
  <si>
    <t>Affinity Score</t>
  </si>
  <si>
    <t>Stickiness Score</t>
  </si>
  <si>
    <t>Weighted index</t>
  </si>
  <si>
    <t>Sakshi</t>
  </si>
  <si>
    <t>Samayam Telugu</t>
  </si>
  <si>
    <t>Andhra Jyothy</t>
  </si>
  <si>
    <t>TV9 Telegu</t>
  </si>
  <si>
    <t>One India Telugu</t>
  </si>
  <si>
    <t>TN News</t>
  </si>
  <si>
    <t>One India Tamil</t>
  </si>
  <si>
    <t>Samayam Tamil</t>
  </si>
  <si>
    <t>Daily Thanthi</t>
  </si>
  <si>
    <t>Dinamalar</t>
  </si>
  <si>
    <t>MH News</t>
  </si>
  <si>
    <t>TV9 Marathi</t>
  </si>
  <si>
    <t>Maharashtra Times</t>
  </si>
  <si>
    <t>Sakal</t>
  </si>
  <si>
    <t>ABP Majha</t>
  </si>
  <si>
    <t>Sessions</t>
  </si>
  <si>
    <t>CPS</t>
  </si>
  <si>
    <t>C2S%</t>
  </si>
  <si>
    <t>Reach Index</t>
  </si>
  <si>
    <t>CPS Index</t>
  </si>
  <si>
    <t>CPM Index</t>
  </si>
  <si>
    <t>Weighted Index</t>
  </si>
  <si>
    <t>Sharechat + Moj</t>
  </si>
  <si>
    <t>Moj</t>
  </si>
  <si>
    <t>TOI + India Times</t>
  </si>
  <si>
    <t>Josh</t>
  </si>
  <si>
    <t>Public App</t>
  </si>
  <si>
    <t>Moneycontrol</t>
  </si>
  <si>
    <t>BGR</t>
  </si>
  <si>
    <t>TV9 Kannada</t>
  </si>
  <si>
    <t>Sonyliv</t>
  </si>
  <si>
    <t>Digit</t>
  </si>
  <si>
    <t>ABP News</t>
  </si>
  <si>
    <t>91Mobiles</t>
  </si>
  <si>
    <t>Vijaya Karnataka</t>
  </si>
  <si>
    <t>NDTV News English + Hindi</t>
  </si>
  <si>
    <t>Base</t>
  </si>
  <si>
    <t>Amazon Prime Video</t>
  </si>
  <si>
    <t>Amazon.in</t>
  </si>
  <si>
    <t>Target Audience (000)</t>
  </si>
  <si>
    <t>% Vertical</t>
  </si>
  <si>
    <t>Shared Audience (000)</t>
  </si>
  <si>
    <t>% Horizontal</t>
  </si>
  <si>
    <t>Index</t>
  </si>
  <si>
    <t>Potential Prime</t>
  </si>
  <si>
    <t>Composite Score</t>
  </si>
  <si>
    <t>Payment App</t>
  </si>
  <si>
    <t xml:space="preserve">PayTM </t>
  </si>
  <si>
    <t>TRUECALLER</t>
  </si>
  <si>
    <t xml:space="preserve">PhonePe </t>
  </si>
  <si>
    <t>NDTV</t>
  </si>
  <si>
    <t>Tech News</t>
  </si>
  <si>
    <t>GIZBOT</t>
  </si>
  <si>
    <t>TIMESOFINDIA</t>
  </si>
  <si>
    <t>MASHABLE</t>
  </si>
  <si>
    <t>INDIANEXPRESS</t>
  </si>
  <si>
    <t>INDIATODAY</t>
  </si>
  <si>
    <t>HINDUSTANTIMES*</t>
  </si>
  <si>
    <t>LiveMint</t>
  </si>
  <si>
    <t>DIGIT</t>
  </si>
  <si>
    <t>THEHINDU</t>
  </si>
  <si>
    <t>Aaj Tak</t>
  </si>
  <si>
    <t>GSMARENA</t>
  </si>
  <si>
    <t>91MOBILES</t>
  </si>
  <si>
    <t>HOTSTAR</t>
  </si>
  <si>
    <t>Music OTT</t>
  </si>
  <si>
    <t>WYNK</t>
  </si>
  <si>
    <t xml:space="preserve">OLX </t>
  </si>
  <si>
    <t xml:space="preserve">Airtel TV </t>
  </si>
  <si>
    <t>Lokmat Sites</t>
  </si>
  <si>
    <t>SONYLIV</t>
  </si>
  <si>
    <t>Financial Express</t>
  </si>
  <si>
    <t>GADGETSNOW</t>
  </si>
  <si>
    <t>JIOSAAVN</t>
  </si>
  <si>
    <t>WPS Office</t>
  </si>
  <si>
    <t>TV9 Network</t>
  </si>
  <si>
    <t>The Quint</t>
  </si>
  <si>
    <t>AIRTELXSTREAM</t>
  </si>
  <si>
    <t>GAANA</t>
  </si>
  <si>
    <t>MYSMARTPRICE</t>
  </si>
  <si>
    <t xml:space="preserve">Money Control </t>
  </si>
  <si>
    <t>Sports</t>
  </si>
  <si>
    <t>ESPN Sites</t>
  </si>
  <si>
    <t>VOOT</t>
  </si>
  <si>
    <t>PUBLIC.APP</t>
  </si>
  <si>
    <t>C1 Cities</t>
  </si>
  <si>
    <t>BANGALORE</t>
  </si>
  <si>
    <t>DELHI</t>
  </si>
  <si>
    <t>MUMBAI</t>
  </si>
  <si>
    <t>HYDERABAD</t>
  </si>
  <si>
    <t>CHENNAI</t>
  </si>
  <si>
    <t>PUNE</t>
  </si>
  <si>
    <t>KOLKATA</t>
  </si>
  <si>
    <t>GURGAON</t>
  </si>
  <si>
    <t>RO -C1</t>
  </si>
  <si>
    <t>NOIDA</t>
  </si>
  <si>
    <t>JAIPUR</t>
  </si>
  <si>
    <t>AHMEDABAD</t>
  </si>
  <si>
    <t>COIMBATORE</t>
  </si>
  <si>
    <t>VISAKHAPATNAM</t>
  </si>
  <si>
    <t>PATNA</t>
  </si>
  <si>
    <t>THANE</t>
  </si>
  <si>
    <t>CHANDIGARH</t>
  </si>
  <si>
    <t>SURAT</t>
  </si>
  <si>
    <t>KOCHI</t>
  </si>
  <si>
    <t>GANDHI NAGAR</t>
  </si>
  <si>
    <t>NAGPUR</t>
  </si>
  <si>
    <t>FARIDABAD</t>
  </si>
  <si>
    <t>VADODARA</t>
  </si>
  <si>
    <t>INDORE</t>
  </si>
  <si>
    <t>LUCKNOW</t>
  </si>
  <si>
    <t>BHUBANESHWAR</t>
  </si>
  <si>
    <t>Cities</t>
  </si>
  <si>
    <t>Thiruvananthpuram</t>
  </si>
  <si>
    <t>Kanpur</t>
  </si>
  <si>
    <t>Vijaywada</t>
  </si>
  <si>
    <t>Guwahati</t>
  </si>
  <si>
    <t>Guntur</t>
  </si>
  <si>
    <t>Madurai</t>
  </si>
  <si>
    <t>Beed</t>
  </si>
  <si>
    <t>Panjim</t>
  </si>
  <si>
    <t>Rajahmundhry</t>
  </si>
  <si>
    <t>Bhopal</t>
  </si>
  <si>
    <t>Dehradun</t>
  </si>
  <si>
    <t>Imphal</t>
  </si>
  <si>
    <t>Satara</t>
  </si>
  <si>
    <t>Nashik</t>
  </si>
  <si>
    <t>Salem</t>
  </si>
  <si>
    <t>Durgapur</t>
  </si>
  <si>
    <t>Chittoor</t>
  </si>
  <si>
    <t>Solapur</t>
  </si>
  <si>
    <t>Ranchi</t>
  </si>
  <si>
    <t>Varanasi</t>
  </si>
  <si>
    <t>Sangli</t>
  </si>
  <si>
    <t>Ludhiana</t>
  </si>
  <si>
    <t xml:space="preserve">Bharuch </t>
  </si>
  <si>
    <t>Jalandhar</t>
  </si>
  <si>
    <t>Nellore</t>
  </si>
  <si>
    <t>Non ACE</t>
  </si>
  <si>
    <t>ACE</t>
  </si>
  <si>
    <t>Everything shifted to ACE</t>
  </si>
  <si>
    <t>Revised Plan version</t>
  </si>
  <si>
    <t>V1</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</si>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</sst>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6" formatCode="&quot;₹&quot;\ #,##0;[Red]&quot;₹&quot;\ \-#,##0"/>
    <numFmt numFmtId="8" formatCode="&quot;₹&quot;\ #,##0.00;[Red]&quot;₹&quot;\ \-#,##0.00"/>
    <numFmt numFmtId="44" formatCode="_ &quot;₹&quot;\ * #,##0.00_ ;_ &quot;₹&quot;\ * \-#,##0.00_ ;_ &quot;₹&quot;\ * &quot;-&quot;??_ ;_ @_ "/>
    <numFmt numFmtId="43" formatCode="_ * #,##0.00_ ;_ * \-#,##0.00_ ;_ * &quot;-&quot;??_ ;_ @_ "/>
    <numFmt numFmtId="164" formatCode="_(* #,##0.00_);_(* \(#,##0.00\);_(* &quot;-&quot;??_);_(@_)"/>
    <numFmt numFmtId="165" formatCode="_ * #,##0_ ;_ * \-#,##0_ ;_ * &quot;-&quot;??_ ;_ @_ "/>
    <numFmt numFmtId="166" formatCode="_ * #,##0_ ;_ * \-#,##0_ ;_ * &quot;-&quot;?_ ;_ @_ "/>
    <numFmt numFmtId="167" formatCode="0.0"/>
    <numFmt numFmtId="168" formatCode="_ [$INR]\ * #,##0_ ;_ [$INR]\ * \-#,##0_ ;_ [$INR]\ * &quot;-&quot;_ ;_ @_ "/>
    <numFmt numFmtId="169" formatCode="0.00,,\ &quot;MM&quot;"/>
    <numFmt numFmtId="170" formatCode="0.0,,\ &quot;MM&quot;"/>
    <numFmt numFmtId="171" formatCode="0,,\ &quot;MM&quot;"/>
    <numFmt numFmtId="172" formatCode="_(* #,##0_);_(* \(#,##0\);_(* &quot;-&quot;??_);_(@_)"/>
    <numFmt numFmtId="173" formatCode="_([$INR]\ * #,##0_);_([$INR]\ * \(#,##0\);_([$INR]\ * &quot;-&quot;_);_(@_)"/>
    <numFmt numFmtId="174" formatCode="_ [$₹-4009]\ * #,##0.00_ ;_ [$₹-4009]\ * \-#,##0.00_ ;_ [$₹-4009]\ * &quot;-&quot;??_ ;_ @_ "/>
    <numFmt numFmtId="175" formatCode="#,##0.0"/>
    <numFmt numFmtId="176" formatCode="_ [$₹-4009]\ * #,##0_ ;_ [$₹-4009]\ * \-#,##0_ ;_ [$₹-4009]\ * &quot;-&quot;??_ ;_ @_ "/>
    <numFmt numFmtId="177" formatCode="[$-F800]dddd\,\ mmmm\ dd\,\ yyyy"/>
    <numFmt numFmtId="178" formatCode="_ [$₹-4009]\ * #,##0.0_ ;_ [$₹-4009]\ * \-#,##0.0_ ;_ [$₹-4009]\ * &quot;-&quot;??_ ;_ @_ "/>
    <numFmt numFmtId="179" formatCode="&quot;₹&quot;\ #,##0"/>
    <numFmt numFmtId="180" formatCode="##,##0"/>
    <numFmt numFmtId="181" formatCode="[$INR]\ #,##0"/>
    <numFmt numFmtId="182" formatCode="0.00000000000000%"/>
    <numFmt numFmtId="183" formatCode="_ &quot;₹&quot;\ * #,##0_ ;_ &quot;₹&quot;\ * \-#,##0_ ;_ &quot;₹&quot;\ * &quot;-&quot;??_ ;_ @_ "/>
    <numFmt numFmtId="184" formatCode="0.0%"/>
    <numFmt numFmtId="185" formatCode="0.00000"/>
    <numFmt numFmtId="186" formatCode="0.00000000"/>
    <numFmt numFmtId="187" formatCode="##0"/>
    <numFmt numFmtId="188" formatCode="[$INR]\ #,##0.00"/>
    <numFmt numFmtId="189" formatCode="_ &quot;₹&quot;\ * #,##0.0_ ;_ &quot;₹&quot;\ * \-#,##0.0_ ;_ &quot;₹&quot;\ * &quot;-&quot;??_ ;_ @_ "/>
    <numFmt numFmtId="190" formatCode="0.000"/>
    <numFmt numFmtId="191" formatCode="[$-409]d/mmm/yy;@"/>
    <numFmt numFmtId="192" formatCode="_ * #,##0.0_ ;_ * \-#,##0.0_ ;_ * &quot;-&quot;??_ ;_ @_ "/>
    <numFmt numFmtId="193" formatCode="0.000000"/>
  </numFmts>
  <fonts count="52">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rgb="FF9C0006"/>
      <name val="Calibri"/>
      <family val="2"/>
      <scheme val="minor"/>
    </font>
    <font>
      <b/>
      <sz val="11"/>
      <color theme="0"/>
      <name val="Calibri"/>
      <family val="2"/>
      <scheme val="minor"/>
    </font>
    <font>
      <sz val="9"/>
      <color theme="1"/>
      <name val="Calibri"/>
      <family val="2"/>
    </font>
    <font>
      <b/>
      <sz val="9"/>
      <color theme="0"/>
      <name val="Calibri"/>
      <family val="2"/>
      <scheme val="minor"/>
    </font>
    <font>
      <b/>
      <sz val="9"/>
      <name val="Calibri"/>
      <family val="2"/>
      <scheme val="minor"/>
    </font>
    <font>
      <sz val="9"/>
      <color theme="1"/>
      <name val="Calibri"/>
      <family val="2"/>
      <scheme val="minor"/>
    </font>
    <font>
      <sz val="9"/>
      <name val="Calibri"/>
      <family val="2"/>
      <scheme val="minor"/>
    </font>
    <font>
      <sz val="12"/>
      <color rgb="FF000000"/>
      <name val="Calibri"/>
      <family val="2"/>
    </font>
    <font>
      <sz val="8"/>
      <name val="Calibri"/>
      <family val="2"/>
      <scheme val="minor"/>
    </font>
    <font>
      <sz val="10"/>
      <color rgb="FF000000"/>
      <name val="Arial"/>
      <family val="2"/>
    </font>
    <font>
      <sz val="10"/>
      <name val="Arial"/>
      <family val="2"/>
    </font>
    <font>
      <b/>
      <sz val="14"/>
      <color rgb="FF000000"/>
      <name val="Helvetica Neue"/>
    </font>
    <font>
      <sz val="11"/>
      <color rgb="FF000000"/>
      <name val="Calibri"/>
      <family val="2"/>
    </font>
    <font>
      <sz val="12"/>
      <color rgb="FF000000"/>
      <name val="Helvetica Neue"/>
    </font>
    <font>
      <b/>
      <sz val="11"/>
      <color rgb="FF000000"/>
      <name val="Arial"/>
      <family val="2"/>
    </font>
    <font>
      <sz val="11"/>
      <color rgb="FF000000"/>
      <name val="Arial"/>
      <family val="2"/>
    </font>
    <font>
      <sz val="11"/>
      <color theme="1"/>
      <name val="Arial"/>
      <family val="2"/>
    </font>
    <font>
      <sz val="9"/>
      <color rgb="FF000000"/>
      <name val="Calibri"/>
      <family val="2"/>
      <scheme val="minor"/>
    </font>
    <font>
      <sz val="11"/>
      <name val="Calibri"/>
      <family val="2"/>
      <scheme val="minor"/>
    </font>
    <font>
      <b/>
      <sz val="9"/>
      <color rgb="FF000000"/>
      <name val="Calibri"/>
      <family val="2"/>
      <scheme val="minor"/>
    </font>
    <font>
      <b/>
      <sz val="10"/>
      <color theme="0"/>
      <name val="Calibri"/>
      <family val="2"/>
      <scheme val="minor"/>
    </font>
    <font>
      <b/>
      <sz val="9"/>
      <color theme="0"/>
      <name val="Calibri"/>
      <family val="2"/>
    </font>
    <font>
      <b/>
      <sz val="9"/>
      <color theme="1"/>
      <name val="Calibri"/>
      <family val="2"/>
      <scheme val="minor"/>
    </font>
    <font>
      <sz val="11"/>
      <color theme="1"/>
      <name val="Calibri"/>
      <family val="2"/>
      <scheme val="minor"/>
    </font>
    <font>
      <b/>
      <sz val="10"/>
      <name val="Calibri"/>
      <family val="2"/>
      <scheme val="minor"/>
    </font>
    <font>
      <sz val="11"/>
      <color theme="1"/>
      <name val="Calibri"/>
      <family val="2"/>
      <scheme val="minor"/>
    </font>
    <font>
      <sz val="9"/>
      <color indexed="81"/>
      <name val="Tahoma"/>
      <family val="2"/>
    </font>
    <font>
      <b/>
      <sz val="9"/>
      <color indexed="81"/>
      <name val="Tahoma"/>
      <family val="2"/>
    </font>
    <font>
      <b/>
      <i/>
      <sz val="9"/>
      <name val="Calibri"/>
      <family val="2"/>
      <scheme val="minor"/>
    </font>
    <font>
      <sz val="9"/>
      <color rgb="FF000000"/>
      <name val="Calibri"/>
      <family val="2"/>
    </font>
    <font>
      <sz val="10"/>
      <color theme="0"/>
      <name val="Calibri"/>
      <family val="2"/>
      <scheme val="minor"/>
    </font>
    <font>
      <b/>
      <i/>
      <sz val="9"/>
      <color theme="1"/>
      <name val="Calibri"/>
      <family val="2"/>
      <scheme val="minor"/>
    </font>
    <font>
      <b/>
      <sz val="10"/>
      <color rgb="FFFF0000"/>
      <name val="Calibri"/>
      <family val="2"/>
      <scheme val="minor"/>
    </font>
    <font>
      <b/>
      <i/>
      <sz val="9"/>
      <color rgb="FFFF0000"/>
      <name val="Calibri"/>
      <family val="2"/>
      <scheme val="minor"/>
    </font>
    <font>
      <b/>
      <sz val="11"/>
      <name val="Calibri"/>
      <family val="2"/>
      <scheme val="minor"/>
    </font>
    <font>
      <b/>
      <i/>
      <sz val="10"/>
      <color theme="1"/>
      <name val="Calibri"/>
      <family val="2"/>
      <scheme val="minor"/>
    </font>
    <font>
      <b/>
      <i/>
      <sz val="10"/>
      <name val="Calibri"/>
      <family val="2"/>
      <scheme val="minor"/>
    </font>
    <font>
      <b/>
      <sz val="9"/>
      <color rgb="FF212529"/>
      <name val="Arial"/>
      <family val="2"/>
    </font>
    <font>
      <sz val="9"/>
      <color rgb="FF212529"/>
      <name val="Arial"/>
      <family val="2"/>
    </font>
    <font>
      <sz val="8"/>
      <color rgb="FF212529"/>
      <name val="Arial"/>
      <family val="2"/>
    </font>
    <font>
      <i/>
      <sz val="11"/>
      <color theme="1"/>
      <name val="Calibri"/>
      <family val="2"/>
      <scheme val="minor"/>
    </font>
    <font>
      <sz val="11"/>
      <color theme="0"/>
      <name val="Calibri"/>
      <family val="2"/>
      <scheme val="minor"/>
    </font>
    <font>
      <sz val="11"/>
      <color rgb="FFFF0000"/>
      <name val="Calibri"/>
      <family val="2"/>
      <scheme val="minor"/>
    </font>
    <font>
      <sz val="9"/>
      <color rgb="FFFF0000"/>
      <name val="Calibri"/>
      <family val="2"/>
      <scheme val="minor"/>
    </font>
    <font>
      <sz val="9"/>
      <color theme="0"/>
      <name val="Calibri"/>
      <family val="2"/>
      <scheme val="minor"/>
    </font>
    <font>
      <sz val="10"/>
      <color rgb="FFFF0000"/>
      <name val="Calibri"/>
      <family val="2"/>
      <scheme val="minor"/>
    </font>
    <font>
      <b/>
      <sz val="10"/>
      <color rgb="FFFFFFFF"/>
      <name val="Calibri"/>
      <family val="2"/>
      <scheme val="minor"/>
    </font>
  </fonts>
  <fills count="35">
    <fill>
      <patternFill patternType="none"/>
    </fill>
    <fill>
      <patternFill patternType="gray125"/>
    </fill>
    <fill>
      <patternFill patternType="solid">
        <fgColor theme="4" tint="0.59999389629810485"/>
        <bgColor indexed="64"/>
      </patternFill>
    </fill>
    <fill>
      <patternFill patternType="solid">
        <fgColor theme="0"/>
        <bgColor theme="0"/>
      </patternFill>
    </fill>
    <fill>
      <patternFill patternType="solid">
        <fgColor theme="8" tint="0.59999389629810485"/>
        <bgColor indexed="64"/>
      </patternFill>
    </fill>
    <fill>
      <patternFill patternType="solid">
        <fgColor rgb="FFFFC7CE"/>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4472C4"/>
        <bgColor indexed="64"/>
      </patternFill>
    </fill>
    <fill>
      <patternFill patternType="solid">
        <fgColor rgb="FFF2F2F2"/>
        <bgColor indexed="64"/>
      </patternFill>
    </fill>
    <fill>
      <patternFill patternType="solid">
        <fgColor theme="2" tint="-9.9978637043366805E-2"/>
        <bgColor indexed="64"/>
      </patternFill>
    </fill>
    <fill>
      <patternFill patternType="solid">
        <fgColor theme="7"/>
        <bgColor indexed="64"/>
      </patternFill>
    </fill>
    <fill>
      <patternFill patternType="solid">
        <fgColor rgb="FFFF0000"/>
        <bgColor indexed="64"/>
      </patternFill>
    </fill>
    <fill>
      <patternFill patternType="solid">
        <fgColor theme="4" tint="0.39997558519241921"/>
        <bgColor indexed="64"/>
      </patternFill>
    </fill>
    <fill>
      <patternFill patternType="solid">
        <fgColor theme="1"/>
        <bgColor theme="1"/>
      </patternFill>
    </fill>
    <fill>
      <patternFill patternType="solid">
        <fgColor theme="8"/>
        <bgColor theme="8"/>
      </patternFill>
    </fill>
    <fill>
      <patternFill patternType="solid">
        <fgColor rgb="FFFFFFFF"/>
        <bgColor rgb="FFFFFFFF"/>
      </patternFill>
    </fill>
    <fill>
      <patternFill patternType="solid">
        <fgColor theme="0"/>
        <bgColor rgb="FFFFFFFF"/>
      </patternFill>
    </fill>
    <fill>
      <patternFill patternType="solid">
        <fgColor theme="9" tint="0.59999389629810485"/>
        <bgColor theme="4" tint="0.79998168889431442"/>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AFAFA"/>
        <bgColor indexed="64"/>
      </patternFill>
    </fill>
    <fill>
      <patternFill patternType="solid">
        <fgColor theme="3" tint="0.59999389629810485"/>
        <bgColor indexed="64"/>
      </patternFill>
    </fill>
    <fill>
      <patternFill patternType="solid">
        <fgColor theme="1"/>
        <bgColor theme="4"/>
      </patternFill>
    </fill>
    <fill>
      <patternFill patternType="solid">
        <fgColor theme="0" tint="-0.34998626667073579"/>
        <bgColor indexed="64"/>
      </patternFill>
    </fill>
    <fill>
      <patternFill patternType="solid">
        <fgColor rgb="FFFFFF00"/>
        <bgColor indexed="64"/>
      </patternFill>
    </fill>
    <fill>
      <patternFill patternType="solid">
        <fgColor theme="1" tint="0.34998626667073579"/>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59999389629810485"/>
        <bgColor theme="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
      <left style="thin">
        <color theme="0"/>
      </left>
      <right/>
      <top/>
      <bottom/>
      <diagonal/>
    </border>
    <border>
      <left style="thin">
        <color rgb="FF000000"/>
      </left>
      <right style="thin">
        <color rgb="FF000000"/>
      </right>
      <top style="thin">
        <color rgb="FF000000"/>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5" fillId="5" borderId="0" applyNumberFormat="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4" fillId="0" borderId="0"/>
    <xf numFmtId="43" fontId="14" fillId="0" borderId="0" applyFont="0" applyFill="0" applyBorder="0" applyAlignment="0" applyProtection="0"/>
    <xf numFmtId="0" fontId="15" fillId="0" borderId="0"/>
    <xf numFmtId="0" fontId="14" fillId="0" borderId="0"/>
    <xf numFmtId="0" fontId="28" fillId="0" borderId="0"/>
    <xf numFmtId="0" fontId="30" fillId="0" borderId="0"/>
    <xf numFmtId="44" fontId="1" fillId="0" borderId="0" applyFont="0" applyFill="0" applyBorder="0" applyAlignment="0" applyProtection="0"/>
    <xf numFmtId="43" fontId="1" fillId="0" borderId="0" applyFont="0" applyFill="0" applyBorder="0" applyAlignment="0" applyProtection="0"/>
  </cellStyleXfs>
  <cellXfs count="826">
    <xf numFmtId="0" fontId="0" fillId="0" borderId="0" xfId="0"/>
    <xf numFmtId="0" fontId="2" fillId="2" borderId="1" xfId="0" applyFont="1" applyFill="1" applyBorder="1" applyAlignment="1">
      <alignment horizontal="center" vertical="center"/>
    </xf>
    <xf numFmtId="0" fontId="0" fillId="0" borderId="1" xfId="0" applyBorder="1" applyAlignment="1">
      <alignment horizontal="center"/>
    </xf>
    <xf numFmtId="165" fontId="0" fillId="0" borderId="1" xfId="1" applyNumberFormat="1" applyFont="1" applyBorder="1" applyAlignment="1">
      <alignment horizontal="center"/>
    </xf>
    <xf numFmtId="1" fontId="0" fillId="0" borderId="1" xfId="0" applyNumberFormat="1" applyBorder="1" applyAlignment="1">
      <alignment horizontal="center"/>
    </xf>
    <xf numFmtId="165" fontId="0" fillId="0" borderId="0" xfId="0" applyNumberFormat="1"/>
    <xf numFmtId="0" fontId="0" fillId="0" borderId="1" xfId="0" applyBorder="1"/>
    <xf numFmtId="165" fontId="0" fillId="0" borderId="1" xfId="0" applyNumberFormat="1" applyBorder="1"/>
    <xf numFmtId="165" fontId="0" fillId="0" borderId="0" xfId="1" applyNumberFormat="1" applyFont="1"/>
    <xf numFmtId="165" fontId="0" fillId="0" borderId="1" xfId="1" applyNumberFormat="1" applyFont="1" applyBorder="1"/>
    <xf numFmtId="9" fontId="0" fillId="0" borderId="1" xfId="2" applyFont="1" applyBorder="1"/>
    <xf numFmtId="9" fontId="0" fillId="0" borderId="1" xfId="0" applyNumberFormat="1" applyBorder="1"/>
    <xf numFmtId="166" fontId="0" fillId="0" borderId="1" xfId="0" applyNumberFormat="1" applyBorder="1"/>
    <xf numFmtId="10" fontId="0" fillId="0" borderId="1" xfId="0" applyNumberFormat="1" applyBorder="1"/>
    <xf numFmtId="0" fontId="0" fillId="0" borderId="1" xfId="0" applyBorder="1" applyAlignment="1">
      <alignment horizontal="center" vertical="center"/>
    </xf>
    <xf numFmtId="165" fontId="0" fillId="0" borderId="1" xfId="1"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165" fontId="2" fillId="0" borderId="1" xfId="1" applyNumberFormat="1" applyFont="1" applyBorder="1" applyAlignment="1">
      <alignment horizontal="center" vertical="center"/>
    </xf>
    <xf numFmtId="10" fontId="0" fillId="0" borderId="1" xfId="2" applyNumberFormat="1" applyFont="1" applyBorder="1" applyAlignment="1">
      <alignment horizontal="center" vertical="center"/>
    </xf>
    <xf numFmtId="10" fontId="2" fillId="0" borderId="1" xfId="2" applyNumberFormat="1" applyFont="1" applyBorder="1" applyAlignment="1">
      <alignment horizontal="center" vertical="center"/>
    </xf>
    <xf numFmtId="10" fontId="0" fillId="0" borderId="0" xfId="2" applyNumberFormat="1" applyFont="1"/>
    <xf numFmtId="0" fontId="2" fillId="4" borderId="1" xfId="0" applyFont="1" applyFill="1" applyBorder="1" applyAlignment="1">
      <alignment horizontal="center" vertical="center"/>
    </xf>
    <xf numFmtId="9" fontId="0" fillId="0" borderId="0" xfId="2" applyFont="1"/>
    <xf numFmtId="165" fontId="0" fillId="0" borderId="1" xfId="0" applyNumberFormat="1" applyBorder="1" applyAlignment="1">
      <alignment horizontal="center" vertical="center"/>
    </xf>
    <xf numFmtId="0" fontId="6" fillId="6" borderId="1" xfId="0" applyFont="1" applyFill="1" applyBorder="1" applyAlignment="1">
      <alignment horizontal="center" vertical="center"/>
    </xf>
    <xf numFmtId="9" fontId="0" fillId="0" borderId="1" xfId="0" applyNumberFormat="1" applyBorder="1" applyAlignment="1">
      <alignment horizontal="center" vertical="center"/>
    </xf>
    <xf numFmtId="9" fontId="0" fillId="0" borderId="1" xfId="2" applyFont="1" applyBorder="1" applyAlignment="1">
      <alignment horizontal="center" vertical="center"/>
    </xf>
    <xf numFmtId="2" fontId="0" fillId="0" borderId="1" xfId="0" applyNumberFormat="1" applyBorder="1" applyAlignment="1">
      <alignment horizontal="center" vertical="center"/>
    </xf>
    <xf numFmtId="167" fontId="0" fillId="0" borderId="1" xfId="0" applyNumberFormat="1" applyBorder="1" applyAlignment="1">
      <alignment horizontal="center" vertical="center"/>
    </xf>
    <xf numFmtId="1" fontId="0" fillId="0" borderId="1" xfId="0" applyNumberFormat="1" applyBorder="1" applyAlignment="1">
      <alignment horizontal="center" vertical="center"/>
    </xf>
    <xf numFmtId="43" fontId="2" fillId="0" borderId="1" xfId="0" applyNumberFormat="1" applyFont="1" applyBorder="1" applyAlignment="1">
      <alignment horizontal="center" vertical="center"/>
    </xf>
    <xf numFmtId="2" fontId="0" fillId="0" borderId="0" xfId="0" applyNumberFormat="1"/>
    <xf numFmtId="1" fontId="0" fillId="0" borderId="1" xfId="0" applyNumberFormat="1" applyBorder="1"/>
    <xf numFmtId="49" fontId="9" fillId="9" borderId="7" xfId="1" applyNumberFormat="1" applyFont="1" applyFill="1" applyBorder="1" applyAlignment="1">
      <alignment horizontal="left" vertical="center"/>
    </xf>
    <xf numFmtId="49" fontId="9" fillId="9" borderId="0" xfId="1" applyNumberFormat="1" applyFont="1" applyFill="1" applyBorder="1" applyAlignment="1">
      <alignment horizontal="center" vertical="center"/>
    </xf>
    <xf numFmtId="172" fontId="9" fillId="9" borderId="0" xfId="1" applyNumberFormat="1" applyFont="1" applyFill="1" applyBorder="1" applyAlignment="1">
      <alignment horizontal="center" vertical="center"/>
    </xf>
    <xf numFmtId="10" fontId="9" fillId="9" borderId="0" xfId="1" applyNumberFormat="1" applyFont="1" applyFill="1" applyBorder="1" applyAlignment="1">
      <alignment horizontal="center" vertical="center"/>
    </xf>
    <xf numFmtId="3" fontId="9" fillId="9" borderId="0" xfId="1" applyNumberFormat="1" applyFont="1" applyFill="1" applyBorder="1" applyAlignment="1">
      <alignment horizontal="center" vertical="center"/>
    </xf>
    <xf numFmtId="173" fontId="9" fillId="9" borderId="0" xfId="1" applyNumberFormat="1" applyFont="1" applyFill="1" applyBorder="1" applyAlignment="1">
      <alignment horizontal="center" vertical="center"/>
    </xf>
    <xf numFmtId="176" fontId="9" fillId="9" borderId="0" xfId="1" applyNumberFormat="1" applyFont="1" applyFill="1" applyBorder="1" applyAlignment="1">
      <alignment horizontal="center" vertical="center"/>
    </xf>
    <xf numFmtId="9" fontId="9" fillId="9" borderId="0" xfId="2" applyFont="1" applyFill="1" applyBorder="1" applyAlignment="1">
      <alignment horizontal="center" vertical="center"/>
    </xf>
    <xf numFmtId="10" fontId="11" fillId="8" borderId="1" xfId="4" applyNumberFormat="1" applyFont="1" applyFill="1" applyBorder="1" applyAlignment="1">
      <alignment horizontal="center" vertical="center"/>
    </xf>
    <xf numFmtId="3" fontId="11" fillId="8" borderId="1" xfId="4" applyNumberFormat="1" applyFont="1" applyFill="1" applyBorder="1" applyAlignment="1">
      <alignment horizontal="center" vertical="center"/>
    </xf>
    <xf numFmtId="9" fontId="11" fillId="8" borderId="1" xfId="4" applyNumberFormat="1" applyFont="1" applyFill="1" applyBorder="1" applyAlignment="1">
      <alignment horizontal="center" vertical="center"/>
    </xf>
    <xf numFmtId="3" fontId="11" fillId="8" borderId="1" xfId="1" applyNumberFormat="1" applyFont="1" applyFill="1" applyBorder="1" applyAlignment="1">
      <alignment horizontal="center" vertical="center"/>
    </xf>
    <xf numFmtId="9" fontId="11" fillId="8" borderId="1" xfId="2" applyFont="1" applyFill="1" applyBorder="1" applyAlignment="1">
      <alignment horizontal="center" vertical="center"/>
    </xf>
    <xf numFmtId="175" fontId="11" fillId="8" borderId="1" xfId="4" applyNumberFormat="1" applyFont="1" applyFill="1" applyBorder="1" applyAlignment="1">
      <alignment horizontal="center" vertical="center"/>
    </xf>
    <xf numFmtId="49" fontId="11" fillId="8" borderId="1" xfId="1" applyNumberFormat="1" applyFont="1" applyFill="1" applyBorder="1" applyAlignment="1">
      <alignment horizontal="center" vertical="center"/>
    </xf>
    <xf numFmtId="175" fontId="11" fillId="8" borderId="0" xfId="4" applyNumberFormat="1" applyFont="1" applyFill="1" applyBorder="1" applyAlignment="1">
      <alignment horizontal="center" vertical="center"/>
    </xf>
    <xf numFmtId="3" fontId="9" fillId="9" borderId="0" xfId="1" applyNumberFormat="1" applyFont="1" applyFill="1" applyAlignment="1">
      <alignment horizontal="center" vertical="center"/>
    </xf>
    <xf numFmtId="172" fontId="11" fillId="8" borderId="1" xfId="4" applyNumberFormat="1" applyFont="1" applyFill="1" applyBorder="1" applyAlignment="1">
      <alignment horizontal="center" vertical="center"/>
    </xf>
    <xf numFmtId="0" fontId="8" fillId="6" borderId="3" xfId="0" applyFont="1" applyFill="1" applyBorder="1" applyAlignment="1">
      <alignment horizontal="center" vertical="center"/>
    </xf>
    <xf numFmtId="37" fontId="8" fillId="6" borderId="3" xfId="1" applyNumberFormat="1" applyFont="1" applyFill="1" applyBorder="1" applyAlignment="1">
      <alignment horizontal="center" vertical="center"/>
    </xf>
    <xf numFmtId="10" fontId="8" fillId="6" borderId="3" xfId="2" applyNumberFormat="1" applyFont="1" applyFill="1" applyBorder="1" applyAlignment="1">
      <alignment horizontal="center" vertical="center"/>
    </xf>
    <xf numFmtId="176" fontId="8" fillId="6" borderId="3" xfId="1" applyNumberFormat="1" applyFont="1" applyFill="1" applyBorder="1" applyAlignment="1">
      <alignment horizontal="center" vertical="center"/>
    </xf>
    <xf numFmtId="176" fontId="8" fillId="6" borderId="9" xfId="1" applyNumberFormat="1" applyFont="1" applyFill="1" applyBorder="1" applyAlignment="1">
      <alignment horizontal="center" vertical="center"/>
    </xf>
    <xf numFmtId="173" fontId="8" fillId="6" borderId="2" xfId="1" applyNumberFormat="1" applyFont="1" applyFill="1" applyBorder="1" applyAlignment="1">
      <alignment horizontal="center" vertical="center"/>
    </xf>
    <xf numFmtId="3" fontId="8" fillId="6" borderId="2" xfId="1" applyNumberFormat="1" applyFont="1" applyFill="1" applyBorder="1" applyAlignment="1">
      <alignment horizontal="center" vertical="center"/>
    </xf>
    <xf numFmtId="172" fontId="8" fillId="6" borderId="2" xfId="1" applyNumberFormat="1" applyFont="1" applyFill="1" applyBorder="1" applyAlignment="1">
      <alignment horizontal="center" vertical="center"/>
    </xf>
    <xf numFmtId="9" fontId="8" fillId="6" borderId="2" xfId="2" applyFont="1" applyFill="1" applyBorder="1" applyAlignment="1">
      <alignment horizontal="center" vertical="center"/>
    </xf>
    <xf numFmtId="175" fontId="8" fillId="6" borderId="2" xfId="1" applyNumberFormat="1" applyFont="1" applyFill="1" applyBorder="1" applyAlignment="1">
      <alignment horizontal="center" vertical="center"/>
    </xf>
    <xf numFmtId="175" fontId="8" fillId="6" borderId="7" xfId="1" applyNumberFormat="1" applyFont="1" applyFill="1" applyBorder="1" applyAlignment="1">
      <alignment horizontal="center" vertical="center"/>
    </xf>
    <xf numFmtId="176" fontId="0" fillId="0" borderId="0" xfId="2" applyNumberFormat="1" applyFont="1" applyBorder="1"/>
    <xf numFmtId="2" fontId="0" fillId="0" borderId="0" xfId="2" applyNumberFormat="1" applyFont="1" applyBorder="1"/>
    <xf numFmtId="178" fontId="0" fillId="0" borderId="0" xfId="0" applyNumberFormat="1"/>
    <xf numFmtId="9" fontId="0" fillId="0" borderId="0" xfId="2" applyFont="1" applyBorder="1"/>
    <xf numFmtId="176" fontId="0" fillId="0" borderId="0" xfId="0" applyNumberFormat="1"/>
    <xf numFmtId="6" fontId="0" fillId="0" borderId="0" xfId="0" applyNumberFormat="1"/>
    <xf numFmtId="43" fontId="0" fillId="0" borderId="0" xfId="1" applyFont="1"/>
    <xf numFmtId="0" fontId="1" fillId="0" borderId="0" xfId="0" applyFont="1" applyAlignment="1">
      <alignment vertical="center"/>
    </xf>
    <xf numFmtId="0" fontId="16" fillId="10" borderId="10" xfId="0"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6" fillId="10" borderId="12" xfId="0" applyFont="1" applyFill="1" applyBorder="1" applyAlignment="1">
      <alignment horizontal="center" vertical="center" wrapText="1"/>
    </xf>
    <xf numFmtId="0" fontId="17" fillId="0" borderId="13" xfId="0" applyFont="1" applyBorder="1" applyAlignment="1">
      <alignment vertical="center"/>
    </xf>
    <xf numFmtId="0" fontId="17" fillId="0" borderId="14" xfId="0" applyFont="1" applyBorder="1" applyAlignment="1">
      <alignment vertical="center"/>
    </xf>
    <xf numFmtId="3" fontId="18" fillId="0" borderId="14" xfId="0" applyNumberFormat="1" applyFont="1" applyBorder="1" applyAlignment="1">
      <alignment horizontal="center" vertical="center"/>
    </xf>
    <xf numFmtId="0" fontId="19" fillId="0" borderId="0" xfId="0" applyFont="1" applyAlignment="1">
      <alignment vertical="center" wrapText="1"/>
    </xf>
    <xf numFmtId="0" fontId="0" fillId="0" borderId="0" xfId="0" applyAlignment="1">
      <alignment wrapText="1"/>
    </xf>
    <xf numFmtId="0" fontId="19" fillId="11" borderId="10" xfId="0" applyFont="1" applyFill="1" applyBorder="1" applyAlignment="1">
      <alignment horizontal="center" vertical="center" wrapText="1"/>
    </xf>
    <xf numFmtId="0" fontId="19" fillId="11" borderId="11" xfId="0" applyFont="1" applyFill="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3" fontId="20" fillId="0" borderId="14" xfId="0" applyNumberFormat="1" applyFont="1" applyBorder="1" applyAlignment="1">
      <alignment horizontal="center" vertical="center" wrapText="1"/>
    </xf>
    <xf numFmtId="10" fontId="20" fillId="0" borderId="14" xfId="0" applyNumberFormat="1" applyFont="1" applyBorder="1" applyAlignment="1">
      <alignment horizontal="center" vertical="center" wrapText="1"/>
    </xf>
    <xf numFmtId="0" fontId="0" fillId="0" borderId="0" xfId="0" applyAlignment="1">
      <alignment vertical="center"/>
    </xf>
    <xf numFmtId="0" fontId="21" fillId="0" borderId="0" xfId="0" applyFont="1" applyAlignment="1">
      <alignment vertical="center"/>
    </xf>
    <xf numFmtId="166" fontId="0" fillId="0" borderId="0" xfId="0" applyNumberFormat="1"/>
    <xf numFmtId="49" fontId="8" fillId="6" borderId="17" xfId="1" applyNumberFormat="1" applyFont="1" applyFill="1" applyBorder="1" applyAlignment="1">
      <alignment horizontal="left" vertical="center"/>
    </xf>
    <xf numFmtId="49" fontId="8" fillId="6" borderId="17" xfId="1" applyNumberFormat="1" applyFont="1" applyFill="1" applyBorder="1" applyAlignment="1">
      <alignment horizontal="center" vertical="center"/>
    </xf>
    <xf numFmtId="0" fontId="8" fillId="6" borderId="17" xfId="0" applyFont="1" applyFill="1" applyBorder="1" applyAlignment="1">
      <alignment horizontal="center" vertical="center"/>
    </xf>
    <xf numFmtId="172" fontId="8" fillId="6" borderId="17" xfId="1" applyNumberFormat="1" applyFont="1" applyFill="1" applyBorder="1" applyAlignment="1">
      <alignment horizontal="center" vertical="center"/>
    </xf>
    <xf numFmtId="10" fontId="8" fillId="6" borderId="17" xfId="1" applyNumberFormat="1" applyFont="1" applyFill="1" applyBorder="1" applyAlignment="1">
      <alignment horizontal="center" vertical="center"/>
    </xf>
    <xf numFmtId="3" fontId="8" fillId="6" borderId="17" xfId="1" applyNumberFormat="1" applyFont="1" applyFill="1" applyBorder="1" applyAlignment="1">
      <alignment horizontal="center" vertical="center"/>
    </xf>
    <xf numFmtId="173" fontId="8" fillId="6" borderId="17" xfId="1" applyNumberFormat="1" applyFont="1" applyFill="1" applyBorder="1" applyAlignment="1">
      <alignment horizontal="center" vertical="center"/>
    </xf>
    <xf numFmtId="173" fontId="8" fillId="6" borderId="18" xfId="1" applyNumberFormat="1" applyFont="1" applyFill="1" applyBorder="1" applyAlignment="1">
      <alignment horizontal="center" vertical="center"/>
    </xf>
    <xf numFmtId="49" fontId="8" fillId="6" borderId="17" xfId="0" applyNumberFormat="1" applyFont="1" applyFill="1" applyBorder="1" applyAlignment="1">
      <alignment horizontal="center" vertical="center"/>
    </xf>
    <xf numFmtId="175" fontId="8" fillId="6" borderId="17" xfId="1" applyNumberFormat="1" applyFont="1" applyFill="1" applyBorder="1" applyAlignment="1">
      <alignment horizontal="center" vertical="center"/>
    </xf>
    <xf numFmtId="49" fontId="8" fillId="6" borderId="17" xfId="0" applyNumberFormat="1" applyFont="1" applyFill="1" applyBorder="1" applyAlignment="1">
      <alignment horizontal="center"/>
    </xf>
    <xf numFmtId="49" fontId="8" fillId="6" borderId="17" xfId="0" applyNumberFormat="1" applyFont="1" applyFill="1" applyBorder="1" applyAlignment="1">
      <alignment vertical="center"/>
    </xf>
    <xf numFmtId="49" fontId="9" fillId="9" borderId="1" xfId="1" applyNumberFormat="1" applyFont="1" applyFill="1" applyBorder="1" applyAlignment="1">
      <alignment horizontal="left" vertical="center"/>
    </xf>
    <xf numFmtId="49" fontId="9" fillId="9" borderId="1" xfId="1" applyNumberFormat="1" applyFont="1" applyFill="1" applyBorder="1" applyAlignment="1">
      <alignment horizontal="center" vertical="center"/>
    </xf>
    <xf numFmtId="49" fontId="9" fillId="9" borderId="1" xfId="1" applyNumberFormat="1" applyFont="1" applyFill="1" applyBorder="1" applyAlignment="1">
      <alignment horizontal="left" vertical="top"/>
    </xf>
    <xf numFmtId="172" fontId="9" fillId="9" borderId="1" xfId="1" applyNumberFormat="1" applyFont="1" applyFill="1" applyBorder="1" applyAlignment="1">
      <alignment horizontal="center" vertical="center"/>
    </xf>
    <xf numFmtId="10" fontId="9" fillId="9" borderId="1" xfId="1" applyNumberFormat="1" applyFont="1" applyFill="1" applyBorder="1" applyAlignment="1">
      <alignment horizontal="center" vertical="center"/>
    </xf>
    <xf numFmtId="3" fontId="9" fillId="9" borderId="1" xfId="1" applyNumberFormat="1" applyFont="1" applyFill="1" applyBorder="1" applyAlignment="1">
      <alignment horizontal="center" vertical="center"/>
    </xf>
    <xf numFmtId="173" fontId="9" fillId="9" borderId="1" xfId="1" applyNumberFormat="1" applyFont="1" applyFill="1" applyBorder="1" applyAlignment="1">
      <alignment horizontal="center" vertical="center"/>
    </xf>
    <xf numFmtId="176" fontId="9" fillId="9" borderId="1" xfId="1" applyNumberFormat="1" applyFont="1" applyFill="1" applyBorder="1" applyAlignment="1">
      <alignment horizontal="center" vertical="center"/>
    </xf>
    <xf numFmtId="9" fontId="9" fillId="9" borderId="1" xfId="2" applyFont="1" applyFill="1" applyBorder="1" applyAlignment="1">
      <alignment horizontal="center" vertical="center"/>
    </xf>
    <xf numFmtId="175" fontId="9" fillId="9" borderId="1" xfId="1" applyNumberFormat="1" applyFont="1" applyFill="1" applyBorder="1" applyAlignment="1">
      <alignment horizontal="center" vertical="center"/>
    </xf>
    <xf numFmtId="49" fontId="9" fillId="8" borderId="1" xfId="1" applyNumberFormat="1" applyFont="1" applyFill="1" applyBorder="1" applyAlignment="1">
      <alignment horizontal="center" vertical="center"/>
    </xf>
    <xf numFmtId="49" fontId="9" fillId="8" borderId="1" xfId="0" applyNumberFormat="1" applyFont="1" applyFill="1" applyBorder="1" applyAlignment="1">
      <alignment horizontal="center" vertical="center"/>
    </xf>
    <xf numFmtId="175" fontId="9" fillId="8" borderId="1" xfId="1" applyNumberFormat="1" applyFont="1" applyFill="1" applyBorder="1" applyAlignment="1">
      <alignment horizontal="center" vertical="center"/>
    </xf>
    <xf numFmtId="49" fontId="9" fillId="8" borderId="1" xfId="0" applyNumberFormat="1" applyFont="1" applyFill="1" applyBorder="1" applyAlignment="1">
      <alignment horizontal="center"/>
    </xf>
    <xf numFmtId="0" fontId="23" fillId="8" borderId="0" xfId="0" applyFont="1" applyFill="1"/>
    <xf numFmtId="43" fontId="0" fillId="0" borderId="0" xfId="0" applyNumberFormat="1"/>
    <xf numFmtId="0" fontId="10" fillId="0" borderId="0" xfId="0" applyFont="1" applyAlignment="1">
      <alignment horizontal="left" vertical="center" indent="4"/>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4" fillId="12" borderId="1" xfId="0" applyFont="1" applyFill="1" applyBorder="1" applyAlignment="1">
      <alignment horizontal="center" vertical="center" wrapText="1"/>
    </xf>
    <xf numFmtId="2" fontId="22" fillId="0" borderId="1" xfId="0" applyNumberFormat="1" applyFont="1" applyBorder="1" applyAlignment="1">
      <alignment horizontal="center" vertical="center" wrapText="1"/>
    </xf>
    <xf numFmtId="2" fontId="22" fillId="0" borderId="1" xfId="0" applyNumberFormat="1" applyFont="1" applyBorder="1" applyAlignment="1">
      <alignment horizontal="center" vertical="center"/>
    </xf>
    <xf numFmtId="3" fontId="22" fillId="8" borderId="1" xfId="1" applyNumberFormat="1" applyFont="1" applyFill="1" applyBorder="1" applyAlignment="1">
      <alignment horizontal="center" vertical="center"/>
    </xf>
    <xf numFmtId="3" fontId="22" fillId="0" borderId="1" xfId="1" applyNumberFormat="1" applyFont="1" applyFill="1" applyBorder="1" applyAlignment="1">
      <alignment horizontal="center" vertical="center"/>
    </xf>
    <xf numFmtId="43" fontId="8" fillId="6" borderId="4" xfId="1" applyFont="1" applyFill="1" applyBorder="1" applyAlignment="1">
      <alignment vertical="center"/>
    </xf>
    <xf numFmtId="43" fontId="8" fillId="6" borderId="17" xfId="1" applyFont="1" applyFill="1" applyBorder="1" applyAlignment="1">
      <alignment horizontal="center" vertical="center"/>
    </xf>
    <xf numFmtId="43" fontId="10" fillId="9" borderId="1" xfId="1" applyFont="1" applyFill="1" applyBorder="1"/>
    <xf numFmtId="43" fontId="9" fillId="9" borderId="1" xfId="1" applyFont="1" applyFill="1" applyBorder="1" applyAlignment="1">
      <alignment horizontal="center" vertical="center"/>
    </xf>
    <xf numFmtId="43" fontId="8" fillId="6" borderId="3" xfId="1" applyFont="1" applyFill="1" applyBorder="1" applyAlignment="1">
      <alignment horizontal="center" vertical="center"/>
    </xf>
    <xf numFmtId="43" fontId="12" fillId="0" borderId="0" xfId="1" applyFont="1" applyAlignment="1">
      <alignment horizontal="right" vertical="center"/>
    </xf>
    <xf numFmtId="49" fontId="8" fillId="6" borderId="18" xfId="0" applyNumberFormat="1" applyFont="1" applyFill="1" applyBorder="1" applyAlignment="1">
      <alignment vertical="center"/>
    </xf>
    <xf numFmtId="175" fontId="9" fillId="9" borderId="5" xfId="1" applyNumberFormat="1" applyFont="1" applyFill="1" applyBorder="1" applyAlignment="1">
      <alignment horizontal="center" vertical="center"/>
    </xf>
    <xf numFmtId="175" fontId="8" fillId="6" borderId="1" xfId="1" applyNumberFormat="1" applyFont="1" applyFill="1" applyBorder="1" applyAlignment="1">
      <alignment horizontal="center" vertical="center"/>
    </xf>
    <xf numFmtId="0" fontId="23" fillId="8" borderId="1" xfId="0" applyFont="1" applyFill="1" applyBorder="1"/>
    <xf numFmtId="0" fontId="11" fillId="8" borderId="1" xfId="0" applyFont="1" applyFill="1" applyBorder="1" applyAlignment="1">
      <alignment horizontal="center"/>
    </xf>
    <xf numFmtId="10" fontId="10" fillId="0" borderId="1" xfId="2" applyNumberFormat="1" applyFont="1" applyFill="1" applyBorder="1" applyAlignment="1">
      <alignment horizontal="center" vertical="center"/>
    </xf>
    <xf numFmtId="0" fontId="25" fillId="6" borderId="1" xfId="10" applyFont="1" applyFill="1" applyBorder="1" applyAlignment="1">
      <alignment horizontal="center" vertical="center"/>
    </xf>
    <xf numFmtId="1" fontId="4" fillId="0" borderId="1" xfId="0" applyNumberFormat="1" applyFont="1" applyBorder="1" applyAlignment="1">
      <alignment horizontal="center"/>
    </xf>
    <xf numFmtId="0" fontId="4" fillId="0" borderId="1" xfId="0" applyFont="1" applyBorder="1"/>
    <xf numFmtId="0" fontId="4" fillId="0" borderId="1" xfId="0" applyFont="1" applyBorder="1" applyAlignment="1">
      <alignment horizontal="center" vertical="center"/>
    </xf>
    <xf numFmtId="9" fontId="3" fillId="13" borderId="1" xfId="0" applyNumberFormat="1" applyFont="1" applyFill="1" applyBorder="1" applyAlignment="1">
      <alignment horizontal="center" vertical="center"/>
    </xf>
    <xf numFmtId="0" fontId="25" fillId="6" borderId="1" xfId="0" applyFont="1" applyFill="1" applyBorder="1" applyAlignment="1">
      <alignment horizontal="center" vertical="center"/>
    </xf>
    <xf numFmtId="180" fontId="4" fillId="0" borderId="1" xfId="0" applyNumberFormat="1" applyFont="1" applyBorder="1" applyAlignment="1">
      <alignment wrapText="1"/>
    </xf>
    <xf numFmtId="167" fontId="4" fillId="0" borderId="1" xfId="0" applyNumberFormat="1" applyFont="1" applyBorder="1" applyAlignment="1">
      <alignment wrapText="1"/>
    </xf>
    <xf numFmtId="0" fontId="4" fillId="0" borderId="1" xfId="0" applyFont="1" applyBorder="1" applyAlignment="1">
      <alignment wrapText="1"/>
    </xf>
    <xf numFmtId="176" fontId="11" fillId="8" borderId="1" xfId="2" applyNumberFormat="1" applyFont="1" applyFill="1" applyBorder="1" applyAlignment="1">
      <alignment horizontal="center" vertical="center"/>
    </xf>
    <xf numFmtId="0" fontId="2" fillId="0" borderId="0" xfId="0" applyFont="1"/>
    <xf numFmtId="49" fontId="8" fillId="6" borderId="1" xfId="1" applyNumberFormat="1" applyFont="1" applyFill="1" applyBorder="1" applyAlignment="1">
      <alignment horizontal="center" vertical="center"/>
    </xf>
    <xf numFmtId="0" fontId="8" fillId="6" borderId="1" xfId="0" applyFont="1" applyFill="1" applyBorder="1" applyAlignment="1">
      <alignment horizontal="center" vertical="center"/>
    </xf>
    <xf numFmtId="172" fontId="8" fillId="6" borderId="1" xfId="1" applyNumberFormat="1" applyFont="1" applyFill="1" applyBorder="1" applyAlignment="1">
      <alignment horizontal="center" vertical="center"/>
    </xf>
    <xf numFmtId="10" fontId="8" fillId="6" borderId="1" xfId="1" applyNumberFormat="1" applyFont="1" applyFill="1" applyBorder="1" applyAlignment="1">
      <alignment horizontal="center" vertical="center"/>
    </xf>
    <xf numFmtId="3" fontId="8" fillId="6" borderId="1" xfId="1" applyNumberFormat="1" applyFont="1" applyFill="1" applyBorder="1" applyAlignment="1">
      <alignment horizontal="center" vertical="center"/>
    </xf>
    <xf numFmtId="173" fontId="8" fillId="6" borderId="1" xfId="1" applyNumberFormat="1" applyFont="1" applyFill="1" applyBorder="1" applyAlignment="1">
      <alignment horizontal="center" vertical="center"/>
    </xf>
    <xf numFmtId="0" fontId="7" fillId="0" borderId="1" xfId="0" applyFont="1" applyBorder="1" applyAlignment="1">
      <alignment horizontal="center" vertical="center"/>
    </xf>
    <xf numFmtId="176" fontId="9" fillId="9" borderId="1" xfId="6" applyNumberFormat="1" applyFont="1" applyFill="1" applyBorder="1" applyAlignment="1">
      <alignment horizontal="center" vertical="center"/>
    </xf>
    <xf numFmtId="0" fontId="11" fillId="8" borderId="1" xfId="0" applyFont="1" applyFill="1" applyBorder="1" applyAlignment="1">
      <alignment horizontal="center" vertical="center"/>
    </xf>
    <xf numFmtId="0" fontId="11" fillId="8" borderId="1" xfId="4" applyFont="1" applyFill="1" applyBorder="1" applyAlignment="1">
      <alignment horizontal="center" vertical="center"/>
    </xf>
    <xf numFmtId="49" fontId="11" fillId="8" borderId="1" xfId="5" applyNumberFormat="1" applyFont="1" applyFill="1" applyBorder="1" applyAlignment="1">
      <alignment horizontal="center" vertical="center"/>
    </xf>
    <xf numFmtId="176" fontId="11" fillId="8" borderId="1" xfId="1" applyNumberFormat="1" applyFont="1" applyFill="1" applyBorder="1" applyAlignment="1">
      <alignment horizontal="center" vertical="center"/>
    </xf>
    <xf numFmtId="176" fontId="11" fillId="8" borderId="1" xfId="4" applyNumberFormat="1" applyFont="1" applyFill="1" applyBorder="1" applyAlignment="1">
      <alignment horizontal="center" vertical="center"/>
    </xf>
    <xf numFmtId="178" fontId="10" fillId="8" borderId="1" xfId="0" applyNumberFormat="1" applyFont="1" applyFill="1" applyBorder="1" applyAlignment="1">
      <alignment horizontal="center"/>
    </xf>
    <xf numFmtId="49" fontId="9" fillId="9" borderId="7" xfId="1" applyNumberFormat="1" applyFont="1" applyFill="1" applyBorder="1" applyAlignment="1">
      <alignment horizontal="center" vertical="center"/>
    </xf>
    <xf numFmtId="49" fontId="9" fillId="9" borderId="0" xfId="1" applyNumberFormat="1" applyFont="1" applyFill="1" applyBorder="1" applyAlignment="1">
      <alignment horizontal="center" vertical="top"/>
    </xf>
    <xf numFmtId="49" fontId="11" fillId="8" borderId="1" xfId="4" applyNumberFormat="1" applyFont="1" applyFill="1" applyBorder="1" applyAlignment="1">
      <alignment horizontal="center" vertical="center"/>
    </xf>
    <xf numFmtId="0" fontId="11" fillId="8" borderId="1" xfId="4" applyFont="1" applyFill="1" applyBorder="1" applyAlignment="1">
      <alignment horizontal="center" vertical="top"/>
    </xf>
    <xf numFmtId="176" fontId="11" fillId="8" borderId="5" xfId="4" applyNumberFormat="1" applyFont="1" applyFill="1" applyBorder="1" applyAlignment="1">
      <alignment horizontal="center" vertical="center"/>
    </xf>
    <xf numFmtId="174" fontId="10" fillId="8" borderId="1" xfId="0" applyNumberFormat="1" applyFont="1" applyFill="1" applyBorder="1" applyAlignment="1">
      <alignment horizontal="center"/>
    </xf>
    <xf numFmtId="176" fontId="10" fillId="8" borderId="1" xfId="0" applyNumberFormat="1" applyFont="1" applyFill="1" applyBorder="1" applyAlignment="1">
      <alignment horizontal="center"/>
    </xf>
    <xf numFmtId="49" fontId="11" fillId="8" borderId="1" xfId="6" applyNumberFormat="1" applyFont="1" applyFill="1" applyBorder="1" applyAlignment="1">
      <alignment horizontal="center" vertical="center"/>
    </xf>
    <xf numFmtId="49" fontId="11" fillId="8" borderId="1" xfId="7" applyNumberFormat="1" applyFont="1" applyFill="1" applyBorder="1" applyAlignment="1">
      <alignment horizontal="center" vertical="center"/>
    </xf>
    <xf numFmtId="49" fontId="8" fillId="6" borderId="3" xfId="1" applyNumberFormat="1" applyFont="1" applyFill="1" applyBorder="1" applyAlignment="1">
      <alignment horizontal="center" vertical="center"/>
    </xf>
    <xf numFmtId="0" fontId="10" fillId="6" borderId="3" xfId="0" applyFont="1" applyFill="1" applyBorder="1" applyAlignment="1">
      <alignment horizontal="center" vertical="top"/>
    </xf>
    <xf numFmtId="0" fontId="7" fillId="3" borderId="1" xfId="0" applyFont="1" applyFill="1" applyBorder="1" applyAlignment="1">
      <alignment horizontal="center" vertical="center"/>
    </xf>
    <xf numFmtId="0" fontId="7" fillId="3" borderId="19" xfId="0" applyFont="1" applyFill="1" applyBorder="1" applyAlignment="1">
      <alignment horizontal="center" vertical="center"/>
    </xf>
    <xf numFmtId="181" fontId="10" fillId="0" borderId="1" xfId="2" applyNumberFormat="1" applyFont="1" applyFill="1" applyBorder="1" applyAlignment="1">
      <alignment horizontal="center"/>
    </xf>
    <xf numFmtId="0" fontId="26" fillId="16" borderId="1" xfId="0" applyFont="1" applyFill="1" applyBorder="1" applyAlignment="1">
      <alignment horizontal="center" vertical="center" wrapText="1"/>
    </xf>
    <xf numFmtId="0" fontId="26" fillId="16" borderId="0" xfId="0" applyFont="1" applyFill="1" applyAlignment="1">
      <alignment horizontal="center" vertical="center" wrapText="1"/>
    </xf>
    <xf numFmtId="0" fontId="10" fillId="0" borderId="0" xfId="0" applyFont="1" applyAlignment="1">
      <alignment horizontal="center"/>
    </xf>
    <xf numFmtId="179" fontId="22" fillId="3" borderId="1" xfId="3" applyNumberFormat="1" applyFont="1" applyFill="1" applyBorder="1" applyAlignment="1">
      <alignment horizontal="center" vertical="center"/>
    </xf>
    <xf numFmtId="10" fontId="10" fillId="0" borderId="1" xfId="2" applyNumberFormat="1" applyFont="1" applyBorder="1" applyAlignment="1">
      <alignment horizontal="center" vertical="center"/>
    </xf>
    <xf numFmtId="165" fontId="8" fillId="17" borderId="21" xfId="3" applyNumberFormat="1" applyFont="1" applyFill="1" applyBorder="1" applyAlignment="1">
      <alignment horizontal="center" vertical="center"/>
    </xf>
    <xf numFmtId="3" fontId="10" fillId="0" borderId="1" xfId="0" applyNumberFormat="1" applyFont="1" applyBorder="1" applyAlignment="1">
      <alignment horizontal="center" vertical="center"/>
    </xf>
    <xf numFmtId="3" fontId="10" fillId="18" borderId="1" xfId="0" applyNumberFormat="1" applyFont="1" applyFill="1" applyBorder="1" applyAlignment="1">
      <alignment horizontal="center" vertical="center"/>
    </xf>
    <xf numFmtId="0" fontId="10" fillId="0" borderId="1" xfId="0" applyFont="1" applyBorder="1" applyAlignment="1">
      <alignment horizontal="center" vertical="center"/>
    </xf>
    <xf numFmtId="3" fontId="10" fillId="19" borderId="1" xfId="0" applyNumberFormat="1" applyFont="1" applyFill="1" applyBorder="1" applyAlignment="1">
      <alignment horizontal="center" vertical="center"/>
    </xf>
    <xf numFmtId="3" fontId="11" fillId="0" borderId="1" xfId="1" applyNumberFormat="1" applyFont="1" applyFill="1" applyBorder="1" applyAlignment="1">
      <alignment horizontal="center" vertical="center"/>
    </xf>
    <xf numFmtId="0" fontId="11" fillId="0" borderId="1" xfId="0" applyFont="1" applyBorder="1" applyAlignment="1">
      <alignment horizontal="center" vertical="center"/>
    </xf>
    <xf numFmtId="3" fontId="22" fillId="3" borderId="4" xfId="3" applyNumberFormat="1" applyFont="1" applyFill="1" applyBorder="1" applyAlignment="1">
      <alignment horizontal="center" vertical="center"/>
    </xf>
    <xf numFmtId="0" fontId="10" fillId="3" borderId="4" xfId="3" applyFont="1" applyFill="1" applyBorder="1" applyAlignment="1">
      <alignment horizontal="center" vertical="center"/>
    </xf>
    <xf numFmtId="10" fontId="10" fillId="8" borderId="1" xfId="2" applyNumberFormat="1" applyFont="1" applyFill="1" applyBorder="1" applyAlignment="1">
      <alignment horizontal="center" vertical="center"/>
    </xf>
    <xf numFmtId="9" fontId="10" fillId="8" borderId="1" xfId="2" applyFont="1" applyFill="1" applyBorder="1" applyAlignment="1">
      <alignment horizontal="center" vertical="center"/>
    </xf>
    <xf numFmtId="0" fontId="11" fillId="0" borderId="4" xfId="0" applyFont="1" applyBorder="1" applyAlignment="1">
      <alignment horizontal="center" vertical="center"/>
    </xf>
    <xf numFmtId="165" fontId="11" fillId="8" borderId="1" xfId="1" applyNumberFormat="1" applyFont="1" applyFill="1" applyBorder="1" applyAlignment="1">
      <alignment horizontal="center" vertical="center"/>
    </xf>
    <xf numFmtId="0" fontId="23" fillId="8" borderId="0" xfId="0" applyFont="1" applyFill="1" applyAlignment="1">
      <alignment horizontal="center"/>
    </xf>
    <xf numFmtId="9" fontId="10" fillId="0" borderId="1" xfId="2" applyFont="1" applyBorder="1" applyAlignment="1">
      <alignment horizontal="center" vertical="center"/>
    </xf>
    <xf numFmtId="43" fontId="10" fillId="8" borderId="1" xfId="1" applyFont="1" applyFill="1" applyBorder="1" applyAlignment="1">
      <alignment horizontal="center"/>
    </xf>
    <xf numFmtId="0" fontId="10" fillId="0" borderId="1" xfId="0" applyFont="1" applyBorder="1" applyAlignment="1">
      <alignment horizontal="center" vertical="center" wrapText="1"/>
    </xf>
    <xf numFmtId="0" fontId="10" fillId="3" borderId="1" xfId="3" applyFont="1" applyFill="1" applyBorder="1" applyAlignment="1">
      <alignment horizontal="center" vertical="center"/>
    </xf>
    <xf numFmtId="0" fontId="10" fillId="8" borderId="1" xfId="0" applyFont="1" applyFill="1" applyBorder="1" applyAlignment="1">
      <alignment horizontal="center" vertical="center"/>
    </xf>
    <xf numFmtId="49" fontId="9" fillId="9" borderId="1" xfId="1" applyNumberFormat="1" applyFont="1" applyFill="1" applyBorder="1" applyAlignment="1">
      <alignment horizontal="center" vertical="top"/>
    </xf>
    <xf numFmtId="0" fontId="0" fillId="8" borderId="0" xfId="0" applyFill="1"/>
    <xf numFmtId="0" fontId="2" fillId="8" borderId="1" xfId="0" applyFont="1" applyFill="1" applyBorder="1" applyAlignment="1">
      <alignment horizontal="center" vertical="center"/>
    </xf>
    <xf numFmtId="177" fontId="11" fillId="8" borderId="1" xfId="4" applyNumberFormat="1" applyFont="1" applyFill="1" applyBorder="1" applyAlignment="1">
      <alignment horizontal="center" vertical="center"/>
    </xf>
    <xf numFmtId="49" fontId="8" fillId="6" borderId="1" xfId="5" applyNumberFormat="1" applyFont="1" applyFill="1" applyBorder="1" applyAlignment="1">
      <alignment horizontal="center" vertical="center"/>
    </xf>
    <xf numFmtId="49" fontId="8" fillId="6" borderId="1" xfId="0" applyNumberFormat="1" applyFont="1" applyFill="1" applyBorder="1" applyAlignment="1">
      <alignment horizontal="center" vertical="center"/>
    </xf>
    <xf numFmtId="49" fontId="8" fillId="6" borderId="1" xfId="0" applyNumberFormat="1" applyFont="1" applyFill="1" applyBorder="1" applyAlignment="1">
      <alignment horizontal="center"/>
    </xf>
    <xf numFmtId="37" fontId="8" fillId="6" borderId="1" xfId="1" applyNumberFormat="1" applyFont="1" applyFill="1" applyBorder="1" applyAlignment="1">
      <alignment horizontal="center" vertical="center"/>
    </xf>
    <xf numFmtId="10" fontId="8" fillId="6" borderId="1" xfId="2" applyNumberFormat="1" applyFont="1" applyFill="1" applyBorder="1" applyAlignment="1">
      <alignment horizontal="center" vertical="center"/>
    </xf>
    <xf numFmtId="176" fontId="8" fillId="6" borderId="1" xfId="1" applyNumberFormat="1" applyFont="1" applyFill="1" applyBorder="1" applyAlignment="1">
      <alignment horizontal="center" vertical="center"/>
    </xf>
    <xf numFmtId="9" fontId="8" fillId="6" borderId="1" xfId="2" applyFont="1" applyFill="1" applyBorder="1" applyAlignment="1">
      <alignment horizontal="center" vertical="center"/>
    </xf>
    <xf numFmtId="3" fontId="9" fillId="9" borderId="1" xfId="6" applyNumberFormat="1" applyFont="1" applyFill="1" applyBorder="1" applyAlignment="1">
      <alignment horizontal="center" vertical="center"/>
    </xf>
    <xf numFmtId="49" fontId="9" fillId="9" borderId="1" xfId="6" applyNumberFormat="1" applyFont="1" applyFill="1" applyBorder="1" applyAlignment="1">
      <alignment horizontal="center" vertical="center"/>
    </xf>
    <xf numFmtId="49" fontId="9" fillId="9" borderId="1" xfId="6" applyNumberFormat="1" applyFont="1" applyFill="1" applyBorder="1" applyAlignment="1">
      <alignment horizontal="center" vertical="top"/>
    </xf>
    <xf numFmtId="172" fontId="9" fillId="9" borderId="1" xfId="6" applyNumberFormat="1" applyFont="1" applyFill="1" applyBorder="1" applyAlignment="1">
      <alignment horizontal="center" vertical="center"/>
    </xf>
    <xf numFmtId="10" fontId="9" fillId="9" borderId="1" xfId="6" applyNumberFormat="1" applyFont="1" applyFill="1" applyBorder="1" applyAlignment="1">
      <alignment horizontal="center" vertical="center"/>
    </xf>
    <xf numFmtId="173" fontId="9" fillId="9" borderId="1" xfId="6" applyNumberFormat="1" applyFont="1" applyFill="1" applyBorder="1" applyAlignment="1">
      <alignment horizontal="center" vertical="center"/>
    </xf>
    <xf numFmtId="0" fontId="10" fillId="6" borderId="1" xfId="0" applyFont="1" applyFill="1" applyBorder="1" applyAlignment="1">
      <alignment horizontal="center" vertical="top"/>
    </xf>
    <xf numFmtId="37" fontId="9" fillId="8" borderId="0" xfId="1" applyNumberFormat="1" applyFont="1" applyFill="1" applyBorder="1" applyAlignment="1">
      <alignment horizontal="center"/>
    </xf>
    <xf numFmtId="9" fontId="9" fillId="8" borderId="0" xfId="2" applyFont="1" applyFill="1" applyBorder="1" applyAlignment="1">
      <alignment horizontal="center"/>
    </xf>
    <xf numFmtId="37" fontId="11" fillId="8" borderId="0" xfId="1" applyNumberFormat="1" applyFont="1" applyFill="1" applyBorder="1" applyAlignment="1">
      <alignment horizontal="center"/>
    </xf>
    <xf numFmtId="9" fontId="11" fillId="8" borderId="0" xfId="2" applyFont="1" applyFill="1" applyBorder="1" applyAlignment="1">
      <alignment horizontal="center"/>
    </xf>
    <xf numFmtId="0" fontId="11" fillId="8" borderId="1" xfId="4" applyFont="1" applyFill="1" applyBorder="1" applyAlignment="1">
      <alignment vertical="top"/>
    </xf>
    <xf numFmtId="0" fontId="11" fillId="8" borderId="1" xfId="0" applyFont="1" applyFill="1" applyBorder="1" applyAlignment="1">
      <alignment vertical="top"/>
    </xf>
    <xf numFmtId="9" fontId="11" fillId="8" borderId="1" xfId="2" applyFont="1" applyFill="1" applyBorder="1" applyAlignment="1">
      <alignment vertical="top"/>
    </xf>
    <xf numFmtId="49" fontId="11" fillId="8" borderId="1" xfId="1" applyNumberFormat="1" applyFont="1" applyFill="1" applyBorder="1" applyAlignment="1">
      <alignment vertical="top"/>
    </xf>
    <xf numFmtId="49" fontId="11" fillId="8" borderId="1" xfId="6" applyNumberFormat="1" applyFont="1" applyFill="1" applyBorder="1" applyAlignment="1">
      <alignment vertical="top"/>
    </xf>
    <xf numFmtId="0" fontId="25" fillId="6" borderId="4" xfId="0" applyFont="1" applyFill="1" applyBorder="1" applyAlignment="1">
      <alignment horizontal="center" vertical="center"/>
    </xf>
    <xf numFmtId="3" fontId="7" fillId="0" borderId="19" xfId="0" applyNumberFormat="1" applyFont="1" applyBorder="1" applyAlignment="1">
      <alignment horizontal="center" vertical="center"/>
    </xf>
    <xf numFmtId="0" fontId="7" fillId="3" borderId="4" xfId="0" applyFont="1" applyFill="1" applyBorder="1" applyAlignment="1">
      <alignment horizontal="center" vertical="center"/>
    </xf>
    <xf numFmtId="165" fontId="10" fillId="0" borderId="0" xfId="1" applyNumberFormat="1" applyFont="1" applyBorder="1"/>
    <xf numFmtId="3" fontId="22" fillId="0" borderId="1" xfId="1" applyNumberFormat="1" applyFont="1" applyBorder="1" applyAlignment="1">
      <alignment horizontal="center" vertical="center"/>
    </xf>
    <xf numFmtId="0" fontId="10" fillId="0" borderId="0" xfId="0" applyFont="1"/>
    <xf numFmtId="0" fontId="10" fillId="0" borderId="1" xfId="0" applyFont="1" applyBorder="1"/>
    <xf numFmtId="0" fontId="11" fillId="8" borderId="4" xfId="0" applyFont="1" applyFill="1" applyBorder="1" applyAlignment="1">
      <alignment horizontal="center" vertical="center"/>
    </xf>
    <xf numFmtId="181" fontId="10" fillId="8" borderId="1" xfId="2" applyNumberFormat="1" applyFont="1" applyFill="1" applyBorder="1" applyAlignment="1">
      <alignment horizontal="center"/>
    </xf>
    <xf numFmtId="3" fontId="10" fillId="8" borderId="1" xfId="0" applyNumberFormat="1" applyFont="1" applyFill="1" applyBorder="1" applyAlignment="1">
      <alignment horizontal="center" vertical="center"/>
    </xf>
    <xf numFmtId="165" fontId="10" fillId="8" borderId="0" xfId="1" applyNumberFormat="1" applyFont="1" applyFill="1" applyBorder="1"/>
    <xf numFmtId="0" fontId="27" fillId="0" borderId="0" xfId="0" applyFont="1" applyAlignment="1">
      <alignment vertical="top"/>
    </xf>
    <xf numFmtId="3" fontId="10" fillId="0" borderId="0" xfId="0" applyNumberFormat="1" applyFont="1" applyAlignment="1">
      <alignment horizontal="center"/>
    </xf>
    <xf numFmtId="0" fontId="10" fillId="8" borderId="0" xfId="0" applyFont="1" applyFill="1" applyAlignment="1">
      <alignment horizontal="center"/>
    </xf>
    <xf numFmtId="49" fontId="9" fillId="9" borderId="1" xfId="6" applyNumberFormat="1" applyFont="1" applyFill="1" applyBorder="1" applyAlignment="1">
      <alignment vertical="top"/>
    </xf>
    <xf numFmtId="49" fontId="8" fillId="6" borderId="20" xfId="0" applyNumberFormat="1" applyFont="1" applyFill="1" applyBorder="1" applyAlignment="1">
      <alignment horizontal="center" vertical="center"/>
    </xf>
    <xf numFmtId="0" fontId="27" fillId="0" borderId="0" xfId="0" applyFont="1" applyAlignment="1">
      <alignment horizontal="center"/>
    </xf>
    <xf numFmtId="174" fontId="10" fillId="0" borderId="0" xfId="0" applyNumberFormat="1" applyFont="1" applyAlignment="1">
      <alignment horizontal="center"/>
    </xf>
    <xf numFmtId="0" fontId="10" fillId="8" borderId="0" xfId="0" applyFont="1" applyFill="1" applyAlignment="1">
      <alignment horizontal="center" vertical="center"/>
    </xf>
    <xf numFmtId="176" fontId="10" fillId="0" borderId="0" xfId="2" applyNumberFormat="1" applyFont="1" applyBorder="1" applyAlignment="1">
      <alignment horizontal="center"/>
    </xf>
    <xf numFmtId="178" fontId="10" fillId="0" borderId="0" xfId="0" applyNumberFormat="1" applyFont="1" applyAlignment="1">
      <alignment horizontal="center"/>
    </xf>
    <xf numFmtId="9" fontId="10" fillId="0" borderId="0" xfId="2" applyFont="1" applyBorder="1" applyAlignment="1">
      <alignment horizontal="center"/>
    </xf>
    <xf numFmtId="176" fontId="10" fillId="0" borderId="0" xfId="0" applyNumberFormat="1" applyFont="1" applyAlignment="1">
      <alignment horizontal="center"/>
    </xf>
    <xf numFmtId="2" fontId="10" fillId="0" borderId="0" xfId="0" applyNumberFormat="1" applyFont="1" applyAlignment="1">
      <alignment horizontal="center"/>
    </xf>
    <xf numFmtId="165" fontId="11" fillId="8" borderId="0" xfId="1" applyNumberFormat="1" applyFont="1" applyFill="1" applyBorder="1" applyAlignment="1">
      <alignment horizontal="center" vertical="center"/>
    </xf>
    <xf numFmtId="9" fontId="10" fillId="0" borderId="0" xfId="2" applyFont="1" applyAlignment="1">
      <alignment horizontal="center"/>
    </xf>
    <xf numFmtId="0" fontId="34" fillId="0" borderId="0" xfId="0" applyFont="1" applyAlignment="1">
      <alignment horizontal="center" vertical="center"/>
    </xf>
    <xf numFmtId="0" fontId="25" fillId="6" borderId="0" xfId="0" applyFont="1" applyFill="1" applyAlignment="1">
      <alignment vertical="center"/>
    </xf>
    <xf numFmtId="0" fontId="4" fillId="7" borderId="1" xfId="0" applyFont="1" applyFill="1" applyBorder="1" applyAlignment="1">
      <alignment vertical="center"/>
    </xf>
    <xf numFmtId="169" fontId="4" fillId="0" borderId="1" xfId="0" applyNumberFormat="1" applyFont="1" applyBorder="1" applyAlignment="1">
      <alignment horizontal="center" vertical="center"/>
    </xf>
    <xf numFmtId="9" fontId="4" fillId="0" borderId="1" xfId="2" applyFont="1" applyBorder="1" applyAlignment="1">
      <alignment horizontal="center" vertical="center"/>
    </xf>
    <xf numFmtId="0" fontId="25" fillId="6" borderId="1" xfId="0" applyFont="1" applyFill="1" applyBorder="1" applyAlignment="1">
      <alignment vertical="center"/>
    </xf>
    <xf numFmtId="169" fontId="25" fillId="6" borderId="1" xfId="0" applyNumberFormat="1" applyFont="1" applyFill="1" applyBorder="1" applyAlignment="1">
      <alignment horizontal="center" vertical="center"/>
    </xf>
    <xf numFmtId="0" fontId="4" fillId="8" borderId="0" xfId="0" applyFont="1" applyFill="1"/>
    <xf numFmtId="0" fontId="35" fillId="6" borderId="1" xfId="0" applyFont="1" applyFill="1" applyBorder="1" applyAlignment="1">
      <alignment horizontal="center" vertical="center"/>
    </xf>
    <xf numFmtId="0" fontId="0" fillId="0" borderId="0" xfId="0" pivotButton="1"/>
    <xf numFmtId="0" fontId="0" fillId="0" borderId="0" xfId="0" applyAlignment="1">
      <alignment horizontal="left"/>
    </xf>
    <xf numFmtId="43" fontId="11" fillId="8" borderId="1" xfId="1" applyFont="1" applyFill="1" applyBorder="1" applyAlignment="1">
      <alignment vertical="top"/>
    </xf>
    <xf numFmtId="49" fontId="9" fillId="9" borderId="7" xfId="6" applyNumberFormat="1" applyFont="1" applyFill="1" applyBorder="1" applyAlignment="1">
      <alignment vertical="top"/>
    </xf>
    <xf numFmtId="0" fontId="11" fillId="8" borderId="2" xfId="4" applyFont="1" applyFill="1" applyBorder="1" applyAlignment="1">
      <alignment vertical="top"/>
    </xf>
    <xf numFmtId="0" fontId="4" fillId="0" borderId="0" xfId="0" applyFont="1"/>
    <xf numFmtId="2" fontId="4" fillId="0" borderId="0" xfId="0" applyNumberFormat="1" applyFont="1"/>
    <xf numFmtId="0" fontId="29" fillId="7" borderId="4" xfId="0" applyFont="1" applyFill="1" applyBorder="1" applyAlignment="1">
      <alignment horizontal="center" vertical="center"/>
    </xf>
    <xf numFmtId="0" fontId="29" fillId="0" borderId="4" xfId="0" applyFont="1" applyBorder="1" applyAlignment="1">
      <alignment horizontal="center" vertical="center"/>
    </xf>
    <xf numFmtId="0" fontId="29" fillId="7" borderId="1" xfId="0" applyFont="1" applyFill="1" applyBorder="1" applyAlignment="1">
      <alignment horizontal="center" vertical="center"/>
    </xf>
    <xf numFmtId="16" fontId="29" fillId="7" borderId="1" xfId="0" applyNumberFormat="1" applyFont="1" applyFill="1" applyBorder="1" applyAlignment="1">
      <alignment horizontal="center" vertical="center"/>
    </xf>
    <xf numFmtId="1" fontId="29" fillId="7" borderId="1" xfId="0" applyNumberFormat="1" applyFont="1" applyFill="1" applyBorder="1" applyAlignment="1">
      <alignment horizontal="center" vertical="center"/>
    </xf>
    <xf numFmtId="0" fontId="29" fillId="0" borderId="0" xfId="0" applyFont="1" applyAlignment="1">
      <alignment horizontal="center" vertical="center"/>
    </xf>
    <xf numFmtId="1" fontId="29" fillId="0" borderId="0" xfId="0" applyNumberFormat="1" applyFont="1" applyAlignment="1">
      <alignment horizontal="center" vertical="center"/>
    </xf>
    <xf numFmtId="171" fontId="4" fillId="0" borderId="1" xfId="0" applyNumberFormat="1" applyFont="1" applyBorder="1" applyAlignment="1">
      <alignment horizontal="center" vertical="center"/>
    </xf>
    <xf numFmtId="170" fontId="4" fillId="0" borderId="1" xfId="0" applyNumberFormat="1" applyFont="1" applyBorder="1" applyAlignment="1">
      <alignment horizontal="center" vertical="center"/>
    </xf>
    <xf numFmtId="10" fontId="4" fillId="0" borderId="0" xfId="2" applyNumberFormat="1" applyFont="1"/>
    <xf numFmtId="1" fontId="25" fillId="6" borderId="1" xfId="0" applyNumberFormat="1" applyFont="1" applyFill="1" applyBorder="1" applyAlignment="1">
      <alignment horizontal="center" vertical="center"/>
    </xf>
    <xf numFmtId="165" fontId="4" fillId="0" borderId="0" xfId="1" applyNumberFormat="1" applyFont="1"/>
    <xf numFmtId="0" fontId="3" fillId="0" borderId="1" xfId="0" applyFont="1" applyBorder="1" applyAlignment="1">
      <alignment vertical="center"/>
    </xf>
    <xf numFmtId="168" fontId="3" fillId="0" borderId="1" xfId="0" applyNumberFormat="1" applyFont="1" applyBorder="1" applyAlignment="1">
      <alignment horizontal="center" vertical="center"/>
    </xf>
    <xf numFmtId="171" fontId="25" fillId="6" borderId="1" xfId="0" applyNumberFormat="1" applyFont="1" applyFill="1" applyBorder="1" applyAlignment="1">
      <alignment horizontal="center" vertical="center"/>
    </xf>
    <xf numFmtId="0" fontId="29" fillId="8" borderId="0" xfId="0" applyFont="1" applyFill="1" applyAlignment="1">
      <alignment vertical="center"/>
    </xf>
    <xf numFmtId="0" fontId="25" fillId="6" borderId="17" xfId="0" applyFont="1" applyFill="1" applyBorder="1" applyAlignment="1">
      <alignment horizontal="center" vertical="center"/>
    </xf>
    <xf numFmtId="0" fontId="4" fillId="8" borderId="1" xfId="0" applyFont="1" applyFill="1" applyBorder="1" applyAlignment="1">
      <alignment horizontal="left"/>
    </xf>
    <xf numFmtId="170" fontId="4" fillId="0" borderId="0" xfId="0" applyNumberFormat="1" applyFont="1"/>
    <xf numFmtId="9" fontId="4" fillId="0" borderId="0" xfId="2" applyFont="1"/>
    <xf numFmtId="182" fontId="4" fillId="0" borderId="0" xfId="0" applyNumberFormat="1" applyFont="1"/>
    <xf numFmtId="0" fontId="11" fillId="8" borderId="1" xfId="0" applyFont="1" applyFill="1" applyBorder="1" applyAlignment="1">
      <alignment horizontal="center" vertical="top"/>
    </xf>
    <xf numFmtId="1" fontId="23" fillId="8" borderId="0" xfId="0" applyNumberFormat="1" applyFont="1" applyFill="1"/>
    <xf numFmtId="165" fontId="23" fillId="8" borderId="0" xfId="1" applyNumberFormat="1" applyFont="1" applyFill="1"/>
    <xf numFmtId="3" fontId="10" fillId="0" borderId="0" xfId="0" applyNumberFormat="1" applyFont="1"/>
    <xf numFmtId="0" fontId="10" fillId="0" borderId="0" xfId="0" applyFont="1" applyAlignment="1">
      <alignment horizontal="center" vertical="center"/>
    </xf>
    <xf numFmtId="1" fontId="10" fillId="0" borderId="0" xfId="0" applyNumberFormat="1" applyFont="1" applyAlignment="1">
      <alignment horizontal="center" vertical="center"/>
    </xf>
    <xf numFmtId="9" fontId="10" fillId="0" borderId="0" xfId="0" applyNumberFormat="1" applyFont="1" applyAlignment="1">
      <alignment horizontal="center" vertical="center"/>
    </xf>
    <xf numFmtId="0" fontId="27" fillId="20" borderId="1" xfId="0" applyFont="1" applyFill="1" applyBorder="1" applyAlignment="1">
      <alignment horizontal="center" vertical="center"/>
    </xf>
    <xf numFmtId="3" fontId="27" fillId="20" borderId="1" xfId="0" applyNumberFormat="1" applyFont="1" applyFill="1" applyBorder="1" applyAlignment="1">
      <alignment horizontal="center" vertical="center"/>
    </xf>
    <xf numFmtId="1" fontId="27" fillId="20" borderId="1" xfId="0" applyNumberFormat="1" applyFont="1" applyFill="1" applyBorder="1" applyAlignment="1">
      <alignment horizontal="center" vertical="center"/>
    </xf>
    <xf numFmtId="0" fontId="27" fillId="21" borderId="1" xfId="0" applyFont="1" applyFill="1" applyBorder="1" applyAlignment="1">
      <alignment horizontal="center" vertical="center"/>
    </xf>
    <xf numFmtId="0" fontId="11" fillId="15" borderId="1" xfId="0" applyFont="1" applyFill="1" applyBorder="1" applyAlignment="1">
      <alignment horizontal="center" vertical="center"/>
    </xf>
    <xf numFmtId="3" fontId="10" fillId="0" borderId="1" xfId="0" applyNumberFormat="1" applyFont="1" applyBorder="1" applyAlignment="1">
      <alignment horizontal="center"/>
    </xf>
    <xf numFmtId="183" fontId="10" fillId="0" borderId="1" xfId="0" applyNumberFormat="1" applyFont="1" applyBorder="1" applyAlignment="1">
      <alignment horizontal="center" vertical="center"/>
    </xf>
    <xf numFmtId="3" fontId="10" fillId="0" borderId="1" xfId="15" applyNumberFormat="1" applyFont="1" applyBorder="1" applyAlignment="1">
      <alignment horizontal="center" vertical="center"/>
    </xf>
    <xf numFmtId="3" fontId="10" fillId="0" borderId="1" xfId="15" applyNumberFormat="1" applyFont="1" applyBorder="1" applyAlignment="1">
      <alignment horizontal="center"/>
    </xf>
    <xf numFmtId="1" fontId="10" fillId="0" borderId="1" xfId="1" applyNumberFormat="1" applyFont="1" applyBorder="1" applyAlignment="1">
      <alignment horizontal="center" vertical="center"/>
    </xf>
    <xf numFmtId="9" fontId="10" fillId="0" borderId="1" xfId="0" applyNumberFormat="1" applyFont="1" applyBorder="1" applyAlignment="1">
      <alignment horizontal="center" vertical="center"/>
    </xf>
    <xf numFmtId="165" fontId="10" fillId="0" borderId="1" xfId="1" applyNumberFormat="1" applyFont="1" applyBorder="1" applyAlignment="1">
      <alignment horizontal="center" vertical="center"/>
    </xf>
    <xf numFmtId="1" fontId="10" fillId="0" borderId="1" xfId="0" applyNumberFormat="1" applyFont="1" applyBorder="1" applyAlignment="1">
      <alignment horizontal="center" vertical="center"/>
    </xf>
    <xf numFmtId="183" fontId="10" fillId="0" borderId="1" xfId="14" applyNumberFormat="1" applyFont="1" applyBorder="1" applyAlignment="1">
      <alignment horizontal="center" vertical="center"/>
    </xf>
    <xf numFmtId="183" fontId="11" fillId="0" borderId="1" xfId="14" applyNumberFormat="1" applyFont="1" applyFill="1" applyBorder="1" applyAlignment="1">
      <alignment horizontal="center" vertical="center"/>
    </xf>
    <xf numFmtId="3" fontId="10" fillId="0" borderId="1" xfId="15" applyNumberFormat="1" applyFont="1" applyFill="1" applyBorder="1" applyAlignment="1">
      <alignment horizontal="center"/>
    </xf>
    <xf numFmtId="3" fontId="10" fillId="0" borderId="2" xfId="15" applyNumberFormat="1" applyFont="1" applyBorder="1" applyAlignment="1">
      <alignment horizontal="center"/>
    </xf>
    <xf numFmtId="3" fontId="10" fillId="0" borderId="2" xfId="15" applyNumberFormat="1" applyFont="1" applyFill="1" applyBorder="1" applyAlignment="1">
      <alignment horizontal="center"/>
    </xf>
    <xf numFmtId="3" fontId="10" fillId="0" borderId="4" xfId="0" applyNumberFormat="1" applyFont="1" applyBorder="1" applyAlignment="1">
      <alignment horizontal="center" vertical="center"/>
    </xf>
    <xf numFmtId="3" fontId="10" fillId="0" borderId="4" xfId="0" applyNumberFormat="1" applyFont="1" applyBorder="1" applyAlignment="1">
      <alignment horizontal="center"/>
    </xf>
    <xf numFmtId="3" fontId="10" fillId="0" borderId="4" xfId="15" applyNumberFormat="1" applyFont="1" applyBorder="1" applyAlignment="1">
      <alignment horizontal="center" vertical="center"/>
    </xf>
    <xf numFmtId="10" fontId="10" fillId="0" borderId="4" xfId="2" applyNumberFormat="1" applyFont="1" applyBorder="1" applyAlignment="1">
      <alignment horizontal="center" vertical="center"/>
    </xf>
    <xf numFmtId="1" fontId="10" fillId="0" borderId="4" xfId="1" applyNumberFormat="1" applyFont="1" applyBorder="1" applyAlignment="1">
      <alignment horizontal="center" vertical="center"/>
    </xf>
    <xf numFmtId="9" fontId="10" fillId="0" borderId="4" xfId="0" applyNumberFormat="1" applyFont="1" applyBorder="1" applyAlignment="1">
      <alignment horizontal="center" vertical="center"/>
    </xf>
    <xf numFmtId="1" fontId="4" fillId="8" borderId="1" xfId="0" applyNumberFormat="1" applyFont="1" applyFill="1" applyBorder="1" applyAlignment="1">
      <alignment horizontal="center"/>
    </xf>
    <xf numFmtId="1" fontId="11" fillId="8" borderId="1" xfId="4" applyNumberFormat="1" applyFont="1" applyFill="1" applyBorder="1" applyAlignment="1">
      <alignment horizontal="center" vertical="top"/>
    </xf>
    <xf numFmtId="0" fontId="36" fillId="0" borderId="0" xfId="0" applyFont="1"/>
    <xf numFmtId="0" fontId="36" fillId="0" borderId="0" xfId="0" applyFont="1" applyAlignment="1">
      <alignment horizontal="left" vertical="center"/>
    </xf>
    <xf numFmtId="0" fontId="33" fillId="8" borderId="0" xfId="0" applyFont="1" applyFill="1" applyAlignment="1">
      <alignment horizontal="left" vertical="top"/>
    </xf>
    <xf numFmtId="0" fontId="37" fillId="0" borderId="0" xfId="0" applyFont="1"/>
    <xf numFmtId="0" fontId="38" fillId="0" borderId="0" xfId="0" applyFont="1"/>
    <xf numFmtId="3" fontId="4" fillId="0" borderId="0" xfId="0" applyNumberFormat="1" applyFont="1"/>
    <xf numFmtId="171" fontId="4" fillId="0" borderId="0" xfId="0" applyNumberFormat="1" applyFont="1"/>
    <xf numFmtId="165" fontId="8" fillId="6" borderId="2" xfId="1" applyNumberFormat="1" applyFont="1" applyFill="1" applyBorder="1" applyAlignment="1">
      <alignment horizontal="center" vertical="center"/>
    </xf>
    <xf numFmtId="165" fontId="4" fillId="0" borderId="0" xfId="0" applyNumberFormat="1" applyFont="1"/>
    <xf numFmtId="0" fontId="7" fillId="8" borderId="1" xfId="0" applyFont="1" applyFill="1" applyBorder="1" applyAlignment="1">
      <alignment horizontal="center" vertical="center"/>
    </xf>
    <xf numFmtId="0" fontId="40" fillId="0" borderId="0" xfId="0" applyFont="1"/>
    <xf numFmtId="37" fontId="10" fillId="0" borderId="0" xfId="0" applyNumberFormat="1" applyFont="1" applyAlignment="1">
      <alignment horizontal="center"/>
    </xf>
    <xf numFmtId="0" fontId="2" fillId="0" borderId="1" xfId="0" applyFont="1" applyBorder="1"/>
    <xf numFmtId="165" fontId="2" fillId="0" borderId="0" xfId="0" applyNumberFormat="1" applyFont="1"/>
    <xf numFmtId="165" fontId="39" fillId="8" borderId="0" xfId="1" applyNumberFormat="1" applyFont="1" applyFill="1"/>
    <xf numFmtId="0" fontId="25" fillId="6" borderId="1" xfId="0" applyFont="1" applyFill="1" applyBorder="1"/>
    <xf numFmtId="0" fontId="3" fillId="0" borderId="1" xfId="0" applyFont="1" applyBorder="1"/>
    <xf numFmtId="185" fontId="4" fillId="0" borderId="0" xfId="0" applyNumberFormat="1" applyFont="1"/>
    <xf numFmtId="0" fontId="4" fillId="24" borderId="1" xfId="0" applyFont="1" applyFill="1" applyBorder="1"/>
    <xf numFmtId="2" fontId="41" fillId="8" borderId="0" xfId="2" applyNumberFormat="1" applyFont="1" applyFill="1"/>
    <xf numFmtId="0" fontId="3" fillId="8" borderId="0" xfId="0" applyFont="1" applyFill="1" applyAlignment="1">
      <alignment horizontal="center" vertical="center"/>
    </xf>
    <xf numFmtId="1" fontId="4" fillId="8" borderId="0" xfId="0" applyNumberFormat="1" applyFont="1" applyFill="1"/>
    <xf numFmtId="169" fontId="4" fillId="8" borderId="0" xfId="0" applyNumberFormat="1" applyFont="1" applyFill="1" applyAlignment="1">
      <alignment horizontal="center" vertical="center"/>
    </xf>
    <xf numFmtId="1" fontId="4" fillId="8" borderId="0" xfId="0" applyNumberFormat="1" applyFont="1" applyFill="1" applyAlignment="1">
      <alignment horizontal="center" vertical="center"/>
    </xf>
    <xf numFmtId="171" fontId="4" fillId="8" borderId="0" xfId="0" applyNumberFormat="1" applyFont="1" applyFill="1" applyAlignment="1">
      <alignment horizontal="center" vertical="center"/>
    </xf>
    <xf numFmtId="170" fontId="4" fillId="8" borderId="0" xfId="0" applyNumberFormat="1" applyFont="1" applyFill="1" applyAlignment="1">
      <alignment horizontal="center" vertical="center"/>
    </xf>
    <xf numFmtId="9" fontId="4" fillId="8" borderId="0" xfId="2" applyFont="1" applyFill="1" applyBorder="1" applyAlignment="1">
      <alignment horizontal="center" vertical="center"/>
    </xf>
    <xf numFmtId="167" fontId="4" fillId="8" borderId="0" xfId="0" applyNumberFormat="1" applyFont="1" applyFill="1" applyAlignment="1">
      <alignment horizontal="center" vertical="center"/>
    </xf>
    <xf numFmtId="169" fontId="25" fillId="8" borderId="0" xfId="0" applyNumberFormat="1" applyFont="1" applyFill="1" applyAlignment="1">
      <alignment horizontal="center" vertical="center"/>
    </xf>
    <xf numFmtId="1" fontId="25" fillId="8" borderId="0" xfId="0" applyNumberFormat="1" applyFont="1" applyFill="1" applyAlignment="1">
      <alignment horizontal="center" vertical="center"/>
    </xf>
    <xf numFmtId="165" fontId="29" fillId="8" borderId="0" xfId="1" applyNumberFormat="1" applyFont="1" applyFill="1" applyBorder="1" applyAlignment="1">
      <alignment horizontal="center" vertical="center"/>
    </xf>
    <xf numFmtId="184" fontId="4" fillId="0" borderId="1" xfId="2" applyNumberFormat="1" applyFont="1" applyBorder="1" applyAlignment="1">
      <alignment horizontal="center" vertical="center"/>
    </xf>
    <xf numFmtId="165" fontId="3" fillId="0" borderId="0" xfId="1" applyNumberFormat="1" applyFont="1"/>
    <xf numFmtId="43" fontId="10" fillId="0" borderId="0" xfId="1" applyFont="1" applyAlignment="1">
      <alignment horizontal="center"/>
    </xf>
    <xf numFmtId="165" fontId="10" fillId="0" borderId="0" xfId="0" applyNumberFormat="1" applyFont="1" applyAlignment="1">
      <alignment horizontal="center"/>
    </xf>
    <xf numFmtId="0" fontId="10" fillId="0" borderId="0" xfId="0" applyFont="1" applyAlignment="1">
      <alignment horizontal="right"/>
    </xf>
    <xf numFmtId="170" fontId="25" fillId="6" borderId="1" xfId="0" applyNumberFormat="1" applyFont="1" applyFill="1" applyBorder="1" applyAlignment="1">
      <alignment horizontal="center" vertical="center"/>
    </xf>
    <xf numFmtId="186" fontId="4" fillId="0" borderId="0" xfId="0" applyNumberFormat="1" applyFont="1"/>
    <xf numFmtId="165" fontId="10" fillId="0" borderId="0" xfId="1" applyNumberFormat="1" applyFont="1" applyAlignment="1">
      <alignment horizontal="center" vertical="center"/>
    </xf>
    <xf numFmtId="170" fontId="25" fillId="8" borderId="0" xfId="0" applyNumberFormat="1" applyFont="1" applyFill="1" applyAlignment="1">
      <alignment horizontal="center" vertical="center"/>
    </xf>
    <xf numFmtId="9" fontId="0" fillId="0" borderId="0" xfId="0" applyNumberFormat="1"/>
    <xf numFmtId="43" fontId="2" fillId="0" borderId="0" xfId="1" applyFont="1"/>
    <xf numFmtId="3" fontId="0" fillId="0" borderId="0" xfId="0" applyNumberFormat="1"/>
    <xf numFmtId="170" fontId="35" fillId="6" borderId="1" xfId="0" applyNumberFormat="1" applyFont="1" applyFill="1" applyBorder="1" applyAlignment="1">
      <alignment horizontal="center" vertical="center"/>
    </xf>
    <xf numFmtId="171" fontId="0" fillId="0" borderId="0" xfId="0" applyNumberFormat="1"/>
    <xf numFmtId="0" fontId="3" fillId="0" borderId="0" xfId="0" applyFont="1" applyAlignment="1">
      <alignment vertical="center" wrapText="1"/>
    </xf>
    <xf numFmtId="0" fontId="3" fillId="0" borderId="0" xfId="0" applyFont="1" applyAlignment="1">
      <alignment vertical="center"/>
    </xf>
    <xf numFmtId="49" fontId="8" fillId="8" borderId="0" xfId="5" applyNumberFormat="1" applyFont="1" applyFill="1" applyBorder="1" applyAlignment="1">
      <alignment horizontal="center" vertical="center"/>
    </xf>
    <xf numFmtId="3" fontId="9" fillId="8" borderId="0" xfId="1" applyNumberFormat="1" applyFont="1" applyFill="1" applyBorder="1" applyAlignment="1">
      <alignment horizontal="center" vertical="center"/>
    </xf>
    <xf numFmtId="176" fontId="11" fillId="8" borderId="0" xfId="2" applyNumberFormat="1" applyFont="1" applyFill="1" applyBorder="1" applyAlignment="1">
      <alignment horizontal="center" vertical="center"/>
    </xf>
    <xf numFmtId="176" fontId="10" fillId="8" borderId="0" xfId="0" applyNumberFormat="1" applyFont="1" applyFill="1" applyAlignment="1">
      <alignment horizontal="center"/>
    </xf>
    <xf numFmtId="176" fontId="11" fillId="8" borderId="0" xfId="1" applyNumberFormat="1" applyFont="1" applyFill="1" applyBorder="1" applyAlignment="1">
      <alignment horizontal="center" vertical="center"/>
    </xf>
    <xf numFmtId="1" fontId="11" fillId="8" borderId="1" xfId="4" applyNumberFormat="1" applyFont="1" applyFill="1" applyBorder="1" applyAlignment="1">
      <alignment horizontal="center" vertical="center"/>
    </xf>
    <xf numFmtId="176" fontId="10" fillId="8" borderId="1" xfId="0" applyNumberFormat="1" applyFont="1" applyFill="1" applyBorder="1" applyAlignment="1">
      <alignment horizontal="center" vertical="center"/>
    </xf>
    <xf numFmtId="3" fontId="11" fillId="8" borderId="0" xfId="4" applyNumberFormat="1" applyFont="1" applyFill="1" applyBorder="1" applyAlignment="1">
      <alignment horizontal="center" vertical="center"/>
    </xf>
    <xf numFmtId="0" fontId="10" fillId="6" borderId="1" xfId="0" applyFont="1" applyFill="1" applyBorder="1" applyAlignment="1">
      <alignment horizontal="center" vertical="center"/>
    </xf>
    <xf numFmtId="0" fontId="42" fillId="26" borderId="4" xfId="0" applyFont="1" applyFill="1" applyBorder="1" applyAlignment="1">
      <alignment horizontal="center" vertical="center" wrapText="1"/>
    </xf>
    <xf numFmtId="0" fontId="43" fillId="8" borderId="1" xfId="0" applyFont="1" applyFill="1" applyBorder="1" applyAlignment="1">
      <alignment vertical="center" wrapText="1"/>
    </xf>
    <xf numFmtId="0" fontId="44" fillId="8" borderId="1" xfId="0" applyFont="1" applyFill="1" applyBorder="1" applyAlignment="1">
      <alignment vertical="center" wrapText="1"/>
    </xf>
    <xf numFmtId="169" fontId="4" fillId="0" borderId="0" xfId="0" applyNumberFormat="1" applyFont="1"/>
    <xf numFmtId="0" fontId="3" fillId="0" borderId="0" xfId="0" applyFont="1"/>
    <xf numFmtId="49" fontId="11" fillId="8" borderId="1" xfId="6" applyNumberFormat="1" applyFont="1" applyFill="1" applyBorder="1" applyAlignment="1">
      <alignment horizontal="center" vertical="top"/>
    </xf>
    <xf numFmtId="49" fontId="11" fillId="8" borderId="1" xfId="7" applyNumberFormat="1" applyFont="1" applyFill="1" applyBorder="1" applyAlignment="1">
      <alignment horizontal="center" vertical="top"/>
    </xf>
    <xf numFmtId="49" fontId="11" fillId="8" borderId="1" xfId="1" applyNumberFormat="1" applyFont="1" applyFill="1" applyBorder="1" applyAlignment="1">
      <alignment horizontal="center" vertical="top"/>
    </xf>
    <xf numFmtId="10" fontId="11" fillId="8" borderId="1" xfId="4" applyNumberFormat="1" applyFont="1" applyFill="1" applyBorder="1" applyAlignment="1">
      <alignment horizontal="center" vertical="top"/>
    </xf>
    <xf numFmtId="3" fontId="11" fillId="8" borderId="1" xfId="4" applyNumberFormat="1" applyFont="1" applyFill="1" applyBorder="1" applyAlignment="1">
      <alignment horizontal="center" vertical="top"/>
    </xf>
    <xf numFmtId="9" fontId="11" fillId="8" borderId="1" xfId="2" applyFont="1" applyFill="1" applyBorder="1" applyAlignment="1">
      <alignment horizontal="center" vertical="top"/>
    </xf>
    <xf numFmtId="176" fontId="11" fillId="8" borderId="1" xfId="1" applyNumberFormat="1" applyFont="1" applyFill="1" applyBorder="1" applyAlignment="1">
      <alignment horizontal="center" vertical="top"/>
    </xf>
    <xf numFmtId="176" fontId="11" fillId="8" borderId="5" xfId="4" applyNumberFormat="1" applyFont="1" applyFill="1" applyBorder="1" applyAlignment="1">
      <alignment horizontal="center" vertical="top"/>
    </xf>
    <xf numFmtId="176" fontId="10" fillId="8" borderId="1" xfId="0" applyNumberFormat="1" applyFont="1" applyFill="1" applyBorder="1" applyAlignment="1">
      <alignment horizontal="center" vertical="top"/>
    </xf>
    <xf numFmtId="9" fontId="11" fillId="8" borderId="1" xfId="4" applyNumberFormat="1" applyFont="1" applyFill="1" applyBorder="1" applyAlignment="1">
      <alignment horizontal="center" vertical="top"/>
    </xf>
    <xf numFmtId="3" fontId="11" fillId="8" borderId="1" xfId="1" applyNumberFormat="1" applyFont="1" applyFill="1" applyBorder="1" applyAlignment="1">
      <alignment horizontal="center" vertical="top"/>
    </xf>
    <xf numFmtId="172" fontId="11" fillId="8" borderId="1" xfId="4" applyNumberFormat="1" applyFont="1" applyFill="1" applyBorder="1" applyAlignment="1">
      <alignment horizontal="center" vertical="top"/>
    </xf>
    <xf numFmtId="0" fontId="27" fillId="8" borderId="0" xfId="0" applyFont="1" applyFill="1" applyAlignment="1">
      <alignment horizontal="center"/>
    </xf>
    <xf numFmtId="0" fontId="23" fillId="8" borderId="1" xfId="0" applyFont="1" applyFill="1" applyBorder="1" applyAlignment="1">
      <alignment horizontal="center" vertical="center"/>
    </xf>
    <xf numFmtId="43" fontId="9" fillId="9" borderId="4" xfId="1" applyFont="1" applyFill="1" applyBorder="1" applyAlignment="1">
      <alignment horizontal="center" vertical="center"/>
    </xf>
    <xf numFmtId="3" fontId="11" fillId="8" borderId="4" xfId="1" applyNumberFormat="1" applyFont="1" applyFill="1" applyBorder="1" applyAlignment="1">
      <alignment horizontal="center" vertical="center"/>
    </xf>
    <xf numFmtId="0" fontId="27" fillId="0" borderId="0" xfId="0" applyFont="1" applyAlignment="1">
      <alignment horizontal="center" vertical="center"/>
    </xf>
    <xf numFmtId="0" fontId="27" fillId="8" borderId="0" xfId="0" applyFont="1" applyFill="1" applyAlignment="1">
      <alignment horizontal="center" vertical="center"/>
    </xf>
    <xf numFmtId="177" fontId="11" fillId="8" borderId="0" xfId="4" applyNumberFormat="1" applyFont="1" applyFill="1" applyBorder="1" applyAlignment="1">
      <alignment horizontal="center" vertical="center"/>
    </xf>
    <xf numFmtId="0" fontId="3" fillId="27" borderId="1" xfId="0" applyFont="1" applyFill="1" applyBorder="1" applyAlignment="1">
      <alignment horizontal="center" vertical="center"/>
    </xf>
    <xf numFmtId="0" fontId="3" fillId="8" borderId="1" xfId="0" applyFont="1" applyFill="1" applyBorder="1" applyAlignment="1">
      <alignment horizontal="center" vertical="center"/>
    </xf>
    <xf numFmtId="6" fontId="4" fillId="8" borderId="1" xfId="0" applyNumberFormat="1" applyFont="1" applyFill="1" applyBorder="1"/>
    <xf numFmtId="165" fontId="4" fillId="8" borderId="1" xfId="1" applyNumberFormat="1" applyFont="1" applyFill="1" applyBorder="1" applyAlignment="1">
      <alignment horizontal="center" vertical="center"/>
    </xf>
    <xf numFmtId="2" fontId="4" fillId="0" borderId="1" xfId="0" applyNumberFormat="1" applyFont="1" applyBorder="1"/>
    <xf numFmtId="165" fontId="4" fillId="8" borderId="1" xfId="1" applyNumberFormat="1" applyFont="1" applyFill="1" applyBorder="1"/>
    <xf numFmtId="0" fontId="3" fillId="0" borderId="1" xfId="0" applyFont="1" applyBorder="1" applyAlignment="1">
      <alignment horizontal="center"/>
    </xf>
    <xf numFmtId="6" fontId="4" fillId="0" borderId="1" xfId="0" applyNumberFormat="1" applyFont="1" applyBorder="1"/>
    <xf numFmtId="0" fontId="45" fillId="0" borderId="0" xfId="0" applyFont="1"/>
    <xf numFmtId="3" fontId="7" fillId="8" borderId="0" xfId="0" applyNumberFormat="1" applyFont="1" applyFill="1" applyAlignment="1">
      <alignment horizontal="center" vertical="center"/>
    </xf>
    <xf numFmtId="176" fontId="11" fillId="8" borderId="4" xfId="4" applyNumberFormat="1" applyFont="1" applyFill="1" applyBorder="1" applyAlignment="1">
      <alignment horizontal="center" vertical="center"/>
    </xf>
    <xf numFmtId="0" fontId="7" fillId="0" borderId="19" xfId="0" applyFont="1" applyBorder="1" applyAlignment="1">
      <alignment horizontal="center" vertical="center"/>
    </xf>
    <xf numFmtId="0" fontId="11" fillId="0" borderId="1" xfId="4" applyFont="1" applyFill="1" applyBorder="1" applyAlignment="1">
      <alignment horizontal="center" vertical="center"/>
    </xf>
    <xf numFmtId="49" fontId="11" fillId="0" borderId="1" xfId="4" applyNumberFormat="1" applyFont="1" applyFill="1" applyBorder="1" applyAlignment="1">
      <alignment horizontal="center" vertical="center"/>
    </xf>
    <xf numFmtId="49" fontId="7" fillId="0" borderId="19" xfId="0" applyNumberFormat="1" applyFont="1" applyBorder="1" applyAlignment="1">
      <alignment horizontal="center" vertical="center"/>
    </xf>
    <xf numFmtId="49" fontId="11" fillId="0" borderId="1" xfId="1" applyNumberFormat="1" applyFont="1" applyFill="1" applyBorder="1" applyAlignment="1">
      <alignment horizontal="center" vertical="center"/>
    </xf>
    <xf numFmtId="10" fontId="11" fillId="0" borderId="1" xfId="4" applyNumberFormat="1" applyFont="1" applyFill="1" applyBorder="1" applyAlignment="1">
      <alignment horizontal="center" vertical="center"/>
    </xf>
    <xf numFmtId="3" fontId="11" fillId="0" borderId="1" xfId="4" applyNumberFormat="1" applyFont="1" applyFill="1" applyBorder="1" applyAlignment="1">
      <alignment horizontal="center" vertical="center"/>
    </xf>
    <xf numFmtId="9" fontId="11" fillId="0" borderId="1" xfId="4" applyNumberFormat="1" applyFont="1" applyFill="1" applyBorder="1" applyAlignment="1">
      <alignment horizontal="center" vertical="center"/>
    </xf>
    <xf numFmtId="176" fontId="11" fillId="0" borderId="1" xfId="4" applyNumberFormat="1" applyFont="1" applyFill="1" applyBorder="1" applyAlignment="1">
      <alignment horizontal="center" vertical="center"/>
    </xf>
    <xf numFmtId="176" fontId="11" fillId="0" borderId="5" xfId="4" applyNumberFormat="1" applyFont="1" applyFill="1" applyBorder="1" applyAlignment="1">
      <alignment horizontal="center" vertical="center"/>
    </xf>
    <xf numFmtId="9" fontId="11" fillId="0" borderId="1" xfId="2" applyFont="1" applyFill="1" applyBorder="1" applyAlignment="1">
      <alignment horizontal="center" vertical="center"/>
    </xf>
    <xf numFmtId="175" fontId="11" fillId="0" borderId="1" xfId="4" applyNumberFormat="1" applyFont="1" applyFill="1" applyBorder="1" applyAlignment="1">
      <alignment horizontal="center" vertical="center"/>
    </xf>
    <xf numFmtId="177" fontId="11" fillId="0" borderId="1" xfId="4" applyNumberFormat="1" applyFont="1" applyFill="1" applyBorder="1" applyAlignment="1">
      <alignment horizontal="center" vertical="center"/>
    </xf>
    <xf numFmtId="0" fontId="23" fillId="0" borderId="1" xfId="0" applyFont="1" applyBorder="1"/>
    <xf numFmtId="0" fontId="23" fillId="0" borderId="0" xfId="0" applyFont="1"/>
    <xf numFmtId="1" fontId="11" fillId="0" borderId="1" xfId="4" applyNumberFormat="1" applyFont="1" applyFill="1" applyBorder="1" applyAlignment="1">
      <alignment horizontal="center" vertical="top"/>
    </xf>
    <xf numFmtId="0" fontId="23" fillId="8" borderId="6" xfId="0" applyFont="1" applyFill="1" applyBorder="1"/>
    <xf numFmtId="43" fontId="9" fillId="9" borderId="2" xfId="1" applyFont="1" applyFill="1" applyBorder="1" applyAlignment="1">
      <alignment horizontal="center" vertical="center"/>
    </xf>
    <xf numFmtId="0" fontId="46" fillId="6" borderId="0" xfId="0" applyFont="1" applyFill="1"/>
    <xf numFmtId="0" fontId="0" fillId="0" borderId="0" xfId="0" applyAlignment="1">
      <alignment horizontal="center"/>
    </xf>
    <xf numFmtId="0" fontId="6" fillId="6" borderId="22" xfId="0" applyFont="1" applyFill="1" applyBorder="1" applyAlignment="1">
      <alignment horizontal="center" vertical="center" wrapText="1"/>
    </xf>
    <xf numFmtId="0" fontId="6" fillId="28" borderId="22" xfId="0" applyFont="1" applyFill="1" applyBorder="1" applyAlignment="1">
      <alignment horizontal="center" vertical="center"/>
    </xf>
    <xf numFmtId="0" fontId="6" fillId="28" borderId="22" xfId="0" applyFont="1" applyFill="1" applyBorder="1" applyAlignment="1">
      <alignment horizontal="center" vertical="center" wrapText="1"/>
    </xf>
    <xf numFmtId="0" fontId="0" fillId="2" borderId="22" xfId="0" applyFill="1" applyBorder="1" applyAlignment="1">
      <alignment wrapText="1"/>
    </xf>
    <xf numFmtId="167" fontId="0" fillId="2" borderId="22" xfId="0" applyNumberFormat="1" applyFill="1" applyBorder="1" applyAlignment="1">
      <alignment wrapText="1"/>
    </xf>
    <xf numFmtId="187" fontId="0" fillId="2" borderId="22" xfId="0" applyNumberFormat="1" applyFill="1" applyBorder="1" applyAlignment="1">
      <alignment wrapText="1"/>
    </xf>
    <xf numFmtId="180" fontId="0" fillId="2" borderId="22" xfId="0" applyNumberFormat="1" applyFill="1" applyBorder="1" applyAlignment="1">
      <alignment wrapText="1"/>
    </xf>
    <xf numFmtId="1" fontId="0" fillId="2" borderId="22" xfId="0" applyNumberFormat="1" applyFill="1" applyBorder="1" applyAlignment="1">
      <alignment horizontal="center"/>
    </xf>
    <xf numFmtId="1" fontId="0" fillId="0" borderId="22" xfId="0" applyNumberFormat="1" applyBorder="1" applyAlignment="1">
      <alignment horizontal="center"/>
    </xf>
    <xf numFmtId="0" fontId="0" fillId="0" borderId="23" xfId="0" applyBorder="1" applyAlignment="1">
      <alignment wrapText="1"/>
    </xf>
    <xf numFmtId="167" fontId="0" fillId="0" borderId="23" xfId="0" applyNumberFormat="1" applyBorder="1" applyAlignment="1">
      <alignment wrapText="1"/>
    </xf>
    <xf numFmtId="187" fontId="0" fillId="0" borderId="23" xfId="0" applyNumberFormat="1" applyBorder="1" applyAlignment="1">
      <alignment wrapText="1"/>
    </xf>
    <xf numFmtId="180" fontId="0" fillId="0" borderId="23" xfId="0" applyNumberFormat="1" applyBorder="1" applyAlignment="1">
      <alignment wrapText="1"/>
    </xf>
    <xf numFmtId="0" fontId="0" fillId="0" borderId="1" xfId="0" applyBorder="1" applyAlignment="1">
      <alignment wrapText="1"/>
    </xf>
    <xf numFmtId="167" fontId="0" fillId="0" borderId="1" xfId="0" applyNumberFormat="1" applyBorder="1" applyAlignment="1">
      <alignment wrapText="1"/>
    </xf>
    <xf numFmtId="187" fontId="0" fillId="0" borderId="1" xfId="0" applyNumberFormat="1" applyBorder="1" applyAlignment="1">
      <alignment wrapText="1"/>
    </xf>
    <xf numFmtId="180" fontId="0" fillId="0" borderId="1" xfId="0" applyNumberFormat="1" applyBorder="1" applyAlignment="1">
      <alignment wrapText="1"/>
    </xf>
    <xf numFmtId="0" fontId="6" fillId="6" borderId="23" xfId="0" applyFont="1" applyFill="1" applyBorder="1" applyAlignment="1">
      <alignment horizontal="center" vertical="center" wrapText="1"/>
    </xf>
    <xf numFmtId="0" fontId="6" fillId="28" borderId="23" xfId="0" applyFont="1" applyFill="1" applyBorder="1" applyAlignment="1">
      <alignment horizontal="center" vertical="center"/>
    </xf>
    <xf numFmtId="0" fontId="6" fillId="28" borderId="23" xfId="0" applyFont="1" applyFill="1" applyBorder="1" applyAlignment="1">
      <alignment horizontal="center" vertical="center" wrapText="1"/>
    </xf>
    <xf numFmtId="0" fontId="0" fillId="2" borderId="1" xfId="0" applyFill="1" applyBorder="1" applyAlignment="1">
      <alignment wrapText="1"/>
    </xf>
    <xf numFmtId="167" fontId="0" fillId="2" borderId="1" xfId="0" applyNumberFormat="1" applyFill="1" applyBorder="1" applyAlignment="1">
      <alignment wrapText="1"/>
    </xf>
    <xf numFmtId="187" fontId="0" fillId="2" borderId="1" xfId="0" applyNumberFormat="1" applyFill="1" applyBorder="1" applyAlignment="1">
      <alignment wrapText="1"/>
    </xf>
    <xf numFmtId="180" fontId="0" fillId="2" borderId="1" xfId="0" applyNumberFormat="1" applyFill="1" applyBorder="1" applyAlignment="1">
      <alignment wrapText="1"/>
    </xf>
    <xf numFmtId="1" fontId="0" fillId="2" borderId="1" xfId="0" applyNumberFormat="1" applyFill="1" applyBorder="1" applyAlignment="1">
      <alignment horizontal="center"/>
    </xf>
    <xf numFmtId="0" fontId="0" fillId="0" borderId="22" xfId="0" applyBorder="1" applyAlignment="1">
      <alignment wrapText="1"/>
    </xf>
    <xf numFmtId="167" fontId="0" fillId="0" borderId="22" xfId="0" applyNumberFormat="1" applyBorder="1" applyAlignment="1">
      <alignment wrapText="1"/>
    </xf>
    <xf numFmtId="187" fontId="0" fillId="0" borderId="22" xfId="0" applyNumberFormat="1" applyBorder="1" applyAlignment="1">
      <alignment wrapText="1"/>
    </xf>
    <xf numFmtId="180" fontId="0" fillId="0" borderId="22" xfId="0" applyNumberFormat="1" applyBorder="1" applyAlignment="1">
      <alignment wrapText="1"/>
    </xf>
    <xf numFmtId="0" fontId="0" fillId="0" borderId="1" xfId="0" applyBorder="1" applyAlignment="1">
      <alignment vertical="center" wrapText="1"/>
    </xf>
    <xf numFmtId="0" fontId="0" fillId="0" borderId="22" xfId="0" applyBorder="1" applyAlignment="1">
      <alignment vertical="center" wrapText="1"/>
    </xf>
    <xf numFmtId="1" fontId="0" fillId="15" borderId="22" xfId="0" applyNumberFormat="1" applyFill="1" applyBorder="1" applyAlignment="1">
      <alignment horizontal="center"/>
    </xf>
    <xf numFmtId="0" fontId="0" fillId="2" borderId="23" xfId="0" applyFill="1" applyBorder="1" applyAlignment="1">
      <alignment wrapText="1"/>
    </xf>
    <xf numFmtId="167" fontId="0" fillId="2" borderId="23" xfId="0" applyNumberFormat="1" applyFill="1" applyBorder="1" applyAlignment="1">
      <alignment wrapText="1"/>
    </xf>
    <xf numFmtId="187" fontId="0" fillId="2" borderId="23" xfId="0" applyNumberFormat="1" applyFill="1" applyBorder="1" applyAlignment="1">
      <alignment wrapText="1"/>
    </xf>
    <xf numFmtId="180" fontId="0" fillId="2" borderId="23" xfId="0" applyNumberFormat="1" applyFill="1" applyBorder="1" applyAlignment="1">
      <alignment wrapText="1"/>
    </xf>
    <xf numFmtId="1" fontId="0" fillId="2" borderId="23" xfId="0" applyNumberFormat="1" applyFill="1" applyBorder="1" applyAlignment="1">
      <alignment horizontal="center"/>
    </xf>
    <xf numFmtId="0" fontId="0" fillId="8" borderId="1" xfId="0" applyFill="1" applyBorder="1" applyAlignment="1">
      <alignment wrapText="1"/>
    </xf>
    <xf numFmtId="167" fontId="0" fillId="8" borderId="1" xfId="0" applyNumberFormat="1" applyFill="1" applyBorder="1" applyAlignment="1">
      <alignment wrapText="1"/>
    </xf>
    <xf numFmtId="187" fontId="0" fillId="8" borderId="1" xfId="0" applyNumberFormat="1" applyFill="1" applyBorder="1" applyAlignment="1">
      <alignment wrapText="1"/>
    </xf>
    <xf numFmtId="180" fontId="0" fillId="8" borderId="1" xfId="0" applyNumberFormat="1" applyFill="1" applyBorder="1" applyAlignment="1">
      <alignment wrapText="1"/>
    </xf>
    <xf numFmtId="1" fontId="0" fillId="8" borderId="1" xfId="0" applyNumberFormat="1" applyFill="1" applyBorder="1" applyAlignment="1">
      <alignment horizontal="center"/>
    </xf>
    <xf numFmtId="49" fontId="9" fillId="0" borderId="1" xfId="1" applyNumberFormat="1" applyFont="1" applyFill="1" applyBorder="1" applyAlignment="1">
      <alignment horizontal="center" vertical="center"/>
    </xf>
    <xf numFmtId="0" fontId="10" fillId="0" borderId="1" xfId="3" applyFont="1" applyBorder="1" applyAlignment="1">
      <alignment horizontal="center" vertical="center"/>
    </xf>
    <xf numFmtId="49" fontId="9" fillId="0" borderId="1" xfId="0" applyNumberFormat="1" applyFont="1" applyBorder="1" applyAlignment="1">
      <alignment horizontal="center" vertical="center"/>
    </xf>
    <xf numFmtId="175" fontId="9" fillId="0" borderId="1" xfId="1" applyNumberFormat="1" applyFont="1" applyFill="1" applyBorder="1" applyAlignment="1">
      <alignment horizontal="center" vertical="center"/>
    </xf>
    <xf numFmtId="1" fontId="11" fillId="0" borderId="1" xfId="4" applyNumberFormat="1" applyFont="1" applyFill="1" applyBorder="1" applyAlignment="1">
      <alignment horizontal="center" vertical="center"/>
    </xf>
    <xf numFmtId="0" fontId="23" fillId="0" borderId="1" xfId="0" applyFont="1" applyBorder="1" applyAlignment="1">
      <alignment horizontal="center" vertical="center"/>
    </xf>
    <xf numFmtId="0" fontId="11" fillId="0" borderId="1" xfId="0" applyFont="1" applyBorder="1" applyAlignment="1">
      <alignment horizontal="center"/>
    </xf>
    <xf numFmtId="9" fontId="10" fillId="0" borderId="1" xfId="2" applyFont="1" applyFill="1" applyBorder="1" applyAlignment="1">
      <alignment horizontal="center" vertical="center"/>
    </xf>
    <xf numFmtId="165" fontId="10" fillId="0" borderId="0" xfId="1" applyNumberFormat="1" applyFont="1" applyFill="1" applyBorder="1"/>
    <xf numFmtId="165" fontId="23" fillId="0" borderId="0" xfId="1" applyNumberFormat="1" applyFont="1" applyFill="1"/>
    <xf numFmtId="1" fontId="23" fillId="0" borderId="0" xfId="0" applyNumberFormat="1" applyFont="1"/>
    <xf numFmtId="0" fontId="11" fillId="0" borderId="1" xfId="4" applyFont="1" applyFill="1" applyBorder="1" applyAlignment="1">
      <alignment horizontal="center" vertical="top"/>
    </xf>
    <xf numFmtId="176" fontId="11" fillId="0" borderId="1" xfId="1" applyNumberFormat="1" applyFont="1" applyFill="1" applyBorder="1" applyAlignment="1">
      <alignment horizontal="center" vertical="center"/>
    </xf>
    <xf numFmtId="178" fontId="10" fillId="0" borderId="1" xfId="0" applyNumberFormat="1" applyFont="1" applyBorder="1" applyAlignment="1">
      <alignment horizontal="center"/>
    </xf>
    <xf numFmtId="172" fontId="11" fillId="0" borderId="1" xfId="4" applyNumberFormat="1" applyFont="1" applyFill="1" applyBorder="1" applyAlignment="1">
      <alignment horizontal="center" vertical="center"/>
    </xf>
    <xf numFmtId="176" fontId="11" fillId="0" borderId="0" xfId="1" applyNumberFormat="1" applyFont="1" applyFill="1" applyBorder="1" applyAlignment="1">
      <alignment horizontal="center" vertical="center"/>
    </xf>
    <xf numFmtId="49" fontId="11" fillId="0" borderId="1" xfId="5" applyNumberFormat="1" applyFont="1" applyFill="1" applyBorder="1" applyAlignment="1">
      <alignment horizontal="center" vertical="center"/>
    </xf>
    <xf numFmtId="0" fontId="27" fillId="29" borderId="0" xfId="0" applyFont="1" applyFill="1"/>
    <xf numFmtId="0" fontId="3" fillId="29" borderId="0" xfId="0" applyFont="1" applyFill="1"/>
    <xf numFmtId="0" fontId="11" fillId="8" borderId="0" xfId="0" applyFont="1" applyFill="1" applyAlignment="1">
      <alignment horizontal="center" vertical="center"/>
    </xf>
    <xf numFmtId="176" fontId="11" fillId="8" borderId="0" xfId="2" applyNumberFormat="1" applyFont="1" applyFill="1" applyAlignment="1">
      <alignment horizontal="center" vertical="center"/>
    </xf>
    <xf numFmtId="2" fontId="10" fillId="0" borderId="0" xfId="2" applyNumberFormat="1" applyFont="1" applyAlignment="1">
      <alignment horizontal="center"/>
    </xf>
    <xf numFmtId="176" fontId="10" fillId="0" borderId="0" xfId="2" applyNumberFormat="1" applyFont="1" applyAlignment="1">
      <alignment horizontal="center"/>
    </xf>
    <xf numFmtId="176" fontId="8" fillId="8" borderId="0" xfId="1" applyNumberFormat="1" applyFont="1" applyFill="1" applyAlignment="1">
      <alignment horizontal="center" vertical="center"/>
    </xf>
    <xf numFmtId="176" fontId="10" fillId="0" borderId="1" xfId="0" applyNumberFormat="1" applyFont="1" applyBorder="1" applyAlignment="1">
      <alignment horizontal="center"/>
    </xf>
    <xf numFmtId="176" fontId="11" fillId="0" borderId="0" xfId="2" applyNumberFormat="1" applyFont="1" applyFill="1" applyBorder="1" applyAlignment="1">
      <alignment horizontal="center" vertical="center"/>
    </xf>
    <xf numFmtId="174" fontId="10" fillId="8" borderId="0" xfId="0" applyNumberFormat="1" applyFont="1" applyFill="1" applyAlignment="1">
      <alignment horizontal="center"/>
    </xf>
    <xf numFmtId="0" fontId="10" fillId="0" borderId="1" xfId="0" applyFont="1" applyBorder="1" applyAlignment="1">
      <alignment horizontal="center"/>
    </xf>
    <xf numFmtId="184" fontId="11" fillId="8" borderId="1" xfId="4" applyNumberFormat="1" applyFont="1" applyFill="1" applyBorder="1" applyAlignment="1">
      <alignment horizontal="center" vertical="center"/>
    </xf>
    <xf numFmtId="184" fontId="11" fillId="0" borderId="1" xfId="4" applyNumberFormat="1" applyFont="1" applyFill="1" applyBorder="1" applyAlignment="1">
      <alignment horizontal="center" vertical="center"/>
    </xf>
    <xf numFmtId="0" fontId="7" fillId="0" borderId="25" xfId="0" applyFont="1" applyBorder="1" applyAlignment="1">
      <alignment horizontal="center" vertical="center"/>
    </xf>
    <xf numFmtId="0" fontId="7" fillId="0" borderId="24" xfId="0" applyFont="1" applyBorder="1" applyAlignment="1">
      <alignment horizontal="center" vertical="center"/>
    </xf>
    <xf numFmtId="0" fontId="11" fillId="0" borderId="0" xfId="4" applyFont="1" applyFill="1" applyBorder="1" applyAlignment="1">
      <alignment horizontal="center" vertical="center"/>
    </xf>
    <xf numFmtId="0" fontId="48" fillId="8" borderId="0" xfId="0" applyFont="1" applyFill="1" applyAlignment="1">
      <alignment horizontal="center"/>
    </xf>
    <xf numFmtId="176" fontId="48" fillId="8" borderId="0" xfId="0" applyNumberFormat="1" applyFont="1" applyFill="1" applyAlignment="1">
      <alignment horizontal="center"/>
    </xf>
    <xf numFmtId="1" fontId="47" fillId="8" borderId="0" xfId="0" applyNumberFormat="1" applyFont="1" applyFill="1"/>
    <xf numFmtId="0" fontId="47" fillId="8" borderId="0" xfId="0" applyFont="1" applyFill="1" applyAlignment="1">
      <alignment horizontal="left"/>
    </xf>
    <xf numFmtId="0" fontId="48" fillId="8" borderId="0" xfId="4" applyFont="1" applyFill="1" applyBorder="1" applyAlignment="1">
      <alignment horizontal="center" vertical="center"/>
    </xf>
    <xf numFmtId="176" fontId="48" fillId="8" borderId="0" xfId="2" applyNumberFormat="1" applyFont="1" applyFill="1" applyBorder="1" applyAlignment="1">
      <alignment horizontal="center" vertical="center"/>
    </xf>
    <xf numFmtId="0" fontId="7" fillId="8" borderId="19" xfId="0" applyFont="1" applyFill="1" applyBorder="1" applyAlignment="1">
      <alignment horizontal="center" vertical="center"/>
    </xf>
    <xf numFmtId="49" fontId="7" fillId="8" borderId="19" xfId="0" applyNumberFormat="1" applyFont="1" applyFill="1" applyBorder="1" applyAlignment="1">
      <alignment horizontal="center" vertical="center"/>
    </xf>
    <xf numFmtId="0" fontId="7" fillId="8" borderId="24" xfId="0" applyFont="1" applyFill="1" applyBorder="1" applyAlignment="1">
      <alignment horizontal="center" vertical="center"/>
    </xf>
    <xf numFmtId="165" fontId="0" fillId="8" borderId="0" xfId="0" applyNumberFormat="1" applyFill="1"/>
    <xf numFmtId="0" fontId="11" fillId="8" borderId="0" xfId="4" applyFont="1" applyFill="1" applyBorder="1" applyAlignment="1">
      <alignment horizontal="center" vertical="center"/>
    </xf>
    <xf numFmtId="165" fontId="48" fillId="8" borderId="0" xfId="0" applyNumberFormat="1" applyFont="1" applyFill="1" applyAlignment="1">
      <alignment horizontal="center"/>
    </xf>
    <xf numFmtId="176" fontId="11" fillId="2" borderId="1" xfId="4" applyNumberFormat="1" applyFont="1" applyFill="1" applyBorder="1" applyAlignment="1">
      <alignment horizontal="center" vertical="center"/>
    </xf>
    <xf numFmtId="176" fontId="11" fillId="2" borderId="5" xfId="4" applyNumberFormat="1" applyFont="1" applyFill="1" applyBorder="1" applyAlignment="1">
      <alignment horizontal="center" vertical="center"/>
    </xf>
    <xf numFmtId="43" fontId="4" fillId="0" borderId="0" xfId="0" applyNumberFormat="1" applyFont="1"/>
    <xf numFmtId="0" fontId="39" fillId="0" borderId="0" xfId="0" applyFont="1" applyAlignment="1">
      <alignment horizontal="center" vertical="center"/>
    </xf>
    <xf numFmtId="9" fontId="10" fillId="0" borderId="0" xfId="2" applyFont="1" applyAlignment="1">
      <alignment horizontal="center" vertical="center"/>
    </xf>
    <xf numFmtId="175" fontId="10" fillId="0" borderId="0" xfId="0" applyNumberFormat="1" applyFont="1" applyAlignment="1">
      <alignment horizontal="center" vertical="center"/>
    </xf>
    <xf numFmtId="0" fontId="10" fillId="14" borderId="0" xfId="0" applyFont="1" applyFill="1" applyAlignment="1">
      <alignment horizontal="center" vertical="center"/>
    </xf>
    <xf numFmtId="176" fontId="10" fillId="0" borderId="0" xfId="2" applyNumberFormat="1" applyFont="1" applyBorder="1" applyAlignment="1">
      <alignment horizontal="center" vertical="center"/>
    </xf>
    <xf numFmtId="2" fontId="10" fillId="0" borderId="0" xfId="2" applyNumberFormat="1" applyFont="1" applyBorder="1" applyAlignment="1">
      <alignment horizontal="center" vertical="center"/>
    </xf>
    <xf numFmtId="178" fontId="10" fillId="0" borderId="0" xfId="0" applyNumberFormat="1" applyFont="1" applyAlignment="1">
      <alignment horizontal="center" vertical="center"/>
    </xf>
    <xf numFmtId="176" fontId="10" fillId="0" borderId="0" xfId="0" applyNumberFormat="1" applyFont="1" applyAlignment="1">
      <alignment horizontal="center" vertical="center"/>
    </xf>
    <xf numFmtId="9" fontId="10" fillId="0" borderId="0" xfId="2" applyFont="1" applyBorder="1" applyAlignment="1">
      <alignment horizontal="center" vertical="center"/>
    </xf>
    <xf numFmtId="2" fontId="10" fillId="0" borderId="0" xfId="0" applyNumberFormat="1" applyFont="1" applyAlignment="1">
      <alignment horizontal="center" vertical="center"/>
    </xf>
    <xf numFmtId="0" fontId="33" fillId="8" borderId="0" xfId="4" applyFont="1" applyFill="1" applyBorder="1" applyAlignment="1">
      <alignment horizontal="center" vertical="center"/>
    </xf>
    <xf numFmtId="6" fontId="10" fillId="0" borderId="0" xfId="0" applyNumberFormat="1" applyFont="1" applyAlignment="1">
      <alignment horizontal="center" vertical="center"/>
    </xf>
    <xf numFmtId="3" fontId="10" fillId="0" borderId="0" xfId="0" applyNumberFormat="1" applyFont="1" applyAlignment="1">
      <alignment horizontal="center" vertical="center"/>
    </xf>
    <xf numFmtId="43" fontId="10" fillId="9" borderId="1" xfId="1" applyFont="1" applyFill="1" applyBorder="1" applyAlignment="1">
      <alignment horizontal="center"/>
    </xf>
    <xf numFmtId="49" fontId="8" fillId="6" borderId="0" xfId="7" applyNumberFormat="1" applyFont="1" applyFill="1" applyAlignment="1">
      <alignment horizontal="center" vertical="center"/>
    </xf>
    <xf numFmtId="0" fontId="10" fillId="0" borderId="26" xfId="0" applyFont="1" applyBorder="1" applyAlignment="1">
      <alignment horizontal="center" vertical="center"/>
    </xf>
    <xf numFmtId="168" fontId="8" fillId="6" borderId="0" xfId="7" applyNumberFormat="1" applyFont="1" applyFill="1" applyAlignment="1">
      <alignment horizontal="center" vertical="center"/>
    </xf>
    <xf numFmtId="183" fontId="10" fillId="0" borderId="26" xfId="0" applyNumberFormat="1" applyFont="1" applyBorder="1" applyAlignment="1">
      <alignment vertical="center"/>
    </xf>
    <xf numFmtId="189" fontId="10" fillId="0" borderId="26" xfId="0" applyNumberFormat="1" applyFont="1" applyBorder="1" applyAlignment="1">
      <alignment vertical="center"/>
    </xf>
    <xf numFmtId="49" fontId="8" fillId="6" borderId="1" xfId="7" applyNumberFormat="1" applyFont="1" applyFill="1" applyBorder="1" applyAlignment="1">
      <alignment horizontal="center" vertical="center"/>
    </xf>
    <xf numFmtId="0" fontId="10" fillId="30" borderId="1" xfId="0" applyFont="1" applyFill="1" applyBorder="1" applyAlignment="1">
      <alignment horizontal="center" vertical="center"/>
    </xf>
    <xf numFmtId="0" fontId="11" fillId="30" borderId="1" xfId="0" applyFont="1" applyFill="1" applyBorder="1" applyAlignment="1">
      <alignment horizontal="center" vertical="center"/>
    </xf>
    <xf numFmtId="168" fontId="8" fillId="6" borderId="1" xfId="7" applyNumberFormat="1" applyFont="1" applyFill="1" applyBorder="1" applyAlignment="1">
      <alignment horizontal="center" vertical="center"/>
    </xf>
    <xf numFmtId="183" fontId="10" fillId="0" borderId="1" xfId="0" applyNumberFormat="1" applyFont="1" applyBorder="1" applyAlignment="1">
      <alignment vertical="center"/>
    </xf>
    <xf numFmtId="189" fontId="10" fillId="0" borderId="1" xfId="0" applyNumberFormat="1" applyFont="1" applyBorder="1" applyAlignment="1">
      <alignment vertical="center"/>
    </xf>
    <xf numFmtId="183" fontId="11" fillId="0" borderId="1" xfId="0" applyNumberFormat="1" applyFont="1" applyBorder="1" applyAlignment="1">
      <alignment vertical="center"/>
    </xf>
    <xf numFmtId="183" fontId="10" fillId="30" borderId="1" xfId="0" applyNumberFormat="1" applyFont="1" applyFill="1" applyBorder="1" applyAlignment="1">
      <alignment vertical="center"/>
    </xf>
    <xf numFmtId="189" fontId="10" fillId="30" borderId="1" xfId="0" applyNumberFormat="1" applyFont="1" applyFill="1" applyBorder="1" applyAlignment="1">
      <alignment vertical="center"/>
    </xf>
    <xf numFmtId="183" fontId="10" fillId="12" borderId="1" xfId="0" applyNumberFormat="1" applyFont="1" applyFill="1" applyBorder="1" applyAlignment="1">
      <alignment vertical="center"/>
    </xf>
    <xf numFmtId="44" fontId="10" fillId="12" borderId="1" xfId="0" applyNumberFormat="1" applyFont="1" applyFill="1" applyBorder="1" applyAlignment="1">
      <alignment vertical="center"/>
    </xf>
    <xf numFmtId="183" fontId="8" fillId="6" borderId="1" xfId="0" applyNumberFormat="1" applyFont="1" applyFill="1" applyBorder="1" applyAlignment="1">
      <alignment vertical="center"/>
    </xf>
    <xf numFmtId="44" fontId="8" fillId="6" borderId="1" xfId="0" applyNumberFormat="1" applyFont="1" applyFill="1" applyBorder="1" applyAlignment="1">
      <alignment vertical="center"/>
    </xf>
    <xf numFmtId="0" fontId="10" fillId="8" borderId="19" xfId="0" applyFont="1" applyFill="1" applyBorder="1" applyAlignment="1">
      <alignment horizontal="center" vertical="center"/>
    </xf>
    <xf numFmtId="0" fontId="10" fillId="0" borderId="4" xfId="0" applyFont="1" applyBorder="1" applyAlignment="1">
      <alignment horizontal="center" vertical="center"/>
    </xf>
    <xf numFmtId="0" fontId="7" fillId="3" borderId="26" xfId="0" applyFont="1" applyFill="1" applyBorder="1" applyAlignment="1">
      <alignment horizontal="center" vertical="center"/>
    </xf>
    <xf numFmtId="0" fontId="11" fillId="8" borderId="19" xfId="0" applyFont="1" applyFill="1" applyBorder="1" applyAlignment="1">
      <alignment horizontal="center" vertical="center"/>
    </xf>
    <xf numFmtId="176" fontId="11" fillId="8" borderId="26" xfId="4" applyNumberFormat="1" applyFont="1" applyFill="1" applyBorder="1" applyAlignment="1">
      <alignment horizontal="center" vertical="center"/>
    </xf>
    <xf numFmtId="189" fontId="10" fillId="0" borderId="5" xfId="0" applyNumberFormat="1" applyFont="1" applyBorder="1" applyAlignment="1">
      <alignment vertical="center"/>
    </xf>
    <xf numFmtId="0" fontId="0" fillId="0" borderId="26" xfId="0" applyBorder="1"/>
    <xf numFmtId="183" fontId="10" fillId="0" borderId="0" xfId="0" applyNumberFormat="1" applyFont="1" applyAlignment="1">
      <alignment vertical="center"/>
    </xf>
    <xf numFmtId="189" fontId="10" fillId="0" borderId="0" xfId="0" applyNumberFormat="1" applyFont="1" applyAlignment="1">
      <alignment vertical="center"/>
    </xf>
    <xf numFmtId="0" fontId="11" fillId="0" borderId="0" xfId="0" applyFont="1" applyAlignment="1">
      <alignment horizontal="center" vertical="center"/>
    </xf>
    <xf numFmtId="167" fontId="0" fillId="0" borderId="0" xfId="0" applyNumberFormat="1"/>
    <xf numFmtId="176" fontId="11" fillId="8" borderId="0" xfId="4" applyNumberFormat="1" applyFont="1" applyFill="1" applyBorder="1" applyAlignment="1">
      <alignment horizontal="center" vertical="center"/>
    </xf>
    <xf numFmtId="176" fontId="10" fillId="9" borderId="1" xfId="0" applyNumberFormat="1" applyFont="1" applyFill="1" applyBorder="1" applyAlignment="1">
      <alignment horizontal="center" vertical="center"/>
    </xf>
    <xf numFmtId="176" fontId="10" fillId="0" borderId="1" xfId="0" applyNumberFormat="1" applyFont="1" applyBorder="1" applyAlignment="1">
      <alignment horizontal="center" vertical="center"/>
    </xf>
    <xf numFmtId="176" fontId="10" fillId="0" borderId="0" xfId="1" applyNumberFormat="1" applyFont="1" applyAlignment="1">
      <alignment horizontal="center" vertical="center"/>
    </xf>
    <xf numFmtId="183" fontId="11" fillId="0" borderId="6" xfId="1" applyNumberFormat="1" applyFont="1" applyFill="1" applyBorder="1" applyAlignment="1">
      <alignment horizontal="center" vertical="center"/>
    </xf>
    <xf numFmtId="183" fontId="11" fillId="8" borderId="6" xfId="1" applyNumberFormat="1" applyFont="1" applyFill="1" applyBorder="1" applyAlignment="1">
      <alignment horizontal="center" vertical="center"/>
    </xf>
    <xf numFmtId="183" fontId="9" fillId="9" borderId="1" xfId="1" applyNumberFormat="1" applyFont="1" applyFill="1" applyBorder="1" applyAlignment="1">
      <alignment horizontal="center" vertical="center"/>
    </xf>
    <xf numFmtId="183" fontId="11" fillId="8" borderId="1" xfId="1" applyNumberFormat="1" applyFont="1" applyFill="1" applyBorder="1" applyAlignment="1">
      <alignment horizontal="center" vertical="center"/>
    </xf>
    <xf numFmtId="183" fontId="8" fillId="6" borderId="1" xfId="1" applyNumberFormat="1" applyFont="1" applyFill="1" applyBorder="1" applyAlignment="1">
      <alignment horizontal="center" vertical="center"/>
    </xf>
    <xf numFmtId="1" fontId="8" fillId="6" borderId="1" xfId="1" applyNumberFormat="1" applyFont="1" applyFill="1" applyBorder="1" applyAlignment="1">
      <alignment horizontal="center" vertical="center"/>
    </xf>
    <xf numFmtId="183" fontId="11" fillId="0" borderId="1" xfId="1" applyNumberFormat="1" applyFont="1" applyFill="1" applyBorder="1" applyAlignment="1">
      <alignment horizontal="center" vertical="center"/>
    </xf>
    <xf numFmtId="183" fontId="9" fillId="9" borderId="4" xfId="1" applyNumberFormat="1" applyFont="1" applyFill="1" applyBorder="1" applyAlignment="1">
      <alignment horizontal="center" vertical="center"/>
    </xf>
    <xf numFmtId="183" fontId="9" fillId="9" borderId="2" xfId="1" applyNumberFormat="1" applyFont="1" applyFill="1" applyBorder="1" applyAlignment="1">
      <alignment horizontal="center" vertical="center"/>
    </xf>
    <xf numFmtId="49" fontId="9" fillId="8" borderId="4" xfId="1" applyNumberFormat="1" applyFont="1" applyFill="1" applyBorder="1" applyAlignment="1">
      <alignment horizontal="center" vertical="center"/>
    </xf>
    <xf numFmtId="0" fontId="11" fillId="8" borderId="4" xfId="0" applyFont="1" applyFill="1" applyBorder="1" applyAlignment="1">
      <alignment horizontal="center" vertical="center" wrapText="1"/>
    </xf>
    <xf numFmtId="0" fontId="10" fillId="8" borderId="4" xfId="0" applyFont="1" applyFill="1" applyBorder="1" applyAlignment="1">
      <alignment horizontal="center" vertical="center"/>
    </xf>
    <xf numFmtId="3" fontId="22" fillId="8" borderId="4" xfId="1" applyNumberFormat="1" applyFont="1" applyFill="1" applyBorder="1" applyAlignment="1">
      <alignment horizontal="center" vertical="center"/>
    </xf>
    <xf numFmtId="10" fontId="10" fillId="8" borderId="4" xfId="2" applyNumberFormat="1" applyFont="1" applyFill="1" applyBorder="1" applyAlignment="1">
      <alignment horizontal="center" vertical="center"/>
    </xf>
    <xf numFmtId="176" fontId="11" fillId="8" borderId="27" xfId="4" applyNumberFormat="1" applyFont="1" applyFill="1" applyBorder="1" applyAlignment="1">
      <alignment horizontal="center" vertical="center"/>
    </xf>
    <xf numFmtId="183" fontId="11" fillId="8" borderId="4" xfId="1" applyNumberFormat="1" applyFont="1" applyFill="1" applyBorder="1" applyAlignment="1">
      <alignment horizontal="center" vertical="center"/>
    </xf>
    <xf numFmtId="9" fontId="11" fillId="8" borderId="4" xfId="4" applyNumberFormat="1" applyFont="1" applyFill="1" applyBorder="1" applyAlignment="1">
      <alignment horizontal="center" vertical="center"/>
    </xf>
    <xf numFmtId="49" fontId="9" fillId="8" borderId="4" xfId="0" applyNumberFormat="1" applyFont="1" applyFill="1" applyBorder="1" applyAlignment="1">
      <alignment horizontal="center" vertical="center"/>
    </xf>
    <xf numFmtId="175" fontId="9" fillId="8" borderId="4" xfId="1" applyNumberFormat="1" applyFont="1" applyFill="1" applyBorder="1" applyAlignment="1">
      <alignment horizontal="center" vertical="center"/>
    </xf>
    <xf numFmtId="175" fontId="11" fillId="8" borderId="4" xfId="4" applyNumberFormat="1" applyFont="1" applyFill="1" applyBorder="1" applyAlignment="1">
      <alignment horizontal="center" vertical="center"/>
    </xf>
    <xf numFmtId="177" fontId="11" fillId="8" borderId="4" xfId="4" applyNumberFormat="1" applyFont="1" applyFill="1" applyBorder="1" applyAlignment="1">
      <alignment horizontal="center" vertical="center"/>
    </xf>
    <xf numFmtId="0" fontId="23" fillId="8" borderId="4" xfId="0" applyFont="1" applyFill="1" applyBorder="1" applyAlignment="1">
      <alignment horizontal="center" vertical="center"/>
    </xf>
    <xf numFmtId="0" fontId="23" fillId="8" borderId="4" xfId="0" applyFont="1" applyFill="1" applyBorder="1"/>
    <xf numFmtId="181" fontId="10" fillId="8" borderId="4" xfId="2" applyNumberFormat="1" applyFont="1" applyFill="1" applyBorder="1" applyAlignment="1">
      <alignment horizontal="center"/>
    </xf>
    <xf numFmtId="9" fontId="10" fillId="8" borderId="4" xfId="2" applyFont="1" applyFill="1" applyBorder="1" applyAlignment="1">
      <alignment horizontal="center" vertical="center"/>
    </xf>
    <xf numFmtId="3" fontId="10" fillId="19" borderId="4" xfId="0" applyNumberFormat="1" applyFont="1" applyFill="1" applyBorder="1" applyAlignment="1">
      <alignment horizontal="center" vertical="center"/>
    </xf>
    <xf numFmtId="165" fontId="10" fillId="8" borderId="1" xfId="1" applyNumberFormat="1" applyFont="1" applyFill="1" applyBorder="1"/>
    <xf numFmtId="165" fontId="10" fillId="8" borderId="1" xfId="1" applyNumberFormat="1" applyFont="1" applyFill="1" applyBorder="1" applyAlignment="1">
      <alignment horizontal="center" vertical="center"/>
    </xf>
    <xf numFmtId="165" fontId="10" fillId="8" borderId="1" xfId="1" applyNumberFormat="1" applyFont="1" applyFill="1" applyBorder="1" applyAlignment="1">
      <alignment horizontal="center"/>
    </xf>
    <xf numFmtId="49" fontId="11" fillId="0" borderId="1" xfId="7" applyNumberFormat="1" applyFont="1" applyFill="1" applyBorder="1" applyAlignment="1">
      <alignment horizontal="center" vertical="center"/>
    </xf>
    <xf numFmtId="1" fontId="4" fillId="0" borderId="1" xfId="0" applyNumberFormat="1" applyFont="1" applyBorder="1" applyAlignment="1">
      <alignment horizontal="center" vertical="center"/>
    </xf>
    <xf numFmtId="183" fontId="8" fillId="6" borderId="2" xfId="1" applyNumberFormat="1" applyFont="1" applyFill="1" applyBorder="1" applyAlignment="1">
      <alignment horizontal="center" vertical="center"/>
    </xf>
    <xf numFmtId="0" fontId="49" fillId="31" borderId="1" xfId="0" applyFont="1" applyFill="1" applyBorder="1" applyAlignment="1">
      <alignment horizontal="center" vertical="center"/>
    </xf>
    <xf numFmtId="0" fontId="49" fillId="31" borderId="1" xfId="4" applyFont="1" applyFill="1" applyBorder="1" applyAlignment="1">
      <alignment horizontal="center" vertical="center"/>
    </xf>
    <xf numFmtId="49" fontId="49" fillId="31" borderId="1" xfId="1" applyNumberFormat="1" applyFont="1" applyFill="1" applyBorder="1" applyAlignment="1">
      <alignment horizontal="center" vertical="center"/>
    </xf>
    <xf numFmtId="49" fontId="49" fillId="31" borderId="1" xfId="5" applyNumberFormat="1" applyFont="1" applyFill="1" applyBorder="1" applyAlignment="1">
      <alignment horizontal="center" vertical="center"/>
    </xf>
    <xf numFmtId="3" fontId="49" fillId="31" borderId="1" xfId="1" applyNumberFormat="1" applyFont="1" applyFill="1" applyBorder="1" applyAlignment="1">
      <alignment horizontal="center" vertical="center"/>
    </xf>
    <xf numFmtId="10" fontId="49" fillId="31" borderId="1" xfId="4" applyNumberFormat="1" applyFont="1" applyFill="1" applyBorder="1" applyAlignment="1">
      <alignment horizontal="center" vertical="center"/>
    </xf>
    <xf numFmtId="9" fontId="49" fillId="31" borderId="1" xfId="2" applyFont="1" applyFill="1" applyBorder="1" applyAlignment="1">
      <alignment horizontal="center" vertical="center"/>
    </xf>
    <xf numFmtId="176" fontId="49" fillId="31" borderId="1" xfId="1" applyNumberFormat="1" applyFont="1" applyFill="1" applyBorder="1" applyAlignment="1">
      <alignment horizontal="center" vertical="center"/>
    </xf>
    <xf numFmtId="176" fontId="49" fillId="31" borderId="1" xfId="4" applyNumberFormat="1" applyFont="1" applyFill="1" applyBorder="1" applyAlignment="1">
      <alignment horizontal="center" vertical="center"/>
    </xf>
    <xf numFmtId="9" fontId="49" fillId="31" borderId="1" xfId="4" applyNumberFormat="1" applyFont="1" applyFill="1" applyBorder="1" applyAlignment="1">
      <alignment horizontal="center" vertical="center"/>
    </xf>
    <xf numFmtId="172" fontId="49" fillId="31" borderId="1" xfId="4" applyNumberFormat="1" applyFont="1" applyFill="1" applyBorder="1" applyAlignment="1">
      <alignment horizontal="center" vertical="center"/>
    </xf>
    <xf numFmtId="177" fontId="49" fillId="31" borderId="1" xfId="4" applyNumberFormat="1" applyFont="1" applyFill="1" applyBorder="1" applyAlignment="1">
      <alignment horizontal="center" vertical="center"/>
    </xf>
    <xf numFmtId="1" fontId="49" fillId="31" borderId="1" xfId="4" applyNumberFormat="1" applyFont="1" applyFill="1" applyBorder="1" applyAlignment="1">
      <alignment horizontal="center" vertical="center"/>
    </xf>
    <xf numFmtId="3" fontId="8" fillId="31" borderId="1" xfId="1" applyNumberFormat="1" applyFont="1" applyFill="1" applyBorder="1" applyAlignment="1">
      <alignment horizontal="center" vertical="center"/>
    </xf>
    <xf numFmtId="3" fontId="8" fillId="31" borderId="1" xfId="4" applyNumberFormat="1" applyFont="1" applyFill="1" applyBorder="1" applyAlignment="1">
      <alignment horizontal="center" vertical="center"/>
    </xf>
    <xf numFmtId="9" fontId="8" fillId="31" borderId="1" xfId="2" applyFont="1" applyFill="1" applyBorder="1" applyAlignment="1">
      <alignment horizontal="center" vertical="center"/>
    </xf>
    <xf numFmtId="183" fontId="8" fillId="31" borderId="1" xfId="1"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165" fontId="10" fillId="0" borderId="0" xfId="1" applyNumberFormat="1" applyFont="1" applyFill="1" applyAlignment="1">
      <alignment horizontal="center" vertical="center"/>
    </xf>
    <xf numFmtId="49" fontId="9" fillId="9" borderId="1" xfId="1" applyNumberFormat="1" applyFont="1" applyFill="1" applyBorder="1" applyAlignment="1">
      <alignment vertical="top"/>
    </xf>
    <xf numFmtId="6" fontId="4" fillId="0" borderId="0" xfId="0" applyNumberFormat="1" applyFont="1"/>
    <xf numFmtId="183" fontId="4" fillId="0" borderId="0" xfId="0" applyNumberFormat="1" applyFont="1"/>
    <xf numFmtId="188" fontId="0" fillId="8" borderId="0" xfId="0" applyNumberFormat="1" applyFill="1"/>
    <xf numFmtId="1" fontId="4" fillId="0" borderId="0" xfId="0" applyNumberFormat="1" applyFont="1"/>
    <xf numFmtId="1" fontId="0" fillId="0" borderId="0" xfId="0" applyNumberFormat="1"/>
    <xf numFmtId="2" fontId="50" fillId="0" borderId="0" xfId="0" applyNumberFormat="1" applyFont="1"/>
    <xf numFmtId="2" fontId="37" fillId="0" borderId="0" xfId="0" applyNumberFormat="1" applyFont="1"/>
    <xf numFmtId="188" fontId="11" fillId="0" borderId="1" xfId="0" applyNumberFormat="1" applyFont="1" applyBorder="1" applyAlignment="1">
      <alignment horizontal="center"/>
    </xf>
    <xf numFmtId="188" fontId="10" fillId="0" borderId="0" xfId="0" applyNumberFormat="1" applyFont="1" applyAlignment="1">
      <alignment horizontal="center"/>
    </xf>
    <xf numFmtId="1" fontId="4" fillId="0" borderId="0" xfId="2" applyNumberFormat="1" applyFont="1"/>
    <xf numFmtId="3" fontId="4" fillId="0" borderId="0" xfId="2" applyNumberFormat="1" applyFont="1"/>
    <xf numFmtId="8" fontId="10" fillId="0" borderId="0" xfId="0" applyNumberFormat="1" applyFont="1" applyAlignment="1">
      <alignment horizontal="center" vertical="center"/>
    </xf>
    <xf numFmtId="3" fontId="8" fillId="6" borderId="3" xfId="1" applyNumberFormat="1" applyFont="1" applyFill="1" applyBorder="1" applyAlignment="1">
      <alignment horizontal="center" vertical="center"/>
    </xf>
    <xf numFmtId="165" fontId="10" fillId="0" borderId="1" xfId="1" applyNumberFormat="1" applyFont="1" applyFill="1" applyBorder="1" applyAlignment="1">
      <alignment horizontal="center"/>
    </xf>
    <xf numFmtId="165" fontId="10" fillId="8" borderId="4" xfId="1" applyNumberFormat="1" applyFont="1" applyFill="1" applyBorder="1" applyAlignment="1">
      <alignment horizontal="center"/>
    </xf>
    <xf numFmtId="9" fontId="34" fillId="0" borderId="0" xfId="2" applyFont="1" applyAlignment="1">
      <alignment horizontal="center" vertical="center"/>
    </xf>
    <xf numFmtId="0" fontId="7" fillId="0" borderId="0" xfId="0" applyFont="1" applyAlignment="1">
      <alignment horizontal="center" vertical="center"/>
    </xf>
    <xf numFmtId="181" fontId="10" fillId="0" borderId="0" xfId="2" applyNumberFormat="1" applyFont="1" applyFill="1" applyBorder="1" applyAlignment="1">
      <alignment horizontal="center"/>
    </xf>
    <xf numFmtId="9" fontId="10" fillId="0" borderId="0" xfId="2" applyFont="1" applyFill="1" applyBorder="1" applyAlignment="1">
      <alignment horizontal="center" vertical="center"/>
    </xf>
    <xf numFmtId="179" fontId="22" fillId="0" borderId="0" xfId="3" applyNumberFormat="1" applyFont="1" applyAlignment="1">
      <alignment horizontal="center" vertical="center"/>
    </xf>
    <xf numFmtId="3" fontId="22" fillId="0" borderId="0" xfId="1" applyNumberFormat="1" applyFont="1" applyFill="1" applyBorder="1" applyAlignment="1">
      <alignment horizontal="center" vertical="center"/>
    </xf>
    <xf numFmtId="181" fontId="3" fillId="0" borderId="28" xfId="0" applyNumberFormat="1" applyFont="1" applyBorder="1" applyAlignment="1">
      <alignment horizontal="center"/>
    </xf>
    <xf numFmtId="0" fontId="2" fillId="0" borderId="29" xfId="0" applyFont="1" applyBorder="1" applyAlignment="1">
      <alignment horizontal="center"/>
    </xf>
    <xf numFmtId="1" fontId="2" fillId="0" borderId="29" xfId="0" applyNumberFormat="1" applyFont="1" applyBorder="1" applyAlignment="1">
      <alignment horizontal="center"/>
    </xf>
    <xf numFmtId="172" fontId="2" fillId="0" borderId="29" xfId="0" applyNumberFormat="1" applyFont="1" applyBorder="1" applyAlignment="1">
      <alignment horizontal="center"/>
    </xf>
    <xf numFmtId="164" fontId="2" fillId="0" borderId="29" xfId="0" applyNumberFormat="1" applyFont="1" applyBorder="1" applyAlignment="1">
      <alignment horizontal="center"/>
    </xf>
    <xf numFmtId="0" fontId="2" fillId="0" borderId="29" xfId="0" applyFont="1" applyBorder="1" applyAlignment="1">
      <alignment horizontal="left"/>
    </xf>
    <xf numFmtId="0" fontId="2" fillId="0" borderId="30" xfId="0" applyFont="1" applyBorder="1" applyAlignment="1">
      <alignment horizontal="left"/>
    </xf>
    <xf numFmtId="181" fontId="4" fillId="0" borderId="31" xfId="0" applyNumberFormat="1" applyFont="1" applyBorder="1" applyAlignment="1">
      <alignment horizontal="center" vertical="center"/>
    </xf>
    <xf numFmtId="43" fontId="4" fillId="0" borderId="1" xfId="0" applyNumberFormat="1" applyFont="1" applyBorder="1" applyAlignment="1">
      <alignment horizontal="center" vertical="center"/>
    </xf>
    <xf numFmtId="16" fontId="4" fillId="0" borderId="1" xfId="0" quotePrefix="1" applyNumberFormat="1" applyFont="1" applyBorder="1" applyAlignment="1">
      <alignment horizontal="center" vertical="center"/>
    </xf>
    <xf numFmtId="172" fontId="4" fillId="0" borderId="1" xfId="7" applyNumberFormat="1" applyFont="1" applyBorder="1" applyAlignment="1">
      <alignment horizontal="center" vertical="center"/>
    </xf>
    <xf numFmtId="164" fontId="4" fillId="0" borderId="1" xfId="7" applyNumberFormat="1" applyFont="1" applyBorder="1" applyAlignment="1">
      <alignment horizontal="center" vertical="center"/>
    </xf>
    <xf numFmtId="3" fontId="4" fillId="8" borderId="1" xfId="0" applyNumberFormat="1"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191" fontId="4" fillId="0" borderId="1" xfId="7" applyNumberFormat="1" applyFont="1" applyBorder="1" applyAlignment="1">
      <alignment horizontal="left" vertical="center"/>
    </xf>
    <xf numFmtId="0" fontId="4" fillId="8" borderId="32" xfId="0" applyFont="1" applyFill="1" applyBorder="1" applyAlignment="1">
      <alignment horizontal="left" vertical="center"/>
    </xf>
    <xf numFmtId="0" fontId="51" fillId="32" borderId="31" xfId="0" applyFont="1" applyFill="1" applyBorder="1" applyAlignment="1">
      <alignment horizontal="center" vertical="center" wrapText="1"/>
    </xf>
    <xf numFmtId="0" fontId="51" fillId="32" borderId="1" xfId="0" applyFont="1" applyFill="1" applyBorder="1" applyAlignment="1">
      <alignment horizontal="center" vertical="center" wrapText="1"/>
    </xf>
    <xf numFmtId="0" fontId="51" fillId="32" borderId="1" xfId="0" applyFont="1" applyFill="1" applyBorder="1" applyAlignment="1">
      <alignment horizontal="left" vertical="center" wrapText="1"/>
    </xf>
    <xf numFmtId="0" fontId="51" fillId="32" borderId="32" xfId="0" applyFont="1" applyFill="1" applyBorder="1" applyAlignment="1">
      <alignment horizontal="left" vertical="center" wrapText="1"/>
    </xf>
    <xf numFmtId="167" fontId="4" fillId="0" borderId="1" xfId="0" applyNumberFormat="1" applyFont="1" applyBorder="1" applyAlignment="1">
      <alignment horizontal="center" vertical="center"/>
    </xf>
    <xf numFmtId="1" fontId="3" fillId="0" borderId="0" xfId="0" applyNumberFormat="1" applyFont="1" applyAlignment="1">
      <alignment horizontal="left"/>
    </xf>
    <xf numFmtId="2" fontId="25" fillId="6" borderId="1" xfId="0" applyNumberFormat="1" applyFont="1" applyFill="1" applyBorder="1" applyAlignment="1">
      <alignment horizontal="center" vertical="center"/>
    </xf>
    <xf numFmtId="2" fontId="4" fillId="0" borderId="1" xfId="0" applyNumberFormat="1" applyFont="1" applyBorder="1" applyAlignment="1">
      <alignment horizontal="center" vertical="center"/>
    </xf>
    <xf numFmtId="167" fontId="25" fillId="6" borderId="1" xfId="0" applyNumberFormat="1" applyFont="1" applyFill="1" applyBorder="1" applyAlignment="1">
      <alignment horizontal="center" vertical="center"/>
    </xf>
    <xf numFmtId="0" fontId="3" fillId="0" borderId="1" xfId="0" applyFont="1" applyBorder="1" applyAlignment="1">
      <alignment horizontal="left" vertical="center"/>
    </xf>
    <xf numFmtId="183" fontId="8" fillId="31" borderId="1" xfId="0" applyNumberFormat="1" applyFont="1" applyFill="1" applyBorder="1" applyAlignment="1">
      <alignment horizontal="center" vertical="center"/>
    </xf>
    <xf numFmtId="3" fontId="8" fillId="31" borderId="1" xfId="0" applyNumberFormat="1" applyFont="1" applyFill="1" applyBorder="1" applyAlignment="1">
      <alignment horizontal="center" vertical="center"/>
    </xf>
    <xf numFmtId="190" fontId="4" fillId="0" borderId="0" xfId="0" applyNumberFormat="1" applyFont="1"/>
    <xf numFmtId="9" fontId="10" fillId="25" borderId="1" xfId="2" applyFont="1" applyFill="1" applyBorder="1" applyAlignment="1">
      <alignment horizontal="center" vertical="center"/>
    </xf>
    <xf numFmtId="0" fontId="25" fillId="0" borderId="0" xfId="0" applyFont="1" applyAlignment="1">
      <alignment horizontal="center" vertical="center"/>
    </xf>
    <xf numFmtId="3" fontId="49" fillId="31" borderId="1" xfId="0" applyNumberFormat="1" applyFont="1" applyFill="1" applyBorder="1" applyAlignment="1">
      <alignment horizontal="center" vertical="center"/>
    </xf>
    <xf numFmtId="183" fontId="49" fillId="31" borderId="1" xfId="0" applyNumberFormat="1" applyFont="1" applyFill="1" applyBorder="1" applyAlignment="1">
      <alignment horizontal="center" vertical="center"/>
    </xf>
    <xf numFmtId="0" fontId="10" fillId="0" borderId="19" xfId="0" applyFont="1" applyBorder="1" applyAlignment="1">
      <alignment horizontal="center" vertical="center"/>
    </xf>
    <xf numFmtId="0" fontId="7" fillId="0" borderId="4" xfId="0" applyFont="1" applyBorder="1" applyAlignment="1">
      <alignment horizontal="center" vertical="center"/>
    </xf>
    <xf numFmtId="0" fontId="7" fillId="33" borderId="1" xfId="0" applyFont="1" applyFill="1" applyBorder="1" applyAlignment="1">
      <alignment horizontal="center" vertical="center"/>
    </xf>
    <xf numFmtId="0" fontId="7" fillId="33" borderId="19" xfId="0" applyFont="1" applyFill="1" applyBorder="1" applyAlignment="1">
      <alignment horizontal="center" vertical="center"/>
    </xf>
    <xf numFmtId="0" fontId="11" fillId="33" borderId="1" xfId="0" applyFont="1" applyFill="1" applyBorder="1" applyAlignment="1">
      <alignment horizontal="center" vertical="center"/>
    </xf>
    <xf numFmtId="0" fontId="7" fillId="33" borderId="4" xfId="0" applyFont="1" applyFill="1" applyBorder="1" applyAlignment="1">
      <alignment horizontal="center" vertical="center"/>
    </xf>
    <xf numFmtId="49" fontId="9" fillId="12" borderId="1" xfId="6" applyNumberFormat="1" applyFont="1" applyFill="1" applyBorder="1" applyAlignment="1">
      <alignment horizontal="left" vertical="center"/>
    </xf>
    <xf numFmtId="49" fontId="9" fillId="12" borderId="1" xfId="6" applyNumberFormat="1" applyFont="1" applyFill="1" applyBorder="1" applyAlignment="1">
      <alignment horizontal="center" vertical="center"/>
    </xf>
    <xf numFmtId="49" fontId="9" fillId="12" borderId="1" xfId="6" applyNumberFormat="1" applyFont="1" applyFill="1" applyBorder="1" applyAlignment="1">
      <alignment horizontal="left" vertical="top"/>
    </xf>
    <xf numFmtId="172" fontId="9" fillId="12" borderId="1" xfId="6" applyNumberFormat="1" applyFont="1" applyFill="1" applyBorder="1" applyAlignment="1">
      <alignment horizontal="center" vertical="center"/>
    </xf>
    <xf numFmtId="10" fontId="9" fillId="12" borderId="1" xfId="6" applyNumberFormat="1" applyFont="1" applyFill="1" applyBorder="1" applyAlignment="1">
      <alignment horizontal="center" vertical="center"/>
    </xf>
    <xf numFmtId="3" fontId="9" fillId="12" borderId="1" xfId="6" applyNumberFormat="1" applyFont="1" applyFill="1" applyBorder="1" applyAlignment="1">
      <alignment horizontal="center" vertical="center"/>
    </xf>
    <xf numFmtId="173" fontId="9" fillId="12" borderId="1" xfId="6" applyNumberFormat="1" applyFont="1" applyFill="1" applyBorder="1" applyAlignment="1">
      <alignment horizontal="center" vertical="center"/>
    </xf>
    <xf numFmtId="176" fontId="9" fillId="12" borderId="1" xfId="6" applyNumberFormat="1" applyFont="1" applyFill="1" applyBorder="1" applyAlignment="1">
      <alignment vertical="center"/>
    </xf>
    <xf numFmtId="183" fontId="9" fillId="12" borderId="1" xfId="1" applyNumberFormat="1" applyFont="1" applyFill="1" applyBorder="1" applyAlignment="1">
      <alignment vertical="center"/>
    </xf>
    <xf numFmtId="176" fontId="9" fillId="12" borderId="1" xfId="6" applyNumberFormat="1" applyFont="1" applyFill="1" applyBorder="1" applyAlignment="1">
      <alignment horizontal="center" vertical="center"/>
    </xf>
    <xf numFmtId="9" fontId="9" fillId="12" borderId="1" xfId="2" applyFont="1" applyFill="1" applyBorder="1" applyAlignment="1">
      <alignment horizontal="center" vertical="center"/>
    </xf>
    <xf numFmtId="3" fontId="9" fillId="12" borderId="5" xfId="6" applyNumberFormat="1" applyFont="1" applyFill="1" applyBorder="1" applyAlignment="1">
      <alignment horizontal="center" vertical="center"/>
    </xf>
    <xf numFmtId="0" fontId="11" fillId="8" borderId="1" xfId="4" applyFont="1" applyFill="1" applyBorder="1" applyAlignment="1">
      <alignment vertical="center"/>
    </xf>
    <xf numFmtId="3" fontId="11" fillId="8" borderId="1" xfId="1" applyNumberFormat="1" applyFont="1" applyFill="1" applyBorder="1" applyAlignment="1">
      <alignment vertical="center"/>
    </xf>
    <xf numFmtId="176" fontId="11" fillId="8" borderId="1" xfId="4" applyNumberFormat="1" applyFont="1" applyFill="1" applyBorder="1" applyAlignment="1">
      <alignment vertical="center"/>
    </xf>
    <xf numFmtId="178" fontId="10" fillId="8" borderId="1" xfId="0" applyNumberFormat="1" applyFont="1" applyFill="1" applyBorder="1"/>
    <xf numFmtId="0" fontId="11" fillId="0" borderId="4" xfId="4" applyFont="1" applyFill="1" applyBorder="1" applyAlignment="1">
      <alignment vertical="center"/>
    </xf>
    <xf numFmtId="49" fontId="11" fillId="0" borderId="4" xfId="4" applyNumberFormat="1" applyFont="1" applyFill="1" applyBorder="1" applyAlignment="1">
      <alignment horizontal="center" vertical="center"/>
    </xf>
    <xf numFmtId="3" fontId="11" fillId="0" borderId="4" xfId="4" applyNumberFormat="1" applyFont="1" applyFill="1" applyBorder="1" applyAlignment="1">
      <alignment horizontal="center" vertical="center"/>
    </xf>
    <xf numFmtId="176" fontId="11" fillId="0" borderId="4" xfId="4" applyNumberFormat="1" applyFont="1" applyFill="1" applyBorder="1" applyAlignment="1">
      <alignment vertical="center"/>
    </xf>
    <xf numFmtId="176" fontId="10" fillId="0" borderId="4" xfId="0" applyNumberFormat="1" applyFont="1" applyBorder="1" applyAlignment="1">
      <alignment horizontal="center"/>
    </xf>
    <xf numFmtId="9" fontId="11" fillId="0" borderId="4" xfId="4" applyNumberFormat="1" applyFont="1" applyFill="1" applyBorder="1" applyAlignment="1">
      <alignment horizontal="center" vertical="center"/>
    </xf>
    <xf numFmtId="3" fontId="11" fillId="0" borderId="4" xfId="1" applyNumberFormat="1" applyFont="1" applyFill="1" applyBorder="1" applyAlignment="1">
      <alignment horizontal="center" vertical="center"/>
    </xf>
    <xf numFmtId="0" fontId="11" fillId="8" borderId="4" xfId="4" applyFont="1" applyFill="1" applyBorder="1" applyAlignment="1">
      <alignment horizontal="center" vertical="center"/>
    </xf>
    <xf numFmtId="0" fontId="11" fillId="0" borderId="4" xfId="4" applyFont="1" applyFill="1" applyBorder="1" applyAlignment="1">
      <alignment horizontal="center" vertical="center"/>
    </xf>
    <xf numFmtId="49" fontId="7" fillId="0" borderId="21" xfId="0" applyNumberFormat="1" applyFont="1" applyBorder="1" applyAlignment="1">
      <alignment horizontal="center" vertical="center"/>
    </xf>
    <xf numFmtId="49" fontId="11" fillId="0" borderId="4" xfId="5" applyNumberFormat="1" applyFont="1" applyFill="1" applyBorder="1" applyAlignment="1">
      <alignment horizontal="center" vertical="center"/>
    </xf>
    <xf numFmtId="49" fontId="11" fillId="0" borderId="4" xfId="1" applyNumberFormat="1" applyFont="1" applyFill="1" applyBorder="1" applyAlignment="1">
      <alignment horizontal="center" vertical="center"/>
    </xf>
    <xf numFmtId="2" fontId="11" fillId="8" borderId="1" xfId="2" applyNumberFormat="1" applyFont="1" applyFill="1" applyBorder="1" applyAlignment="1">
      <alignment horizontal="center" vertical="center"/>
    </xf>
    <xf numFmtId="2" fontId="9" fillId="12" borderId="1" xfId="6" applyNumberFormat="1" applyFont="1" applyFill="1" applyBorder="1" applyAlignment="1">
      <alignment horizontal="left" vertical="center"/>
    </xf>
    <xf numFmtId="10" fontId="11" fillId="8" borderId="1" xfId="4" applyNumberFormat="1" applyFont="1" applyFill="1" applyBorder="1" applyAlignment="1">
      <alignment horizontal="left" vertical="top"/>
    </xf>
    <xf numFmtId="10" fontId="11" fillId="0" borderId="4" xfId="4" applyNumberFormat="1" applyFont="1" applyFill="1" applyBorder="1" applyAlignment="1">
      <alignment horizontal="left" vertical="top"/>
    </xf>
    <xf numFmtId="165" fontId="10" fillId="0" borderId="1" xfId="1" applyNumberFormat="1" applyFont="1" applyFill="1" applyBorder="1" applyAlignment="1">
      <alignment horizontal="center" vertical="center"/>
    </xf>
    <xf numFmtId="0" fontId="23" fillId="0" borderId="6" xfId="0" applyFont="1" applyBorder="1"/>
    <xf numFmtId="49" fontId="7" fillId="0" borderId="1" xfId="0" applyNumberFormat="1" applyFont="1" applyBorder="1" applyAlignment="1">
      <alignment horizontal="center" vertical="center"/>
    </xf>
    <xf numFmtId="0" fontId="11" fillId="0" borderId="0" xfId="0" applyFont="1" applyAlignment="1">
      <alignment horizontal="center"/>
    </xf>
    <xf numFmtId="0" fontId="7" fillId="0" borderId="21" xfId="0" applyFont="1" applyBorder="1" applyAlignment="1">
      <alignment horizontal="center" vertical="center"/>
    </xf>
    <xf numFmtId="0" fontId="8" fillId="31" borderId="1" xfId="0" applyFont="1" applyFill="1" applyBorder="1" applyAlignment="1">
      <alignment horizontal="center" vertical="center"/>
    </xf>
    <xf numFmtId="0" fontId="10" fillId="0" borderId="0" xfId="0" applyFont="1" applyAlignment="1">
      <alignment horizontal="center" vertical="top"/>
    </xf>
    <xf numFmtId="0" fontId="33" fillId="8" borderId="0" xfId="4" applyFont="1" applyFill="1" applyBorder="1" applyAlignment="1">
      <alignment horizontal="center" vertical="top"/>
    </xf>
    <xf numFmtId="0" fontId="36" fillId="0" borderId="0" xfId="0" applyFont="1" applyAlignment="1">
      <alignment horizontal="center" vertical="top"/>
    </xf>
    <xf numFmtId="178" fontId="11" fillId="2" borderId="5" xfId="4" applyNumberFormat="1" applyFont="1" applyFill="1" applyBorder="1" applyAlignment="1">
      <alignment horizontal="center" vertical="center"/>
    </xf>
    <xf numFmtId="192" fontId="10" fillId="0" borderId="1" xfId="1" applyNumberFormat="1" applyFont="1" applyFill="1" applyBorder="1" applyAlignment="1">
      <alignment horizontal="center"/>
    </xf>
    <xf numFmtId="1" fontId="11" fillId="8" borderId="1" xfId="0" applyNumberFormat="1" applyFont="1" applyFill="1" applyBorder="1" applyAlignment="1">
      <alignment horizontal="center"/>
    </xf>
    <xf numFmtId="1" fontId="11" fillId="30" borderId="1" xfId="0" applyNumberFormat="1" applyFont="1" applyFill="1" applyBorder="1" applyAlignment="1">
      <alignment horizontal="center"/>
    </xf>
    <xf numFmtId="181" fontId="10" fillId="30" borderId="1" xfId="2" applyNumberFormat="1" applyFont="1" applyFill="1" applyBorder="1" applyAlignment="1">
      <alignment horizontal="center"/>
    </xf>
    <xf numFmtId="176" fontId="10" fillId="0" borderId="6" xfId="0" applyNumberFormat="1" applyFont="1" applyBorder="1" applyAlignment="1">
      <alignment horizontal="center"/>
    </xf>
    <xf numFmtId="43" fontId="8" fillId="6" borderId="2" xfId="1" applyFont="1" applyFill="1" applyBorder="1" applyAlignment="1">
      <alignment horizontal="center" vertical="center"/>
    </xf>
    <xf numFmtId="43" fontId="8" fillId="6" borderId="0" xfId="1" applyFont="1" applyFill="1" applyBorder="1" applyAlignment="1">
      <alignment horizontal="center" vertical="center"/>
    </xf>
    <xf numFmtId="176" fontId="10" fillId="8" borderId="6" xfId="0" applyNumberFormat="1" applyFont="1" applyFill="1" applyBorder="1" applyAlignment="1">
      <alignment horizontal="center" vertical="center"/>
    </xf>
    <xf numFmtId="176" fontId="10" fillId="0" borderId="6" xfId="0" applyNumberFormat="1" applyFont="1" applyBorder="1" applyAlignment="1">
      <alignment horizontal="center" vertical="center"/>
    </xf>
    <xf numFmtId="3" fontId="10" fillId="0" borderId="1" xfId="15" applyNumberFormat="1" applyFont="1" applyFill="1" applyBorder="1" applyAlignment="1">
      <alignment horizontal="center" vertical="center"/>
    </xf>
    <xf numFmtId="1" fontId="10" fillId="0" borderId="1" xfId="1" applyNumberFormat="1" applyFont="1" applyFill="1" applyBorder="1" applyAlignment="1">
      <alignment horizontal="center" vertical="center"/>
    </xf>
    <xf numFmtId="0" fontId="11" fillId="2" borderId="1" xfId="0" applyFont="1" applyFill="1" applyBorder="1" applyAlignment="1">
      <alignment horizontal="center" vertical="center"/>
    </xf>
    <xf numFmtId="169" fontId="3" fillId="0" borderId="1" xfId="0" applyNumberFormat="1" applyFont="1" applyBorder="1" applyAlignment="1">
      <alignment horizontal="center" vertical="center"/>
    </xf>
    <xf numFmtId="171" fontId="3" fillId="0" borderId="1" xfId="0" applyNumberFormat="1" applyFont="1" applyBorder="1" applyAlignment="1">
      <alignment horizontal="center" vertical="center"/>
    </xf>
    <xf numFmtId="1" fontId="29" fillId="8" borderId="0" xfId="2" applyNumberFormat="1" applyFont="1" applyFill="1" applyAlignment="1">
      <alignment horizontal="center"/>
    </xf>
    <xf numFmtId="1" fontId="10" fillId="0" borderId="0" xfId="0" applyNumberFormat="1" applyFont="1" applyAlignment="1">
      <alignment horizontal="center"/>
    </xf>
    <xf numFmtId="170" fontId="3" fillId="0" borderId="1" xfId="0" applyNumberFormat="1" applyFont="1" applyBorder="1" applyAlignment="1">
      <alignment horizontal="center" vertical="center"/>
    </xf>
    <xf numFmtId="0" fontId="11" fillId="8" borderId="1" xfId="0" applyFont="1" applyFill="1" applyBorder="1"/>
    <xf numFmtId="1" fontId="11" fillId="8" borderId="1" xfId="0" applyNumberFormat="1" applyFont="1" applyFill="1" applyBorder="1"/>
    <xf numFmtId="0" fontId="11" fillId="0" borderId="1" xfId="0" applyFont="1" applyBorder="1"/>
    <xf numFmtId="165" fontId="11" fillId="8" borderId="1" xfId="1" applyNumberFormat="1" applyFont="1" applyFill="1" applyBorder="1"/>
    <xf numFmtId="165" fontId="11" fillId="8" borderId="1" xfId="0" applyNumberFormat="1" applyFont="1" applyFill="1" applyBorder="1"/>
    <xf numFmtId="0" fontId="11" fillId="0" borderId="0" xfId="0" applyFont="1"/>
    <xf numFmtId="0" fontId="10" fillId="8" borderId="0" xfId="0" applyFont="1" applyFill="1"/>
    <xf numFmtId="167" fontId="11" fillId="0" borderId="0" xfId="0" applyNumberFormat="1" applyFont="1"/>
    <xf numFmtId="1" fontId="11" fillId="8" borderId="4" xfId="0" applyNumberFormat="1" applyFont="1" applyFill="1" applyBorder="1"/>
    <xf numFmtId="0" fontId="29" fillId="2" borderId="8" xfId="0" applyFont="1" applyFill="1" applyBorder="1" applyAlignment="1">
      <alignment horizontal="center"/>
    </xf>
    <xf numFmtId="183" fontId="34" fillId="0" borderId="0" xfId="0" applyNumberFormat="1" applyFont="1" applyAlignment="1">
      <alignment horizontal="center" vertical="center"/>
    </xf>
    <xf numFmtId="0" fontId="11" fillId="4" borderId="1" xfId="0" applyFont="1" applyFill="1" applyBorder="1" applyAlignment="1">
      <alignment horizontal="center" vertical="center"/>
    </xf>
    <xf numFmtId="0" fontId="11" fillId="4" borderId="1" xfId="4" applyFont="1" applyFill="1" applyBorder="1" applyAlignment="1">
      <alignment horizontal="center" vertical="center"/>
    </xf>
    <xf numFmtId="0" fontId="7" fillId="34" borderId="1" xfId="0" applyFont="1" applyFill="1" applyBorder="1" applyAlignment="1">
      <alignment horizontal="center" vertical="center"/>
    </xf>
    <xf numFmtId="49" fontId="11" fillId="4" borderId="1" xfId="4" applyNumberFormat="1" applyFont="1" applyFill="1" applyBorder="1" applyAlignment="1">
      <alignment horizontal="center" vertical="center"/>
    </xf>
    <xf numFmtId="49" fontId="11" fillId="4" borderId="1" xfId="5" applyNumberFormat="1" applyFont="1" applyFill="1" applyBorder="1" applyAlignment="1">
      <alignment horizontal="center" vertical="center"/>
    </xf>
    <xf numFmtId="0" fontId="7" fillId="4" borderId="1" xfId="0" applyFont="1" applyFill="1" applyBorder="1" applyAlignment="1">
      <alignment horizontal="center" vertical="center"/>
    </xf>
    <xf numFmtId="49" fontId="11"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10" fontId="11" fillId="4" borderId="1" xfId="4" applyNumberFormat="1" applyFont="1" applyFill="1" applyBorder="1" applyAlignment="1">
      <alignment horizontal="center" vertical="center"/>
    </xf>
    <xf numFmtId="3" fontId="11" fillId="4" borderId="1" xfId="4" applyNumberFormat="1" applyFont="1" applyFill="1" applyBorder="1" applyAlignment="1">
      <alignment horizontal="center" vertical="center"/>
    </xf>
    <xf numFmtId="9" fontId="11" fillId="4" borderId="1" xfId="4" applyNumberFormat="1" applyFont="1" applyFill="1" applyBorder="1" applyAlignment="1">
      <alignment horizontal="center" vertical="center"/>
    </xf>
    <xf numFmtId="176" fontId="11" fillId="4" borderId="1" xfId="4" applyNumberFormat="1" applyFont="1" applyFill="1" applyBorder="1" applyAlignment="1">
      <alignment horizontal="center" vertical="center"/>
    </xf>
    <xf numFmtId="176" fontId="11" fillId="4" borderId="5" xfId="4" applyNumberFormat="1" applyFont="1" applyFill="1" applyBorder="1" applyAlignment="1">
      <alignment horizontal="center" vertical="center"/>
    </xf>
    <xf numFmtId="165" fontId="10" fillId="4" borderId="1" xfId="1" applyNumberFormat="1" applyFont="1" applyFill="1" applyBorder="1" applyAlignment="1">
      <alignment horizontal="center"/>
    </xf>
    <xf numFmtId="183" fontId="11" fillId="4" borderId="1" xfId="1" applyNumberFormat="1" applyFont="1" applyFill="1" applyBorder="1" applyAlignment="1">
      <alignment horizontal="center" vertical="center"/>
    </xf>
    <xf numFmtId="9" fontId="11" fillId="4" borderId="1" xfId="2" applyFont="1" applyFill="1" applyBorder="1" applyAlignment="1">
      <alignment horizontal="center" vertical="center"/>
    </xf>
    <xf numFmtId="172" fontId="11" fillId="4" borderId="1" xfId="4" applyNumberFormat="1" applyFont="1" applyFill="1" applyBorder="1" applyAlignment="1">
      <alignment horizontal="center" vertical="center"/>
    </xf>
    <xf numFmtId="175" fontId="11" fillId="4" borderId="1" xfId="4" applyNumberFormat="1" applyFont="1" applyFill="1" applyBorder="1" applyAlignment="1">
      <alignment horizontal="center" vertical="center"/>
    </xf>
    <xf numFmtId="177" fontId="11" fillId="4" borderId="1" xfId="4" applyNumberFormat="1" applyFont="1" applyFill="1" applyBorder="1" applyAlignment="1">
      <alignment horizontal="center" vertical="center"/>
    </xf>
    <xf numFmtId="1" fontId="11" fillId="4" borderId="1" xfId="4" applyNumberFormat="1" applyFont="1" applyFill="1" applyBorder="1" applyAlignment="1">
      <alignment horizontal="center" vertical="center"/>
    </xf>
    <xf numFmtId="3" fontId="11" fillId="4" borderId="1" xfId="1" applyNumberFormat="1" applyFont="1" applyFill="1" applyBorder="1" applyAlignment="1">
      <alignment horizontal="right" vertical="center"/>
    </xf>
    <xf numFmtId="0" fontId="10" fillId="2" borderId="19" xfId="0" applyFont="1" applyFill="1" applyBorder="1" applyAlignment="1">
      <alignment horizontal="center" vertical="center"/>
    </xf>
    <xf numFmtId="0" fontId="7" fillId="2" borderId="1" xfId="0" applyFont="1" applyFill="1" applyBorder="1" applyAlignment="1">
      <alignment horizontal="center" vertical="center"/>
    </xf>
    <xf numFmtId="9" fontId="10" fillId="2" borderId="1" xfId="2" applyFont="1" applyFill="1" applyBorder="1" applyAlignment="1">
      <alignment horizontal="center" vertical="center"/>
    </xf>
    <xf numFmtId="181" fontId="10" fillId="0" borderId="0" xfId="0" applyNumberFormat="1" applyFont="1" applyAlignment="1">
      <alignment horizontal="center"/>
    </xf>
    <xf numFmtId="10" fontId="10" fillId="0" borderId="0" xfId="0" applyNumberFormat="1" applyFont="1" applyAlignment="1">
      <alignment horizontal="center"/>
    </xf>
    <xf numFmtId="10" fontId="10" fillId="8" borderId="0" xfId="0" applyNumberFormat="1" applyFont="1" applyFill="1" applyAlignment="1">
      <alignment horizontal="center"/>
    </xf>
    <xf numFmtId="9" fontId="0" fillId="8" borderId="0" xfId="0" applyNumberFormat="1" applyFill="1"/>
    <xf numFmtId="9" fontId="10" fillId="0" borderId="0" xfId="0" applyNumberFormat="1" applyFont="1" applyAlignment="1">
      <alignment horizontal="center"/>
    </xf>
    <xf numFmtId="9" fontId="10" fillId="8" borderId="0" xfId="0" applyNumberFormat="1" applyFont="1" applyFill="1" applyAlignment="1">
      <alignment horizontal="center"/>
    </xf>
    <xf numFmtId="9" fontId="0" fillId="8" borderId="0" xfId="2" applyFont="1" applyFill="1"/>
    <xf numFmtId="181" fontId="0" fillId="8" borderId="0" xfId="0" applyNumberFormat="1" applyFill="1"/>
    <xf numFmtId="3" fontId="0" fillId="8" borderId="0" xfId="0" applyNumberFormat="1" applyFill="1"/>
    <xf numFmtId="181" fontId="10" fillId="8" borderId="0" xfId="2" applyNumberFormat="1" applyFont="1" applyFill="1" applyBorder="1" applyAlignment="1">
      <alignment horizontal="center"/>
    </xf>
    <xf numFmtId="165" fontId="10" fillId="0" borderId="0" xfId="1" applyNumberFormat="1" applyFont="1" applyFill="1" applyBorder="1" applyAlignment="1">
      <alignment horizontal="center"/>
    </xf>
    <xf numFmtId="0" fontId="23" fillId="8" borderId="2" xfId="0" applyFont="1" applyFill="1" applyBorder="1" applyAlignment="1">
      <alignment horizontal="center" vertical="center"/>
    </xf>
    <xf numFmtId="0" fontId="11" fillId="8" borderId="0" xfId="0" applyFont="1" applyFill="1"/>
    <xf numFmtId="0" fontId="11" fillId="8" borderId="0" xfId="0" applyFont="1" applyFill="1" applyAlignment="1">
      <alignment horizontal="center"/>
    </xf>
    <xf numFmtId="179" fontId="22" fillId="3" borderId="0" xfId="3" applyNumberFormat="1" applyFont="1" applyFill="1" applyAlignment="1">
      <alignment horizontal="center" vertical="center"/>
    </xf>
    <xf numFmtId="176" fontId="0" fillId="0" borderId="0" xfId="2" applyNumberFormat="1" applyFont="1"/>
    <xf numFmtId="43" fontId="2" fillId="0" borderId="1" xfId="1" applyFont="1" applyBorder="1"/>
    <xf numFmtId="43" fontId="2" fillId="0" borderId="1" xfId="1" applyFont="1" applyBorder="1" applyAlignment="1">
      <alignment wrapText="1"/>
    </xf>
    <xf numFmtId="1" fontId="10" fillId="2" borderId="0" xfId="0" applyNumberFormat="1" applyFont="1" applyFill="1" applyAlignment="1">
      <alignment horizontal="center" vertical="center"/>
    </xf>
    <xf numFmtId="175" fontId="10" fillId="2" borderId="0" xfId="0" applyNumberFormat="1" applyFont="1" applyFill="1" applyAlignment="1">
      <alignment horizontal="center" vertical="center"/>
    </xf>
    <xf numFmtId="165" fontId="10" fillId="2" borderId="0" xfId="1" applyNumberFormat="1" applyFont="1" applyFill="1" applyAlignment="1">
      <alignment horizontal="center" vertical="center"/>
    </xf>
    <xf numFmtId="0" fontId="10" fillId="2" borderId="0" xfId="0" applyFont="1" applyFill="1" applyAlignment="1">
      <alignment horizontal="center" vertical="center"/>
    </xf>
    <xf numFmtId="2" fontId="0" fillId="0" borderId="0" xfId="2" applyNumberFormat="1" applyFont="1"/>
    <xf numFmtId="165" fontId="12" fillId="0" borderId="1" xfId="1" applyNumberFormat="1" applyFont="1" applyBorder="1" applyAlignment="1">
      <alignment horizontal="right" vertical="center"/>
    </xf>
    <xf numFmtId="193" fontId="4" fillId="0" borderId="0" xfId="0" applyNumberFormat="1" applyFont="1"/>
    <xf numFmtId="14" fontId="4" fillId="0" borderId="0" xfId="0" applyNumberFormat="1" applyFont="1"/>
    <xf numFmtId="174" fontId="10" fillId="8" borderId="1" xfId="0" applyNumberFormat="1" applyFont="1" applyFill="1" applyBorder="1" applyAlignment="1">
      <alignment horizontal="center" vertical="center"/>
    </xf>
    <xf numFmtId="9" fontId="10" fillId="8" borderId="0" xfId="2" applyFont="1" applyFill="1" applyAlignment="1">
      <alignment horizontal="center" vertical="center"/>
    </xf>
    <xf numFmtId="3" fontId="10" fillId="8" borderId="0" xfId="0" applyNumberFormat="1" applyFont="1" applyFill="1" applyAlignment="1">
      <alignment horizontal="center" vertical="center"/>
    </xf>
    <xf numFmtId="37" fontId="10" fillId="0" borderId="0" xfId="0" applyNumberFormat="1" applyFont="1" applyAlignment="1">
      <alignment horizontal="center" vertical="center"/>
    </xf>
    <xf numFmtId="0" fontId="6" fillId="6" borderId="8" xfId="0" applyFont="1" applyFill="1" applyBorder="1" applyAlignment="1">
      <alignment horizontal="center" vertical="center"/>
    </xf>
    <xf numFmtId="9" fontId="12" fillId="0" borderId="1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3"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xf>
    <xf numFmtId="0" fontId="25" fillId="32" borderId="35" xfId="0" applyFont="1" applyFill="1" applyBorder="1" applyAlignment="1">
      <alignment horizontal="center" vertical="center"/>
    </xf>
    <xf numFmtId="0" fontId="25" fillId="32" borderId="34" xfId="0" applyFont="1" applyFill="1" applyBorder="1" applyAlignment="1">
      <alignment horizontal="center" vertical="center"/>
    </xf>
    <xf numFmtId="0" fontId="25" fillId="32" borderId="33" xfId="0" applyFont="1" applyFill="1" applyBorder="1" applyAlignment="1">
      <alignment horizontal="center" vertical="center"/>
    </xf>
    <xf numFmtId="0" fontId="25" fillId="22" borderId="8" xfId="0" applyFont="1" applyFill="1" applyBorder="1" applyAlignment="1">
      <alignment horizontal="center"/>
    </xf>
    <xf numFmtId="0" fontId="25" fillId="23" borderId="8" xfId="0" applyFont="1" applyFill="1" applyBorder="1" applyAlignment="1">
      <alignment horizontal="center"/>
    </xf>
    <xf numFmtId="0" fontId="29" fillId="2" borderId="8" xfId="0" applyFont="1" applyFill="1" applyBorder="1" applyAlignment="1">
      <alignment horizontal="center"/>
    </xf>
    <xf numFmtId="0" fontId="25" fillId="6" borderId="4" xfId="0" applyFont="1" applyFill="1" applyBorder="1" applyAlignment="1">
      <alignment horizontal="center" vertical="center"/>
    </xf>
    <xf numFmtId="0" fontId="25" fillId="6" borderId="3" xfId="0" applyFont="1" applyFill="1" applyBorder="1" applyAlignment="1">
      <alignment horizontal="center" vertical="center"/>
    </xf>
    <xf numFmtId="0" fontId="25" fillId="6" borderId="1" xfId="10" applyFont="1" applyFill="1" applyBorder="1" applyAlignment="1">
      <alignment horizontal="center" vertical="center"/>
    </xf>
    <xf numFmtId="0" fontId="0" fillId="0" borderId="1" xfId="0" applyBorder="1" applyAlignment="1">
      <alignment vertical="center"/>
    </xf>
  </cellXfs>
  <cellStyles count="16">
    <cellStyle name="Bad" xfId="4" builtinId="27"/>
    <cellStyle name="Comma" xfId="1" builtinId="3"/>
    <cellStyle name="Comma 10" xfId="6" xr:uid="{67F75DE6-7030-459C-9729-1CED4599F42F}"/>
    <cellStyle name="Comma 2" xfId="5" xr:uid="{79D377F8-3A78-4952-85FC-491359D1A502}"/>
    <cellStyle name="Comma 2 10" xfId="7" xr:uid="{74440386-F412-467A-B4B3-DBFC0A84489D}"/>
    <cellStyle name="Comma 2 2" xfId="15" xr:uid="{4033AD3B-07CA-478B-B2D6-C40CB60F22C9}"/>
    <cellStyle name="Comma 3" xfId="9" xr:uid="{8480C254-A62E-474D-B434-3817A5203E6E}"/>
    <cellStyle name="Currency" xfId="14" builtinId="4"/>
    <cellStyle name="Normal" xfId="0" builtinId="0"/>
    <cellStyle name="Normal 2" xfId="10" xr:uid="{AAA79678-5B1A-4389-86D1-E9627DD8AC82}"/>
    <cellStyle name="Normal 3" xfId="3" xr:uid="{BDE98C2A-E678-4F0E-B9C6-EF2117B8A686}"/>
    <cellStyle name="Normal 3 2" xfId="11" xr:uid="{8B6A72F5-3E23-4DA7-B5E1-3F2C17158C05}"/>
    <cellStyle name="Normal 4" xfId="8" xr:uid="{6E9B5C26-072E-49F4-BE35-596277AD1EC7}"/>
    <cellStyle name="Normal 5" xfId="12" xr:uid="{439C6F35-D18E-4B5E-98E3-ABA7E9435EE0}"/>
    <cellStyle name="Normal 6" xfId="13" xr:uid="{8C8FE689-AD9F-4F3C-B5D4-D8D790B9A232}"/>
    <cellStyle name="Percent" xfId="2"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rpublic-my.sharepoint.com/personal/rahul_naik_interactiveavenues_com/Documents/IA%20-%20Campaigns/Amazon/Rahul/Prime/2023/Prime%20Day%20-%202023/Impact/Impact%20Selection.xlsx" TargetMode="External"/><Relationship Id="rId1" Type="http://schemas.openxmlformats.org/officeDocument/2006/relationships/externalLinkPath" Target="/personal/rahul_naik_interactiveavenues_com/Documents/IA%20-%20Campaigns/Amazon/Rahul/Prime/2023/Prime%20Day%20-%202023/Impact/Impact%20Se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ffinity Score"/>
      <sheetName val="PD'22"/>
      <sheetName val="PD Specials'22"/>
      <sheetName val="Summary"/>
      <sheetName val="PD'23"/>
      <sheetName val="Sheet1"/>
      <sheetName val="Impact Selection framework"/>
      <sheetName val="PD 22 VS 23"/>
      <sheetName val="Sheet2"/>
      <sheetName val="Sheet3"/>
      <sheetName val="Past campaign report"/>
      <sheetName val="PD 22 REPORT"/>
      <sheetName val="Specials 22 report"/>
    </sheetNames>
    <sheetDataSet>
      <sheetData sheetId="0"/>
      <sheetData sheetId="1"/>
      <sheetData sheetId="2"/>
      <sheetData sheetId="3"/>
      <sheetData sheetId="4"/>
      <sheetData sheetId="5"/>
      <sheetData sheetId="6"/>
      <sheetData sheetId="7"/>
      <sheetData sheetId="8"/>
      <sheetData sheetId="9"/>
      <sheetData sheetId="10"/>
      <sheetData sheetId="11">
        <row r="12">
          <cell r="D12">
            <v>2500000</v>
          </cell>
          <cell r="E12">
            <v>12500</v>
          </cell>
          <cell r="F12">
            <v>200000</v>
          </cell>
        </row>
        <row r="13">
          <cell r="D13">
            <v>10500000</v>
          </cell>
          <cell r="E13">
            <v>31500</v>
          </cell>
          <cell r="F13">
            <v>575000</v>
          </cell>
          <cell r="G13">
            <v>30071</v>
          </cell>
        </row>
        <row r="14">
          <cell r="E14">
            <v>60000</v>
          </cell>
          <cell r="F14">
            <v>1500000</v>
          </cell>
          <cell r="G14">
            <v>42949</v>
          </cell>
        </row>
        <row r="17">
          <cell r="D17">
            <v>12500000</v>
          </cell>
          <cell r="E17">
            <v>93750</v>
          </cell>
          <cell r="F17">
            <v>1875000</v>
          </cell>
          <cell r="G17">
            <v>42919</v>
          </cell>
        </row>
        <row r="19">
          <cell r="D19">
            <v>18000000</v>
          </cell>
          <cell r="E19">
            <v>54000</v>
          </cell>
          <cell r="F19">
            <v>1375000</v>
          </cell>
        </row>
        <row r="21">
          <cell r="D21">
            <v>3000000</v>
          </cell>
          <cell r="E21">
            <v>6000</v>
          </cell>
          <cell r="F21">
            <v>225000</v>
          </cell>
          <cell r="G21">
            <v>3999</v>
          </cell>
        </row>
        <row r="22">
          <cell r="D22">
            <v>4500000</v>
          </cell>
          <cell r="E22">
            <v>9000</v>
          </cell>
          <cell r="F22">
            <v>490500</v>
          </cell>
          <cell r="G22">
            <v>42425</v>
          </cell>
        </row>
      </sheetData>
      <sheetData sheetId="12">
        <row r="29">
          <cell r="D29">
            <v>8333333</v>
          </cell>
          <cell r="E29">
            <v>45833</v>
          </cell>
          <cell r="F29">
            <v>1250000</v>
          </cell>
          <cell r="G29">
            <v>29029</v>
          </cell>
        </row>
        <row r="34">
          <cell r="D34">
            <v>2500000</v>
          </cell>
          <cell r="E34">
            <v>5000</v>
          </cell>
          <cell r="F34">
            <v>200000</v>
          </cell>
          <cell r="G34">
            <v>12944</v>
          </cell>
        </row>
        <row r="36">
          <cell r="D36">
            <v>4166667</v>
          </cell>
          <cell r="E36">
            <v>22917</v>
          </cell>
          <cell r="F36">
            <v>625000</v>
          </cell>
          <cell r="G36">
            <v>13405</v>
          </cell>
        </row>
        <row r="41">
          <cell r="D41">
            <v>10500000</v>
          </cell>
          <cell r="E41">
            <v>31500</v>
          </cell>
          <cell r="F41">
            <v>575000</v>
          </cell>
          <cell r="G41">
            <v>20033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k, Rahul  (BLR-INA)" refreshedDate="45084.686283101852" createdVersion="8" refreshedVersion="8" minRefreshableVersion="3" recordCount="88" xr:uid="{7DEB53C5-63CB-4828-A4E9-0C58905C20B1}">
  <cacheSource type="worksheet">
    <worksheetSource ref="A1:AE70" sheet="Media Plan Phase 1"/>
  </cacheSource>
  <cacheFields count="31">
    <cacheField name="Genre" numFmtId="0">
      <sharedItems/>
    </cacheField>
    <cacheField name="Demo" numFmtId="0">
      <sharedItems containsBlank="1"/>
    </cacheField>
    <cacheField name="Geo" numFmtId="0">
      <sharedItems containsBlank="1" count="18">
        <m/>
        <s v="Mumbai"/>
        <s v="Delhi NCR"/>
        <s v="Bangalore"/>
        <s v="Chennai"/>
        <s v="Hyderabad"/>
        <s v="Kolkata"/>
        <s v="Pune"/>
        <s v="Thane &amp; Nagpur"/>
        <s v="Ahemdabad, Gandhinagar, Surat, Vadodara"/>
        <s v="Bhubaneswar, Lucknow"/>
        <s v="Chandigarh,Jaipur"/>
        <s v="Indore,Patna"/>
        <s v="Coimbatore, Vizag"/>
        <s v="Kochi"/>
        <s v="Metros"/>
        <s v="RO C1"/>
        <s v="C1 Geos"/>
      </sharedItems>
    </cacheField>
    <cacheField name="Medium" numFmtId="0">
      <sharedItems containsBlank="1"/>
    </cacheField>
    <cacheField name="Publisher" numFmtId="0">
      <sharedItems containsBlank="1" count="7">
        <m/>
        <s v="Facebook &amp; IG"/>
        <s v="YouTube"/>
        <s v="PMP - OTT"/>
        <s v="DSP"/>
        <s v="Glance"/>
        <s v="Hotstar"/>
      </sharedItems>
    </cacheField>
    <cacheField name="Platform" numFmtId="49">
      <sharedItems containsBlank="1"/>
    </cacheField>
    <cacheField name="Section" numFmtId="49">
      <sharedItems containsBlank="1"/>
    </cacheField>
    <cacheField name="Ad Unit" numFmtId="0">
      <sharedItems containsBlank="1"/>
    </cacheField>
    <cacheField name="Deal Type" numFmtId="0">
      <sharedItems containsBlank="1"/>
    </cacheField>
    <cacheField name="Targeting" numFmtId="0">
      <sharedItems containsBlank="1" longText="1"/>
    </cacheField>
    <cacheField name="Est-Imp" numFmtId="0">
      <sharedItems containsString="0" containsBlank="1" containsNumber="1" minValue="159352.67249999999" maxValue="176723970.07233173"/>
    </cacheField>
    <cacheField name="CTR" numFmtId="10">
      <sharedItems containsString="0" containsBlank="1" containsNumber="1" minValue="0" maxValue="1.4999999999999999E-2"/>
    </cacheField>
    <cacheField name="Est Clicks" numFmtId="0">
      <sharedItems containsString="0" containsBlank="1" containsNumber="1" minValue="0" maxValue="893241.41884099576"/>
    </cacheField>
    <cacheField name="VTR" numFmtId="0">
      <sharedItems containsString="0" containsBlank="1" containsNumber="1" minValue="0" maxValue="0.85"/>
    </cacheField>
    <cacheField name="Est Views / Engag" numFmtId="0">
      <sharedItems containsString="0" containsBlank="1" containsNumber="1" minValue="0" maxValue="49247375.865888104"/>
    </cacheField>
    <cacheField name="eCPM " numFmtId="0">
      <sharedItems containsString="0" containsBlank="1" containsNumber="1" minValue="59.999999999999986" maxValue="200"/>
    </cacheField>
    <cacheField name="eCPC " numFmtId="0">
      <sharedItems containsBlank="1" containsMixedTypes="1" containsNumber="1" minValue="7" maxValue="66.666666666666671"/>
    </cacheField>
    <cacheField name="Net Unit Cost" numFmtId="0">
      <sharedItems containsString="0" containsBlank="1" containsNumber="1" minValue="0.35" maxValue="200"/>
    </cacheField>
    <cacheField name="Total Net Cost" numFmtId="176">
      <sharedItems containsString="0" containsBlank="1" containsNumber="1" minValue="16732.030612499995" maxValue="16190394.104005635"/>
    </cacheField>
    <cacheField name="% Allocation" numFmtId="0">
      <sharedItems containsString="0" containsBlank="1" containsNumber="1" minValue="1.0334541892566009E-3" maxValue="5.2764620460266878E-2"/>
    </cacheField>
    <cacheField name="Duplication" numFmtId="0">
      <sharedItems containsString="0" containsBlank="1" containsNumber="1" minValue="0" maxValue="1"/>
    </cacheField>
    <cacheField name="Reach" numFmtId="3">
      <sharedItems containsString="0" containsBlank="1" containsNumber="1" minValue="106235.11499999999" maxValue="5140800"/>
    </cacheField>
    <cacheField name="Effective Reach" numFmtId="0">
      <sharedItems containsString="0" containsBlank="1" containsNumber="1" minValue="0" maxValue="35445684.333948545"/>
    </cacheField>
    <cacheField name="Audience Pool" numFmtId="3">
      <sharedItems containsString="0" containsBlank="1" containsNumber="1" minValue="303528.89999999997" maxValue="17000000"/>
    </cacheField>
    <cacheField name="% Reach" numFmtId="0">
      <sharedItems containsString="0" containsBlank="1" containsNumber="1" minValue="9.9999999999999978E-2" maxValue="0.6"/>
    </cacheField>
    <cacheField name="Universe" numFmtId="0">
      <sharedItems containsNonDate="0" containsString="0" containsBlank="1" count="1">
        <m/>
      </sharedItems>
    </cacheField>
    <cacheField name="Operating Reach" numFmtId="0">
      <sharedItems containsBlank="1"/>
    </cacheField>
    <cacheField name="Avg. Freq" numFmtId="0">
      <sharedItems containsString="0" containsBlank="1" containsNumber="1" minValue="1.5" maxValue="4.9857683211118635"/>
    </cacheField>
    <cacheField name="Star Date" numFmtId="0">
      <sharedItems containsNonDate="0" containsDate="1" containsString="0" containsBlank="1" minDate="2023-07-05T00:00:00" maxDate="2023-07-06T00:00:00"/>
    </cacheField>
    <cacheField name="End Date" numFmtId="0">
      <sharedItems containsNonDate="0" containsDate="1" containsString="0" containsBlank="1" minDate="2023-07-14T00:00:00" maxDate="2023-07-15T00:00:00"/>
    </cacheField>
    <cacheField name="Days" numFmtId="0">
      <sharedItems containsString="0" containsBlank="1" containsNumber="1" containsInteger="1" minValue="10"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k, Rahul  (BLR-INA)" refreshedDate="45415.737888310185" createdVersion="8" refreshedVersion="8" minRefreshableVersion="3" recordCount="118" xr:uid="{3CEEA56B-D312-4F39-A965-681688777296}">
  <cacheSource type="worksheet">
    <worksheetSource ref="A1:AF103" sheet="Media Plan Phase 2"/>
  </cacheSource>
  <cacheFields count="31">
    <cacheField name="Genre" numFmtId="0">
      <sharedItems/>
    </cacheField>
    <cacheField name="Demo" numFmtId="0">
      <sharedItems containsBlank="1"/>
    </cacheField>
    <cacheField name="Geo" numFmtId="0">
      <sharedItems containsBlank="1"/>
    </cacheField>
    <cacheField name="Medium" numFmtId="0">
      <sharedItems containsBlank="1"/>
    </cacheField>
    <cacheField name="Publisher" numFmtId="0">
      <sharedItems containsBlank="1" count="17">
        <m/>
        <s v="Facebook &amp; IG"/>
        <s v="YouTube"/>
        <s v="PMP"/>
        <s v="Truecaller"/>
        <s v="Hotstar"/>
        <s v="Glance"/>
        <s v="Snapchat"/>
        <s v="Google Demand Gen"/>
        <s v="DMP"/>
        <s v="Sharechat"/>
        <s v="PMP OTT"/>
        <s v="DSP"/>
        <s v="Loksatta"/>
        <s v="TV 9"/>
        <s v="OneIndia"/>
        <s v="Vikatan"/>
      </sharedItems>
    </cacheField>
    <cacheField name="Platform" numFmtId="49">
      <sharedItems containsBlank="1"/>
    </cacheField>
    <cacheField name="Section" numFmtId="49">
      <sharedItems containsBlank="1"/>
    </cacheField>
    <cacheField name="Ad Unit" numFmtId="0">
      <sharedItems containsBlank="1"/>
    </cacheField>
    <cacheField name="Deal Type" numFmtId="0">
      <sharedItems containsBlank="1"/>
    </cacheField>
    <cacheField name="Targeting" numFmtId="0">
      <sharedItems containsBlank="1" longText="1"/>
    </cacheField>
    <cacheField name="Est-Imp" numFmtId="0">
      <sharedItems containsString="0" containsBlank="1" containsNumber="1" minValue="227646.67499999999" maxValue="431108253.36640865"/>
    </cacheField>
    <cacheField name="CTR" numFmtId="10">
      <sharedItems containsString="0" containsBlank="1" containsNumber="1" minValue="0" maxValue="0.02"/>
    </cacheField>
    <cacheField name="Est Clicks" numFmtId="0">
      <sharedItems containsString="0" containsBlank="1" containsNumber="1" minValue="0" maxValue="2736929.9793742234"/>
    </cacheField>
    <cacheField name="VTR" numFmtId="0">
      <sharedItems containsString="0" containsBlank="1" containsNumber="1" minValue="0" maxValue="0.85"/>
    </cacheField>
    <cacheField name="Est Views / Engag" numFmtId="0">
      <sharedItems containsString="0" containsBlank="1" containsNumber="1" minValue="0" maxValue="181710779.2126261"/>
    </cacheField>
    <cacheField name="eCPM " numFmtId="0">
      <sharedItems containsBlank="1" containsMixedTypes="1" containsNumber="1" minValue="30" maxValue="200"/>
    </cacheField>
    <cacheField name="eCPC " numFmtId="0">
      <sharedItems containsBlank="1" containsMixedTypes="1" containsNumber="1" minValue="2" maxValue="80"/>
    </cacheField>
    <cacheField name="Net Unit Cost" numFmtId="176">
      <sharedItems containsString="0" containsBlank="1" containsNumber="1" minValue="2" maxValue="200"/>
    </cacheField>
    <cacheField name="Total Net Cost" numFmtId="0">
      <sharedItems containsString="0" containsBlank="1" containsNumber="1" minValue="18211.733999999997" maxValue="39890199.377036609"/>
    </cacheField>
    <cacheField name="% Allocation" numFmtId="0">
      <sharedItems containsString="0" containsBlank="1" containsNumber="1" minValue="0" maxValue="1.6"/>
    </cacheField>
    <cacheField name="Duplication" numFmtId="0">
      <sharedItems containsString="0" containsBlank="1" containsNumber="1" minValue="0" maxValue="1"/>
    </cacheField>
    <cacheField name="Reach" numFmtId="0">
      <sharedItems containsString="0" containsBlank="1" containsNumber="1" minValue="151764.44999999998" maxValue="10200000"/>
    </cacheField>
    <cacheField name="Effective Reach" numFmtId="3">
      <sharedItems containsString="0" containsBlank="1" containsNumber="1" minValue="0" maxValue="48690666.892880633"/>
    </cacheField>
    <cacheField name="Audience Pool" numFmtId="3">
      <sharedItems containsString="0" containsBlank="1" containsNumber="1" minValue="303528.89999999997" maxValue="72000000"/>
    </cacheField>
    <cacheField name="% Reach" numFmtId="0">
      <sharedItems containsString="0" containsBlank="1" containsNumber="1" minValue="0.15" maxValue="0.72251190880143989"/>
    </cacheField>
    <cacheField name="Universe" numFmtId="0">
      <sharedItems containsNonDate="0" containsString="0" containsBlank="1"/>
    </cacheField>
    <cacheField name="Operating Reach" numFmtId="0">
      <sharedItems containsBlank="1"/>
    </cacheField>
    <cacheField name="Avg. Freq" numFmtId="0">
      <sharedItems containsString="0" containsBlank="1" containsNumber="1" minValue="1.5" maxValue="9.1918908031440001"/>
    </cacheField>
    <cacheField name="Star Date" numFmtId="0">
      <sharedItems containsDate="1" containsBlank="1" containsMixedTypes="1" minDate="2023-07-05T00:00:00" maxDate="2023-07-16T00:00:00"/>
    </cacheField>
    <cacheField name="End Date" numFmtId="0">
      <sharedItems containsDate="1" containsBlank="1" containsMixedTypes="1" minDate="2023-07-14T00:00:00" maxDate="2023-07-22T00:00:00"/>
    </cacheField>
    <cacheField name="Days" numFmtId="0">
      <sharedItems containsString="0" containsBlank="1" containsNumber="1" containsInteger="1" minValue="7"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P1 Geos - MF 25-44 - Mumbai"/>
    <m/>
    <x v="0"/>
    <m/>
    <x v="0"/>
    <m/>
    <m/>
    <m/>
    <m/>
    <m/>
    <m/>
    <m/>
    <m/>
    <m/>
    <m/>
    <m/>
    <m/>
    <m/>
    <m/>
    <m/>
    <m/>
    <m/>
    <m/>
    <m/>
    <m/>
    <x v="0"/>
    <m/>
    <m/>
    <m/>
    <m/>
    <m/>
  </r>
  <r>
    <s v="Social"/>
    <s v="25-44"/>
    <x v="1"/>
    <s v="Video"/>
    <x v="1"/>
    <s v="Desktop &amp; Mobile"/>
    <s v="Automatic Placemnets"/>
    <s v="Video 6 second / Link Ad / Carousel"/>
    <s v="CPM (RnF)"/>
    <s v="OBJECTIVE : Brand Awareness | Location: India: Mumbai (+40 km) Maharashtra Age: 25-44 Language: English (UK) or English (US) People who match: Interests: Voot, hotstar, Streaming media, Online shopping, Entertainment or Netflix And must also match: Behaviours: Facebook access (mobile): smartphones and tablets"/>
    <n v="6976800"/>
    <n v="1.5E-3"/>
    <n v="10465.200000000001"/>
    <n v="0"/>
    <n v="0"/>
    <n v="70"/>
    <n v="46.666666666666664"/>
    <n v="70"/>
    <n v="488376"/>
    <n v="3.0164552935692396E-2"/>
    <n v="0"/>
    <n v="3488400"/>
    <n v="3488400"/>
    <n v="5814000"/>
    <n v="0.6"/>
    <x v="0"/>
    <e v="#DIV/0!"/>
    <n v="2"/>
    <d v="2023-07-05T00:00:00"/>
    <d v="2023-07-14T00:00:00"/>
    <n v="10"/>
  </r>
  <r>
    <s v="Entertainment"/>
    <s v="25-44"/>
    <x v="1"/>
    <s v="Video"/>
    <x v="2"/>
    <s v="Desktop &amp; Mobile"/>
    <s v="Run On Site"/>
    <s v="Skippable| Video 20 Sec "/>
    <s v="CPV"/>
    <s v="MF 25-44 - Mumbai | Affinity - Shoppers, Light TV Viewers"/>
    <n v="3050249.9999999995"/>
    <n v="2.5000000000000001E-3"/>
    <n v="7625.6249999999991"/>
    <n v="0.3"/>
    <n v="915074.99999999988"/>
    <n v="105"/>
    <n v="42"/>
    <n v="0.35"/>
    <n v="320276.24999999994"/>
    <n v="1.9781868677351159E-2"/>
    <n v="0.85"/>
    <n v="2033499.9999999998"/>
    <n v="305025"/>
    <n v="5810000"/>
    <n v="0.35"/>
    <x v="0"/>
    <e v="#DIV/0!"/>
    <n v="1.5"/>
    <d v="2023-07-05T00:00:00"/>
    <d v="2023-07-14T00:00:00"/>
    <n v="10"/>
  </r>
  <r>
    <s v="Entertainment"/>
    <s v="25-44"/>
    <x v="1"/>
    <s v="Video"/>
    <x v="2"/>
    <s v="Desktop &amp; Mobile"/>
    <s v="Run On Site"/>
    <s v="Deals 6 sec Video - Bumper"/>
    <s v="CPM"/>
    <s v="MF 25-44 - Affinity - Shoppers, Light TV Viewers"/>
    <n v="5810000"/>
    <n v="3.0000000000000001E-3"/>
    <n v="17430"/>
    <n v="0.8"/>
    <n v="4648000"/>
    <n v="60"/>
    <n v="20"/>
    <n v="60"/>
    <n v="348600"/>
    <n v="2.1531285635212151E-2"/>
    <n v="0.85"/>
    <n v="2905000"/>
    <n v="435750.00000000006"/>
    <n v="5810000"/>
    <n v="0.5"/>
    <x v="0"/>
    <e v="#DIV/0!"/>
    <n v="2"/>
    <d v="2023-07-05T00:00:00"/>
    <d v="2023-07-14T00:00:00"/>
    <n v="10"/>
  </r>
  <r>
    <s v="Entertainment"/>
    <s v="25-44"/>
    <x v="1"/>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902818"/>
    <n v="0.2627681680539074"/>
    <x v="0"/>
    <e v="#DIV/0!"/>
    <n v="2"/>
    <d v="2023-07-05T00:00:00"/>
    <d v="2023-07-14T00:00:00"/>
    <n v="10"/>
  </r>
  <r>
    <s v="Network"/>
    <s v="25-44"/>
    <x v="1"/>
    <s v="Display"/>
    <x v="4"/>
    <s v="Desktop &amp; Mobile"/>
    <s v="Run across Network"/>
    <s v="Banner"/>
    <s v="CPM"/>
    <s v="MF 25-44 | Affinity - Shoppers, Light TV Viewers"/>
    <n v="6972000"/>
    <n v="1.4999999999999999E-2"/>
    <n v="104580"/>
    <n v="0"/>
    <n v="0"/>
    <n v="105"/>
    <n v="7"/>
    <n v="105"/>
    <n v="732060"/>
    <n v="4.5215699833945515E-2"/>
    <n v="1"/>
    <n v="3486000"/>
    <n v="0"/>
    <n v="5810000"/>
    <n v="0.6"/>
    <x v="0"/>
    <e v="#DIV/0!"/>
    <n v="2"/>
    <d v="2023-07-05T00:00:00"/>
    <d v="2023-07-14T00:00:00"/>
    <n v="10"/>
  </r>
  <r>
    <s v="P1 Geos - MF 25-44 - Delhi"/>
    <m/>
    <x v="0"/>
    <m/>
    <x v="0"/>
    <m/>
    <m/>
    <m/>
    <m/>
    <m/>
    <m/>
    <m/>
    <m/>
    <m/>
    <m/>
    <m/>
    <m/>
    <m/>
    <m/>
    <m/>
    <m/>
    <m/>
    <m/>
    <m/>
    <m/>
    <x v="0"/>
    <m/>
    <m/>
    <m/>
    <m/>
    <m/>
  </r>
  <r>
    <s v="Social"/>
    <s v="25-44"/>
    <x v="2"/>
    <s v="Video"/>
    <x v="1"/>
    <s v="Desktop &amp; Mobile"/>
    <s v="Automatic Placemnets"/>
    <s v="Video 6 second / Link Ad / Carousel"/>
    <s v="CPM (RnF)"/>
    <s v="OBJECTIVE : Brand Awareness | Location: India: Delhi Age: 25-44 Language: English (UK) or English (US) People who match: Interests: Voot, hotstar, Streaming media, Online shopping, Entertainment or Netflix And must also match: Behaviours: Facebook access (mobile): smartphones and tablets"/>
    <n v="10281600"/>
    <n v="1.5E-3"/>
    <n v="15422.4"/>
    <n v="0"/>
    <n v="0"/>
    <n v="70"/>
    <n v="46.666666666666664"/>
    <n v="70"/>
    <n v="719712"/>
    <n v="4.4453025378915108E-2"/>
    <n v="0"/>
    <n v="5140800"/>
    <n v="5140800"/>
    <n v="8568000"/>
    <n v="0.6"/>
    <x v="0"/>
    <e v="#DIV/0!"/>
    <n v="2"/>
    <d v="2023-07-05T00:00:00"/>
    <d v="2023-07-14T00:00:00"/>
    <n v="10"/>
  </r>
  <r>
    <s v="Entertainment"/>
    <s v="25-44"/>
    <x v="2"/>
    <s v="Video"/>
    <x v="2"/>
    <s v="Desktop &amp; Mobile"/>
    <s v="Run On Site"/>
    <s v="Skippable| Video 20 Sec "/>
    <s v="CPV"/>
    <s v="MF 25-44 - Delhi NCR | Affinity - Shoppers, Light TV Viewers"/>
    <n v="3559500"/>
    <n v="2.5000000000000001E-3"/>
    <n v="8898.75"/>
    <n v="0.3"/>
    <n v="1067850"/>
    <n v="105"/>
    <n v="42"/>
    <n v="0.35"/>
    <n v="373747.5"/>
    <n v="2.308452145136676E-2"/>
    <n v="0.85"/>
    <n v="2373000"/>
    <n v="355950.00000000006"/>
    <n v="6780000"/>
    <n v="0.35"/>
    <x v="0"/>
    <e v="#DIV/0!"/>
    <n v="1.5"/>
    <d v="2023-07-05T00:00:00"/>
    <d v="2023-07-14T00:00:00"/>
    <n v="10"/>
  </r>
  <r>
    <s v="Entertainment"/>
    <s v="25-44"/>
    <x v="2"/>
    <s v="Video"/>
    <x v="2"/>
    <s v="Desktop &amp; Mobile"/>
    <s v="Run On Site"/>
    <s v="Deals 6 sec Video - Bumper"/>
    <s v="CPM"/>
    <s v="MF 25-44 - Affinity - Shoppers, Light TV Viewers"/>
    <n v="6780000"/>
    <n v="3.0000000000000001E-3"/>
    <n v="20340"/>
    <n v="0.8"/>
    <n v="5424000"/>
    <n v="60"/>
    <n v="20"/>
    <n v="60"/>
    <n v="406800"/>
    <n v="2.5126009742984231E-2"/>
    <n v="0.85"/>
    <n v="3390000"/>
    <n v="508500.00000000006"/>
    <n v="6780000"/>
    <n v="0.5"/>
    <x v="0"/>
    <m/>
    <n v="2"/>
    <d v="2023-07-05T00:00:00"/>
    <d v="2023-07-14T00:00:00"/>
    <n v="10"/>
  </r>
  <r>
    <s v="Entertainment"/>
    <s v="25-44"/>
    <x v="2"/>
    <s v="Video"/>
    <x v="3"/>
    <s v="Desktop &amp; Mobile"/>
    <s v="Run across OTT"/>
    <s v="Non-Skip| Video 15 Sec "/>
    <s v="CPM"/>
    <s v="MF 25-44| Online Shoppers with 20k+ handsets"/>
    <n v="1500000"/>
    <n v="3.0000000000000001E-3"/>
    <n v="4500"/>
    <n v="0.85"/>
    <n v="1275000"/>
    <n v="200"/>
    <n v="66.666666666666671"/>
    <n v="200"/>
    <n v="300000"/>
    <n v="1.8529505710165362E-2"/>
    <n v="1"/>
    <n v="750000"/>
    <n v="0"/>
    <n v="3176777"/>
    <n v="0.23608833733057122"/>
    <x v="0"/>
    <e v="#DIV/0!"/>
    <n v="2"/>
    <d v="2023-07-05T00:00:00"/>
    <d v="2023-07-14T00:00:00"/>
    <n v="10"/>
  </r>
  <r>
    <s v="Network"/>
    <s v="25-44"/>
    <x v="2"/>
    <s v="Display"/>
    <x v="4"/>
    <s v="Desktop &amp; Mobile"/>
    <s v="Run across Network"/>
    <s v="Banner"/>
    <s v="CPM"/>
    <s v="MF 25-44 | Affinity - Shoppers, Light TV Viewers"/>
    <n v="8136000"/>
    <n v="1.4999999999999999E-2"/>
    <n v="122040"/>
    <n v="0"/>
    <n v="0"/>
    <n v="105"/>
    <n v="7"/>
    <n v="105"/>
    <n v="854280"/>
    <n v="5.2764620460266878E-2"/>
    <n v="1"/>
    <n v="4068000"/>
    <n v="0"/>
    <n v="6780000"/>
    <n v="0.6"/>
    <x v="0"/>
    <e v="#DIV/0!"/>
    <n v="2"/>
    <d v="2023-07-05T00:00:00"/>
    <d v="2023-07-14T00:00:00"/>
    <n v="10"/>
  </r>
  <r>
    <s v="P1 Geos - MF 25-44 - Bangalore"/>
    <m/>
    <x v="0"/>
    <m/>
    <x v="0"/>
    <m/>
    <m/>
    <m/>
    <m/>
    <m/>
    <m/>
    <m/>
    <m/>
    <m/>
    <m/>
    <m/>
    <m/>
    <m/>
    <m/>
    <m/>
    <m/>
    <m/>
    <m/>
    <m/>
    <m/>
    <x v="0"/>
    <m/>
    <m/>
    <m/>
    <m/>
    <m/>
  </r>
  <r>
    <s v="Social"/>
    <s v="25-44"/>
    <x v="3"/>
    <s v="Video"/>
    <x v="1"/>
    <s v="Desktop &amp; Mobile"/>
    <s v="Automatic Placemnets"/>
    <s v="Video 6 second / Link Ad / Carousel"/>
    <s v="CPM (RnF)"/>
    <s v="OBJECTIVE : Brand Awareness | Location: India: Bangalore (+40 km) Karnataka Age: 25-44 Language: English (UK) or English (US) People who match: Interests: Voot, hotstar, Streaming media, Online shopping, Entertainment or Netflix And must also match: Behaviours: Facebook access (mobile): smartphones and tablets"/>
    <n v="4528800"/>
    <n v="1.5E-3"/>
    <n v="6793.2"/>
    <n v="0"/>
    <n v="0"/>
    <n v="70"/>
    <n v="46.666666666666671"/>
    <n v="70"/>
    <n v="317016"/>
    <n v="1.958049927404594E-2"/>
    <n v="0"/>
    <n v="2264400"/>
    <n v="2264400"/>
    <n v="3774000"/>
    <n v="0.6"/>
    <x v="0"/>
    <e v="#DIV/0!"/>
    <n v="2"/>
    <d v="2023-07-05T00:00:00"/>
    <d v="2023-07-14T00:00:00"/>
    <n v="10"/>
  </r>
  <r>
    <s v="Entertainment"/>
    <s v="25-44"/>
    <x v="3"/>
    <s v="Video"/>
    <x v="2"/>
    <s v="Desktop &amp; Mobile"/>
    <s v="Run On Site"/>
    <s v="Skippable| Video 20 Sec "/>
    <s v="CPV"/>
    <s v="MF 25-44 - Bangalore | Affinity - Shoppers, Light TV Viewers"/>
    <n v="2126250"/>
    <n v="2.5000000000000001E-3"/>
    <n v="5315.625"/>
    <n v="0.3"/>
    <n v="637875"/>
    <n v="105"/>
    <n v="42"/>
    <n v="0.35"/>
    <n v="223256.25"/>
    <n v="1.3789426530683685E-2"/>
    <n v="0.85"/>
    <n v="1417500"/>
    <n v="212625.00000000003"/>
    <n v="4050000"/>
    <n v="0.35"/>
    <x v="0"/>
    <e v="#DIV/0!"/>
    <n v="1.5"/>
    <d v="2023-07-05T00:00:00"/>
    <d v="2023-07-14T00:00:00"/>
    <n v="10"/>
  </r>
  <r>
    <s v="Entertainment"/>
    <s v="25-44"/>
    <x v="3"/>
    <s v="Video"/>
    <x v="2"/>
    <s v="Desktop &amp; Mobile"/>
    <s v="Run On Site"/>
    <s v="Deals 6 sec Video - Bumper"/>
    <s v="CPM"/>
    <s v="MF 25-44 - Affinity - Shoppers, Light TV Viewers"/>
    <n v="4050000"/>
    <n v="3.0000000000000001E-3"/>
    <n v="12150"/>
    <n v="0.8"/>
    <n v="3240000"/>
    <n v="60"/>
    <n v="20"/>
    <n v="60"/>
    <n v="243000"/>
    <n v="1.5008899625233942E-2"/>
    <n v="0.85"/>
    <n v="2025000"/>
    <n v="303750.00000000006"/>
    <n v="4050000"/>
    <n v="0.5"/>
    <x v="0"/>
    <m/>
    <n v="2"/>
    <d v="2023-07-05T00:00:00"/>
    <d v="2023-07-14T00:00:00"/>
    <n v="10"/>
  </r>
  <r>
    <s v="Entertainment"/>
    <s v="25-44"/>
    <x v="3"/>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947335"/>
    <n v="0.25676116333347881"/>
    <x v="0"/>
    <e v="#DIV/0!"/>
    <n v="2"/>
    <d v="2023-07-05T00:00:00"/>
    <d v="2023-07-14T00:00:00"/>
    <n v="10"/>
  </r>
  <r>
    <s v="Network"/>
    <s v="25-44"/>
    <x v="3"/>
    <s v="Display"/>
    <x v="4"/>
    <s v="Desktop &amp; Mobile"/>
    <s v="Run across Network"/>
    <s v="Banner"/>
    <s v="CPM"/>
    <s v="MF 25-44 | Affinity - Shoppers, Light TV Viewers"/>
    <n v="4860000"/>
    <n v="1.4999999999999999E-2"/>
    <n v="72900"/>
    <n v="0"/>
    <n v="0"/>
    <n v="105"/>
    <n v="7"/>
    <n v="105"/>
    <n v="510300"/>
    <n v="3.151868921299128E-2"/>
    <n v="1"/>
    <n v="2430000"/>
    <n v="0"/>
    <n v="4050000"/>
    <n v="0.6"/>
    <x v="0"/>
    <e v="#DIV/0!"/>
    <n v="2"/>
    <d v="2023-07-05T00:00:00"/>
    <d v="2023-07-14T00:00:00"/>
    <n v="10"/>
  </r>
  <r>
    <s v="P1 Geos - MF 25-44 - Chennai"/>
    <m/>
    <x v="0"/>
    <m/>
    <x v="0"/>
    <m/>
    <m/>
    <m/>
    <m/>
    <m/>
    <m/>
    <m/>
    <m/>
    <m/>
    <m/>
    <m/>
    <m/>
    <m/>
    <m/>
    <m/>
    <m/>
    <m/>
    <m/>
    <m/>
    <m/>
    <x v="0"/>
    <m/>
    <m/>
    <m/>
    <m/>
    <m/>
  </r>
  <r>
    <s v="Social"/>
    <s v="25-44"/>
    <x v="4"/>
    <s v="Video"/>
    <x v="1"/>
    <s v="Desktop &amp; Mobile"/>
    <s v="Automatic Placemnets"/>
    <s v="Video 6 second / Link Ad / Carousel"/>
    <s v="CPM (RnF)"/>
    <s v="OBJECTIVE : Brand Awareness | Location: India: Chennai (+40 km) Tamil Nadu Age: 25-44 Language: English (UK) or English (US) People who match: Interests: Voot, hotstar, Streaming media, Online shopping, Entertainment or Netflix And must also match:Behaviours: Facebook access (mobile): smartphones and tablets"/>
    <n v="3182400"/>
    <n v="1.5E-3"/>
    <n v="4773.6000000000004"/>
    <n v="0"/>
    <n v="0"/>
    <n v="70"/>
    <n v="46.666666666666664"/>
    <n v="70"/>
    <n v="222768"/>
    <n v="1.3759269760140391E-2"/>
    <n v="0"/>
    <n v="1591200"/>
    <n v="1591200"/>
    <n v="2652000"/>
    <n v="0.6"/>
    <x v="0"/>
    <e v="#DIV/0!"/>
    <n v="2"/>
    <d v="2023-07-05T00:00:00"/>
    <d v="2023-07-14T00:00:00"/>
    <n v="10"/>
  </r>
  <r>
    <s v="Entertainment"/>
    <s v="25-44"/>
    <x v="4"/>
    <s v="Video"/>
    <x v="2"/>
    <s v="Desktop &amp; Mobile"/>
    <s v="Run On Site"/>
    <s v="Skippable| Video 20 Sec "/>
    <s v="CPV"/>
    <s v="MF 25-44 - Chennai | Affinity - Shoppers, Light TV Viewers"/>
    <n v="776999.99999999988"/>
    <n v="2.5000000000000001E-3"/>
    <n v="1942.4999999999998"/>
    <n v="0.3"/>
    <n v="233099.99999999997"/>
    <n v="105"/>
    <n v="42"/>
    <n v="0.35"/>
    <n v="81584.999999999985"/>
    <n v="5.0390990778794694E-3"/>
    <n v="0.85"/>
    <n v="517999.99999999994"/>
    <n v="77700"/>
    <n v="1480000"/>
    <n v="0.35"/>
    <x v="0"/>
    <e v="#DIV/0!"/>
    <n v="1.5"/>
    <d v="2023-07-05T00:00:00"/>
    <d v="2023-07-14T00:00:00"/>
    <n v="10"/>
  </r>
  <r>
    <s v="Entertainment"/>
    <s v="25-44"/>
    <x v="4"/>
    <s v="Video"/>
    <x v="2"/>
    <s v="Desktop &amp; Mobile"/>
    <s v="Run On Site"/>
    <s v="Deals 6 sec Video - Bumper"/>
    <s v="CPM"/>
    <s v="MF 25-44 - Affinity - Shoppers, Light TV Viewers"/>
    <n v="1480000"/>
    <n v="3.0000000000000001E-3"/>
    <n v="4440"/>
    <n v="0.8"/>
    <n v="1184000"/>
    <n v="60"/>
    <n v="20"/>
    <n v="60"/>
    <n v="88800"/>
    <n v="5.4847336902089467E-3"/>
    <n v="0.85"/>
    <n v="740000"/>
    <n v="111000.00000000001"/>
    <n v="1480000"/>
    <n v="0.5"/>
    <x v="0"/>
    <m/>
    <n v="2"/>
    <d v="2023-07-05T00:00:00"/>
    <d v="2023-07-14T00:00:00"/>
    <n v="10"/>
  </r>
  <r>
    <s v="Entertainment"/>
    <s v="25-44"/>
    <x v="4"/>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703193"/>
    <n v="0.29356626054710183"/>
    <x v="0"/>
    <e v="#DIV/0!"/>
    <n v="2"/>
    <d v="2023-07-05T00:00:00"/>
    <d v="2023-07-14T00:00:00"/>
    <n v="10"/>
  </r>
  <r>
    <s v="Network"/>
    <s v="25-44"/>
    <x v="4"/>
    <s v="Display"/>
    <x v="4"/>
    <s v="Desktop &amp; Mobile"/>
    <s v="Run across Network"/>
    <s v="Banner"/>
    <s v="CPM"/>
    <s v="MF 25-44 | Affinity - Shoppers, Light TV Viewers"/>
    <n v="1776000"/>
    <n v="1.4999999999999999E-2"/>
    <n v="26640"/>
    <n v="0"/>
    <n v="0"/>
    <n v="105"/>
    <n v="7"/>
    <n v="105"/>
    <n v="186480"/>
    <n v="1.1517940749438788E-2"/>
    <n v="1"/>
    <n v="888000"/>
    <n v="0"/>
    <n v="1480000"/>
    <n v="0.6"/>
    <x v="0"/>
    <e v="#DIV/0!"/>
    <n v="2"/>
    <d v="2023-07-05T00:00:00"/>
    <d v="2023-07-14T00:00:00"/>
    <n v="10"/>
  </r>
  <r>
    <s v="P1 Geos - MF 25-44 - Hyderabad"/>
    <m/>
    <x v="0"/>
    <m/>
    <x v="0"/>
    <m/>
    <m/>
    <m/>
    <m/>
    <m/>
    <m/>
    <m/>
    <m/>
    <m/>
    <m/>
    <m/>
    <m/>
    <m/>
    <m/>
    <m/>
    <m/>
    <m/>
    <m/>
    <m/>
    <m/>
    <x v="0"/>
    <m/>
    <m/>
    <m/>
    <m/>
    <m/>
  </r>
  <r>
    <s v="Social"/>
    <s v="25-44"/>
    <x v="5"/>
    <s v="Video"/>
    <x v="1"/>
    <s v="Desktop &amp; Mobile"/>
    <s v="Automatic Placemnets"/>
    <s v="Video 6 second / Link Ad / Carousel"/>
    <s v="CPM (RnF)"/>
    <s v="OBJECTIVE : Brand Awareness | Location: India: Hyderabad (+40 km) Telangana Age: 25-44 Language: English (UK) or English (US) People who match: Interests: Voot, hotstar, Streaming media, Online shopping, Entertainment or Netflix And must also match: Behaviours: Facebook access (mobile): smartphones and tablets"/>
    <n v="3060000"/>
    <n v="1.5E-3"/>
    <n v="4590"/>
    <n v="0"/>
    <n v="0"/>
    <n v="70"/>
    <n v="46.666666666666664"/>
    <n v="70"/>
    <n v="214200"/>
    <n v="1.3230067077058068E-2"/>
    <n v="0"/>
    <n v="1530000"/>
    <n v="1530000"/>
    <n v="2550000"/>
    <n v="0.6"/>
    <x v="0"/>
    <e v="#DIV/0!"/>
    <n v="2"/>
    <d v="2023-07-05T00:00:00"/>
    <d v="2023-07-14T00:00:00"/>
    <n v="10"/>
  </r>
  <r>
    <s v="Entertainment"/>
    <s v="25-44"/>
    <x v="5"/>
    <s v="Video"/>
    <x v="2"/>
    <s v="Desktop &amp; Mobile"/>
    <s v="Run On Site"/>
    <s v="Skippable| Video 20 Sec "/>
    <s v="CPV"/>
    <s v="MF 25-44 - Hyderabad | Affinity - Shoppers, Light TV Viewers"/>
    <n v="1632750.0000000002"/>
    <n v="2.5000000000000001E-3"/>
    <n v="4081.8750000000005"/>
    <n v="0.3"/>
    <n v="489825.00000000006"/>
    <n v="104.99999999999999"/>
    <n v="41.999999999999993"/>
    <n v="0.35"/>
    <n v="171438.75"/>
    <n v="1.0588917656895373E-2"/>
    <n v="0.85"/>
    <n v="1088500.0000000002"/>
    <n v="163275.00000000006"/>
    <n v="3110000"/>
    <n v="0.35000000000000009"/>
    <x v="0"/>
    <e v="#DIV/0!"/>
    <n v="1.5"/>
    <d v="2023-07-05T00:00:00"/>
    <d v="2023-07-14T00:00:00"/>
    <n v="10"/>
  </r>
  <r>
    <s v="Entertainment"/>
    <s v="25-44"/>
    <x v="5"/>
    <s v="Video"/>
    <x v="2"/>
    <s v="Desktop &amp; Mobile"/>
    <s v="Run On Site"/>
    <s v="Deals 6 sec Video - Bumper"/>
    <s v="CPM"/>
    <s v="MF 25-44 - Affinity - Shoppers, Light TV Viewers"/>
    <n v="3110000"/>
    <n v="3.0000000000000001E-3"/>
    <n v="9330"/>
    <n v="0.8"/>
    <n v="2488000"/>
    <n v="60"/>
    <n v="20"/>
    <n v="60"/>
    <n v="186600"/>
    <n v="1.1525352551722854E-2"/>
    <n v="0.85"/>
    <n v="1555000"/>
    <n v="233250.00000000003"/>
    <n v="3110000"/>
    <n v="0.5"/>
    <x v="0"/>
    <m/>
    <n v="2"/>
    <d v="2023-07-05T00:00:00"/>
    <d v="2023-07-14T00:00:00"/>
    <n v="10"/>
  </r>
  <r>
    <s v="Entertainment"/>
    <s v="25-44"/>
    <x v="5"/>
    <s v="Video"/>
    <x v="3"/>
    <s v="Desktop &amp; Mobile"/>
    <s v="Run across OTT"/>
    <s v="Non-Skip| Video 15 Sec "/>
    <s v="CPM"/>
    <s v="MF 25-44| Online Shoppers with 20k+ handsets"/>
    <n v="1500000"/>
    <n v="3.0000000000000001E-3"/>
    <n v="4500"/>
    <n v="0.85"/>
    <n v="1275000"/>
    <n v="200"/>
    <n v="66.666666666666671"/>
    <n v="200"/>
    <n v="300000"/>
    <n v="1.8529505710165362E-2"/>
    <n v="1"/>
    <n v="750000"/>
    <n v="0"/>
    <n v="3051058"/>
    <n v="0.24581636927256054"/>
    <x v="0"/>
    <e v="#DIV/0!"/>
    <n v="2"/>
    <d v="2023-07-05T00:00:00"/>
    <d v="2023-07-14T00:00:00"/>
    <n v="10"/>
  </r>
  <r>
    <s v="Network"/>
    <s v="25-44"/>
    <x v="5"/>
    <s v="Display"/>
    <x v="4"/>
    <s v="Desktop &amp; Mobile"/>
    <s v="Run across Network"/>
    <s v="Banner"/>
    <s v="CPM"/>
    <s v="MF 25-44 | Affinity - Shoppers, Light TV Viewers"/>
    <n v="3732000"/>
    <n v="1.4999999999999999E-2"/>
    <n v="55980"/>
    <n v="0"/>
    <n v="0"/>
    <n v="105"/>
    <n v="7"/>
    <n v="105"/>
    <n v="391860"/>
    <n v="2.4203240358617994E-2"/>
    <n v="1"/>
    <n v="1866000"/>
    <n v="0"/>
    <n v="3110000"/>
    <n v="0.6"/>
    <x v="0"/>
    <e v="#DIV/0!"/>
    <n v="2"/>
    <d v="2023-07-05T00:00:00"/>
    <d v="2023-07-14T00:00:00"/>
    <n v="10"/>
  </r>
  <r>
    <s v="P1 Geos - MF 25-44 - Kolkata"/>
    <m/>
    <x v="0"/>
    <m/>
    <x v="0"/>
    <m/>
    <m/>
    <m/>
    <m/>
    <m/>
    <m/>
    <m/>
    <m/>
    <m/>
    <m/>
    <m/>
    <m/>
    <m/>
    <m/>
    <m/>
    <m/>
    <m/>
    <m/>
    <m/>
    <m/>
    <x v="0"/>
    <m/>
    <m/>
    <m/>
    <m/>
    <m/>
  </r>
  <r>
    <s v="Social"/>
    <s v="25-44"/>
    <x v="6"/>
    <s v="Video"/>
    <x v="1"/>
    <s v="Desktop &amp; Mobile"/>
    <s v="Automatic Placemnets"/>
    <s v="Video 6 second / Link Ad / Carousel"/>
    <s v="CPM (RnF)"/>
    <s v="OBJECTIVE : Brand Awareness | Location: India: Kolkata (+40 km) West Bengal Age: 25-44 Language: English (UK) or English (US) People who match: Interests: Voot, hotstar, Streaming media, Online shopping, Entertainment or Netflix And must also match: Behaviours: Facebook access (mobile): smartphones and tablets"/>
    <n v="6242400"/>
    <n v="1.5E-3"/>
    <n v="9363.6"/>
    <n v="0"/>
    <n v="0"/>
    <n v="70"/>
    <n v="46.666666666666664"/>
    <n v="70"/>
    <n v="436968"/>
    <n v="2.6989336837198459E-2"/>
    <n v="0"/>
    <n v="3121200"/>
    <n v="3121200"/>
    <n v="5202000"/>
    <n v="0.6"/>
    <x v="0"/>
    <e v="#DIV/0!"/>
    <n v="2"/>
    <d v="2023-07-05T00:00:00"/>
    <d v="2023-07-14T00:00:00"/>
    <n v="10"/>
  </r>
  <r>
    <s v="Entertainment"/>
    <s v="25-44"/>
    <x v="6"/>
    <s v="Video"/>
    <x v="2"/>
    <s v="Desktop &amp; Mobile"/>
    <s v="Run On Site"/>
    <s v="Skippable| Video 20 Sec "/>
    <s v="CPV"/>
    <s v="MF 25-44 - Kolkata | Affinity - Shoppers, Light TV Viewers"/>
    <n v="661500"/>
    <n v="2.5000000000000001E-3"/>
    <n v="1653.75"/>
    <n v="0.3"/>
    <n v="198450"/>
    <n v="105"/>
    <n v="42"/>
    <n v="0.35"/>
    <n v="69457.5"/>
    <n v="4.2900438095460356E-3"/>
    <n v="0.85"/>
    <n v="441000"/>
    <n v="66150.000000000015"/>
    <n v="1260000"/>
    <n v="0.35"/>
    <x v="0"/>
    <e v="#DIV/0!"/>
    <n v="1.5"/>
    <d v="2023-07-05T00:00:00"/>
    <d v="2023-07-14T00:00:00"/>
    <n v="10"/>
  </r>
  <r>
    <s v="Entertainment"/>
    <s v="25-44"/>
    <x v="6"/>
    <s v="Video"/>
    <x v="2"/>
    <s v="Desktop &amp; Mobile"/>
    <s v="Run On Site"/>
    <s v="Deals 6 sec Video - Bumper"/>
    <s v="CPM"/>
    <s v="MF 25-44 - Affinity - Shoppers, Light TV Viewers"/>
    <n v="1260000"/>
    <n v="3.0000000000000001E-3"/>
    <n v="3780"/>
    <n v="0.8"/>
    <n v="1008000"/>
    <n v="60"/>
    <n v="20"/>
    <n v="60"/>
    <n v="75600"/>
    <n v="4.6694354389616713E-3"/>
    <n v="0.85"/>
    <n v="630000"/>
    <n v="94500.000000000015"/>
    <n v="1260000"/>
    <n v="0.5"/>
    <x v="0"/>
    <m/>
    <n v="2"/>
    <d v="2023-07-05T00:00:00"/>
    <d v="2023-07-14T00:00:00"/>
    <n v="10"/>
  </r>
  <r>
    <s v="Entertainment"/>
    <s v="25-44"/>
    <x v="6"/>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527651"/>
    <n v="0.32729988721245884"/>
    <x v="0"/>
    <e v="#DIV/0!"/>
    <n v="2"/>
    <d v="2023-07-05T00:00:00"/>
    <d v="2023-07-14T00:00:00"/>
    <n v="10"/>
  </r>
  <r>
    <s v="Network"/>
    <s v="25-44"/>
    <x v="6"/>
    <s v="Display"/>
    <x v="4"/>
    <s v="Desktop &amp; Mobile"/>
    <s v="Run across Network"/>
    <s v="Banner"/>
    <s v="CPM"/>
    <s v="MF 25-44 | Affinity - Shoppers, Light TV Viewers"/>
    <n v="1512000"/>
    <n v="1.4999999999999999E-2"/>
    <n v="22680"/>
    <n v="0"/>
    <n v="0"/>
    <n v="105"/>
    <n v="7"/>
    <n v="105"/>
    <n v="158760"/>
    <n v="9.8058144218195094E-3"/>
    <n v="1"/>
    <n v="756000"/>
    <n v="0"/>
    <n v="1260000"/>
    <n v="0.6"/>
    <x v="0"/>
    <e v="#DIV/0!"/>
    <n v="2"/>
    <d v="2023-07-05T00:00:00"/>
    <d v="2023-07-14T00:00:00"/>
    <n v="10"/>
  </r>
  <r>
    <s v="P1 Geos - MF 25-44 - Pune"/>
    <m/>
    <x v="0"/>
    <m/>
    <x v="0"/>
    <m/>
    <m/>
    <m/>
    <m/>
    <m/>
    <m/>
    <m/>
    <m/>
    <m/>
    <m/>
    <m/>
    <m/>
    <m/>
    <m/>
    <m/>
    <m/>
    <m/>
    <m/>
    <m/>
    <m/>
    <x v="0"/>
    <m/>
    <m/>
    <m/>
    <m/>
    <m/>
  </r>
  <r>
    <s v="Social"/>
    <s v="25-44"/>
    <x v="7"/>
    <s v="Video"/>
    <x v="1"/>
    <s v="Desktop &amp; Mobile"/>
    <s v="Automatic Placemnets"/>
    <s v="Video 6 second / Link Ad / Carousel"/>
    <s v="CPM (RnF)"/>
    <s v="OBJECTIVE : Brand Awareness | Location – Living in: India: Pune (+40 km) Maharashtra Age: 25-44 Language: English (UK) or English (US) People who match: Interests: Voot, hotstar, Streaming media, Online shopping, Entertainment or Netflix And must also match: Behaviours: Facebook access (mobile): smartphones and tablets"/>
    <n v="2692800"/>
    <n v="1.5E-3"/>
    <n v="4039.2000000000003"/>
    <n v="0"/>
    <n v="0"/>
    <n v="70"/>
    <n v="46.666666666666664"/>
    <n v="70"/>
    <n v="188496"/>
    <n v="1.16424590278111E-2"/>
    <n v="0"/>
    <n v="1346400"/>
    <n v="1346400"/>
    <n v="2244000"/>
    <n v="0.6"/>
    <x v="0"/>
    <e v="#DIV/0!"/>
    <n v="2"/>
    <d v="2023-07-05T00:00:00"/>
    <d v="2023-07-14T00:00:00"/>
    <n v="10"/>
  </r>
  <r>
    <s v="Entertainment"/>
    <s v="25-44"/>
    <x v="7"/>
    <s v="Video"/>
    <x v="2"/>
    <s v="Desktop &amp; Mobile"/>
    <s v="Run On Site"/>
    <s v="Skippable| Video 20 Sec "/>
    <s v="CPV"/>
    <s v="MF 25-44 - Pune | Affinity - Shoppers, Light TV Viewers"/>
    <n v="577500"/>
    <n v="2.5000000000000001E-3"/>
    <n v="1443.75"/>
    <n v="0.3"/>
    <n v="173250"/>
    <n v="105"/>
    <n v="42"/>
    <n v="0.35"/>
    <n v="60637.5"/>
    <n v="3.7452763416671734E-3"/>
    <n v="0.85"/>
    <n v="385000"/>
    <n v="57750.000000000007"/>
    <n v="1100000"/>
    <n v="0.35"/>
    <x v="0"/>
    <e v="#DIV/0!"/>
    <n v="1.5"/>
    <d v="2023-07-05T00:00:00"/>
    <d v="2023-07-14T00:00:00"/>
    <n v="10"/>
  </r>
  <r>
    <s v="Entertainment"/>
    <s v="25-44"/>
    <x v="7"/>
    <s v="Video"/>
    <x v="2"/>
    <s v="Desktop &amp; Mobile"/>
    <s v="Run On Site"/>
    <s v="Deals 6 sec Video - Bumper"/>
    <s v="CPM"/>
    <s v="MF 25-44 - Affinity - Shoppers, Light TV Viewers"/>
    <n v="1100000"/>
    <n v="3.0000000000000001E-3"/>
    <n v="3300"/>
    <n v="0.8"/>
    <n v="880000"/>
    <n v="60"/>
    <n v="20"/>
    <n v="60"/>
    <n v="66000"/>
    <n v="4.0764912562363791E-3"/>
    <n v="0.85"/>
    <n v="550000"/>
    <n v="82500.000000000015"/>
    <n v="1100000"/>
    <n v="0.5"/>
    <x v="0"/>
    <m/>
    <n v="2"/>
    <d v="2023-07-05T00:00:00"/>
    <d v="2023-07-14T00:00:00"/>
    <n v="10"/>
  </r>
  <r>
    <s v="Entertainment"/>
    <s v="25-44"/>
    <x v="7"/>
    <s v="Video"/>
    <x v="3"/>
    <s v="Desktop &amp; Mobile"/>
    <s v="Run across OTT"/>
    <s v="Non-Skip| Video 15 Sec "/>
    <s v="CPM"/>
    <s v="MF 25-44| Online Shoppers with 20k+ handsets"/>
    <n v="1000000"/>
    <n v="3.0000000000000001E-3"/>
    <n v="3000"/>
    <n v="0.85"/>
    <n v="850000"/>
    <n v="200"/>
    <n v="66.666666666666671"/>
    <n v="200"/>
    <n v="200000"/>
    <n v="1.2353003806776907E-2"/>
    <n v="1"/>
    <n v="500000"/>
    <n v="0"/>
    <n v="1063709"/>
    <n v="0.47005336985961388"/>
    <x v="0"/>
    <e v="#DIV/0!"/>
    <n v="2"/>
    <d v="2023-07-05T00:00:00"/>
    <d v="2023-07-14T00:00:00"/>
    <n v="10"/>
  </r>
  <r>
    <s v="Network"/>
    <s v="25-44"/>
    <x v="7"/>
    <s v="Display"/>
    <x v="4"/>
    <s v="Desktop &amp; Mobile"/>
    <s v="Run across Network"/>
    <s v="Banner"/>
    <s v="CPM"/>
    <s v="MF 25-44 | Affinity - Shoppers, Light TV Viewers"/>
    <n v="1320000"/>
    <n v="1.4999999999999999E-2"/>
    <n v="19800"/>
    <n v="0"/>
    <n v="0"/>
    <n v="105"/>
    <n v="7"/>
    <n v="105"/>
    <n v="138600"/>
    <n v="8.560631638096396E-3"/>
    <n v="1"/>
    <n v="660000"/>
    <n v="0"/>
    <n v="1100000"/>
    <n v="0.6"/>
    <x v="0"/>
    <e v="#DIV/0!"/>
    <n v="2"/>
    <d v="2023-07-05T00:00:00"/>
    <d v="2023-07-14T00:00:00"/>
    <n v="10"/>
  </r>
  <r>
    <s v="RO C1 Geo - MF 25-44 - Thane &amp; Nagpur (MH geos)"/>
    <m/>
    <x v="0"/>
    <m/>
    <x v="0"/>
    <m/>
    <m/>
    <m/>
    <m/>
    <m/>
    <m/>
    <m/>
    <m/>
    <m/>
    <m/>
    <m/>
    <m/>
    <m/>
    <m/>
    <m/>
    <m/>
    <m/>
    <m/>
    <m/>
    <m/>
    <x v="0"/>
    <m/>
    <m/>
    <m/>
    <m/>
    <m/>
  </r>
  <r>
    <s v="Social"/>
    <s v="25-44"/>
    <x v="8"/>
    <s v="Video"/>
    <x v="1"/>
    <s v="Desktop &amp; Mobile"/>
    <s v="Automatic Placemnets"/>
    <s v="Video 6 second / Link Ad / Carousel"/>
    <s v="CPM (RnF)"/>
    <s v="OBJECTIVE : Brand Awareness | Location – Living in: India: Thane, Nagpur(+40 km) Maharashtra Age: 25-44 Language: English (UK) or English (US) People who match: Interests: Voot, hotstar, Streaming media, Online shopping, Entertainment or Netflix And must also match: Behaviours: Facebook access (mobile): smartphones and tablets"/>
    <n v="7995073.7999999998"/>
    <n v="1.5E-3"/>
    <n v="11992.610699999999"/>
    <n v="0"/>
    <n v="0"/>
    <n v="70"/>
    <n v="46.666666666666664"/>
    <n v="70"/>
    <n v="559655.16599999997"/>
    <n v="3.4567111980401806E-2"/>
    <n v="0"/>
    <n v="3997536.9"/>
    <n v="3997536.9"/>
    <n v="6662561.5"/>
    <n v="0.6"/>
    <x v="0"/>
    <e v="#DIV/0!"/>
    <n v="2"/>
    <d v="2023-07-05T00:00:00"/>
    <d v="2023-07-14T00:00:00"/>
    <n v="10"/>
  </r>
  <r>
    <s v="Entertainment"/>
    <s v="25-44"/>
    <x v="8"/>
    <s v="Video"/>
    <x v="2"/>
    <s v="Desktop &amp; Mobile"/>
    <s v="Run On Site"/>
    <s v="Skippable| Video 20 Sec "/>
    <s v="CPV"/>
    <s v="MF 25-44 - Thane, Nagpur | Affinity - Shoppers, Light TV Viewers"/>
    <n v="1027911.6051271752"/>
    <n v="2.5000000000000001E-3"/>
    <n v="2569.7790128179381"/>
    <n v="0.3"/>
    <n v="308373.48153815256"/>
    <n v="104.99999999999997"/>
    <n v="41.999999999999993"/>
    <n v="0.35"/>
    <n v="107930.71853835338"/>
    <n v="6.6663428848622308E-3"/>
    <n v="0.85"/>
    <n v="685274.40341811685"/>
    <n v="102791.16051271754"/>
    <n v="1957926.8669089051"/>
    <n v="0.35000000000000003"/>
    <x v="0"/>
    <e v="#DIV/0!"/>
    <n v="1.5"/>
    <d v="2023-07-05T00:00:00"/>
    <d v="2023-07-14T00:00:00"/>
    <n v="10"/>
  </r>
  <r>
    <s v="Entertainment"/>
    <s v="25-44"/>
    <x v="8"/>
    <s v="Video"/>
    <x v="2"/>
    <s v="Desktop &amp; Mobile"/>
    <s v="Run On Site"/>
    <s v="Deals 6 sec Video - Bumper"/>
    <s v="CPM"/>
    <s v="MF 25-44 - Affinity - Shoppers, Light TV Viewers"/>
    <n v="1957926.8669089051"/>
    <n v="3.0000000000000001E-3"/>
    <n v="5873.7806007267154"/>
    <n v="0.8"/>
    <n v="1566341.4935271242"/>
    <n v="60.000000000000007"/>
    <n v="20"/>
    <n v="60"/>
    <n v="117475.61201453432"/>
    <n v="7.255883412094947E-3"/>
    <n v="0.85"/>
    <n v="978963.43345445255"/>
    <n v="146844.51501816791"/>
    <n v="1957926.8669089051"/>
    <n v="0.5"/>
    <x v="0"/>
    <m/>
    <n v="2"/>
    <d v="2023-07-05T00:00:00"/>
    <d v="2023-07-14T00:00:00"/>
    <n v="10"/>
  </r>
  <r>
    <s v="Network"/>
    <s v="25-44"/>
    <x v="8"/>
    <s v="Display"/>
    <x v="4"/>
    <s v="Desktop &amp; Mobile"/>
    <s v="Run across Network"/>
    <s v="Banner"/>
    <s v="CPM"/>
    <s v="MF 25-44 | Affinity - Shoppers, Light TV Viewers"/>
    <n v="2349512.240290686"/>
    <n v="1.4999999999999999E-2"/>
    <n v="35242.683604360289"/>
    <n v="0"/>
    <n v="0"/>
    <n v="105.00000000000001"/>
    <n v="7.0000000000000009"/>
    <n v="105"/>
    <n v="246698.78523052204"/>
    <n v="1.5237355165399388E-2"/>
    <n v="1"/>
    <n v="1174756.120145343"/>
    <n v="0"/>
    <n v="1957926.8669089051"/>
    <n v="0.6"/>
    <x v="0"/>
    <e v="#DIV/0!"/>
    <n v="2"/>
    <d v="2023-07-05T00:00:00"/>
    <d v="2023-07-14T00:00:00"/>
    <n v="10"/>
  </r>
  <r>
    <s v="RO C1 - MF 25-44 - Gujarat Cluster geos "/>
    <m/>
    <x v="0"/>
    <m/>
    <x v="0"/>
    <m/>
    <m/>
    <m/>
    <m/>
    <m/>
    <m/>
    <m/>
    <m/>
    <m/>
    <m/>
    <m/>
    <m/>
    <m/>
    <m/>
    <m/>
    <m/>
    <m/>
    <m/>
    <m/>
    <m/>
    <x v="0"/>
    <m/>
    <m/>
    <m/>
    <m/>
    <m/>
  </r>
  <r>
    <s v="Social"/>
    <s v="25-44"/>
    <x v="9"/>
    <s v="Video"/>
    <x v="1"/>
    <s v="Desktop &amp; Mobile"/>
    <s v="Automatic Placemnets"/>
    <s v="Video 6 second / Link Ad / Carousel"/>
    <s v="CPM (RnF)"/>
    <s v="OBJECTIVE : Brand Awareness | Age: 25-44 Language: English (UK) or English (US) People who match: Interests: Voot, hotstar, Streaming media, Online shopping, Entertainment or Netflix_x000a_And must also match:_x000a_Behaviours: Facebook access (mobile): smartphones and tablets"/>
    <n v="7684849.2000000002"/>
    <n v="1.5E-3"/>
    <n v="11527.273800000001"/>
    <n v="0"/>
    <n v="0"/>
    <n v="70"/>
    <n v="46.666666666666664"/>
    <n v="70"/>
    <n v="537939.44400000002"/>
    <n v="3.3225839997737268E-2"/>
    <n v="0"/>
    <n v="3842424.6"/>
    <n v="3842424.6"/>
    <n v="6404041"/>
    <n v="0.6"/>
    <x v="0"/>
    <e v="#DIV/0!"/>
    <n v="2"/>
    <d v="2023-07-05T00:00:00"/>
    <d v="2023-07-14T00:00:00"/>
    <n v="10"/>
  </r>
  <r>
    <s v="Entertainment"/>
    <s v="25-44"/>
    <x v="9"/>
    <s v="Video"/>
    <x v="2"/>
    <s v="Desktop &amp; Mobile"/>
    <s v="Run On Site"/>
    <s v="Skippable| Video 20 Sec "/>
    <s v="CPV"/>
    <s v="MF 25-44 - Affinity - Shoppers, Light TV Viewers"/>
    <n v="1164119.5935049639"/>
    <n v="2.5000000000000001E-3"/>
    <n v="2910.29898376241"/>
    <n v="0.3"/>
    <n v="349235.87805148913"/>
    <n v="104.99999999999999"/>
    <n v="41.999999999999993"/>
    <n v="0.35"/>
    <n v="122232.55731802119"/>
    <n v="7.5496962293079613E-3"/>
    <n v="0.85"/>
    <n v="776079.72900330927"/>
    <n v="116411.95935049641"/>
    <n v="2217370.6542951693"/>
    <n v="0.35000000000000003"/>
    <x v="0"/>
    <e v="#DIV/0!"/>
    <n v="1.5"/>
    <d v="2023-07-05T00:00:00"/>
    <d v="2023-07-14T00:00:00"/>
    <n v="10"/>
  </r>
  <r>
    <s v="Entertainment"/>
    <s v="25-44"/>
    <x v="9"/>
    <s v="Video"/>
    <x v="2"/>
    <s v="Desktop &amp; Mobile"/>
    <s v="Run On Site"/>
    <s v="Deals 6 sec Video - Bumper"/>
    <s v="CPM"/>
    <s v="MF 25-44 - Affinity - Shoppers, Light TV Viewers"/>
    <n v="2217370.6542951697"/>
    <n v="3.0000000000000001E-3"/>
    <n v="6652.1119628855095"/>
    <n v="0.8"/>
    <n v="1773896.5234361358"/>
    <n v="59.999999999999986"/>
    <n v="19.999999999999996"/>
    <n v="60"/>
    <n v="133042.23925771017"/>
    <n v="8.2173564400630887E-3"/>
    <n v="0.85"/>
    <n v="1108685.3271475849"/>
    <n v="166302.79907213774"/>
    <n v="2217370.6542951693"/>
    <n v="0.50000000000000011"/>
    <x v="0"/>
    <m/>
    <n v="2"/>
    <d v="2023-07-05T00:00:00"/>
    <d v="2023-07-14T00:00:00"/>
    <n v="10"/>
  </r>
  <r>
    <s v="Network"/>
    <s v="25-44"/>
    <x v="9"/>
    <s v="Display"/>
    <x v="4"/>
    <s v="Desktop &amp; Mobile"/>
    <s v="Run across Network"/>
    <s v="Banner"/>
    <s v="CPM"/>
    <s v="MF 25-44 | Affinity - Shoppers, Light TV Viewers"/>
    <n v="2660844.785154203"/>
    <n v="1.4999999999999999E-2"/>
    <n v="39912.671777313044"/>
    <n v="0"/>
    <n v="0"/>
    <n v="105"/>
    <n v="7"/>
    <n v="105"/>
    <n v="279388.7024411913"/>
    <n v="1.7256448524132485E-2"/>
    <n v="1"/>
    <n v="1330422.3925771015"/>
    <n v="0"/>
    <n v="2217370.6542951693"/>
    <n v="0.6"/>
    <x v="0"/>
    <e v="#DIV/0!"/>
    <n v="2"/>
    <d v="2023-07-05T00:00:00"/>
    <d v="2023-07-14T00:00:00"/>
    <n v="10"/>
  </r>
  <r>
    <s v="RO C1 - MF 25-44 - Bhubaneswar, Lucknow"/>
    <m/>
    <x v="0"/>
    <m/>
    <x v="0"/>
    <m/>
    <m/>
    <m/>
    <m/>
    <m/>
    <m/>
    <m/>
    <m/>
    <m/>
    <m/>
    <m/>
    <m/>
    <m/>
    <m/>
    <m/>
    <m/>
    <m/>
    <m/>
    <m/>
    <m/>
    <x v="0"/>
    <m/>
    <m/>
    <m/>
    <m/>
    <m/>
  </r>
  <r>
    <s v="Social"/>
    <s v="25-44"/>
    <x v="10"/>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2713704"/>
    <n v="1.5E-3"/>
    <n v="4070.556"/>
    <n v="0"/>
    <n v="0"/>
    <n v="70"/>
    <n v="46.666666666666664"/>
    <n v="70"/>
    <n v="189959.28"/>
    <n v="1.1732838544863003E-2"/>
    <n v="0"/>
    <n v="1356852"/>
    <n v="1356852"/>
    <n v="2261420"/>
    <n v="0.6"/>
    <x v="0"/>
    <e v="#DIV/0!"/>
    <n v="2"/>
    <d v="2023-07-05T00:00:00"/>
    <d v="2023-07-14T00:00:00"/>
    <n v="10"/>
  </r>
  <r>
    <s v="Entertainment"/>
    <s v="25-44"/>
    <x v="10"/>
    <s v="Video"/>
    <x v="2"/>
    <s v="Desktop &amp; Mobile"/>
    <s v="Run On Site"/>
    <s v="Skippable| Video 20 Sec "/>
    <s v="CPV"/>
    <s v="MF 25-44| Affinity - Shoppers, Light TV Viewers"/>
    <n v="549132.14876721543"/>
    <n v="2.5000000000000001E-3"/>
    <n v="1372.8303719180385"/>
    <n v="0.3"/>
    <n v="164739.64463016464"/>
    <n v="105"/>
    <n v="42"/>
    <n v="0.35"/>
    <n v="57658.875620557621"/>
    <n v="3.5613015501761223E-3"/>
    <n v="0.85"/>
    <n v="366088.0991781436"/>
    <n v="54913.214876721548"/>
    <n v="1045965.997651839"/>
    <n v="0.34999999999999992"/>
    <x v="0"/>
    <e v="#DIV/0!"/>
    <n v="1.5"/>
    <d v="2023-07-05T00:00:00"/>
    <d v="2023-07-14T00:00:00"/>
    <n v="10"/>
  </r>
  <r>
    <s v="Entertainment"/>
    <s v="25-44"/>
    <x v="10"/>
    <s v="Video"/>
    <x v="2"/>
    <s v="Desktop &amp; Mobile"/>
    <s v="Run On Site"/>
    <s v="Deals 6 sec Video - Bumper"/>
    <s v="CPM"/>
    <s v="MF 25-44 - Affinity - Shoppers, Light TV Viewers"/>
    <n v="1045965.997651839"/>
    <n v="3.0000000000000001E-3"/>
    <n v="3137.8979929555171"/>
    <n v="0.8"/>
    <n v="836772.79812147131"/>
    <n v="60.000000000000007"/>
    <n v="20"/>
    <n v="60"/>
    <n v="62757.959859110342"/>
    <n v="3.8762465852257119E-3"/>
    <n v="0.85"/>
    <n v="522982.99882591952"/>
    <n v="78447.449823887946"/>
    <n v="1045965.997651839"/>
    <n v="0.5"/>
    <x v="0"/>
    <m/>
    <n v="2"/>
    <d v="2023-07-05T00:00:00"/>
    <d v="2023-07-14T00:00:00"/>
    <n v="10"/>
  </r>
  <r>
    <s v="Network"/>
    <s v="25-44"/>
    <x v="10"/>
    <s v="Display"/>
    <x v="4"/>
    <s v="Desktop &amp; Mobile"/>
    <s v="Run across Network"/>
    <s v="Banner"/>
    <s v="CPM"/>
    <s v="MF 25-44 | Affinity - Shoppers, Light TV Viewers"/>
    <n v="1255159.1971822069"/>
    <n v="1.4999999999999999E-2"/>
    <n v="18827.387957733103"/>
    <n v="0"/>
    <n v="0"/>
    <n v="105"/>
    <n v="7"/>
    <n v="105"/>
    <n v="131791.71570413173"/>
    <n v="8.1401178289739959E-3"/>
    <n v="1"/>
    <n v="627579.59859110345"/>
    <n v="0"/>
    <n v="1045965.997651839"/>
    <n v="0.6"/>
    <x v="0"/>
    <e v="#DIV/0!"/>
    <n v="2"/>
    <d v="2023-07-05T00:00:00"/>
    <d v="2023-07-14T00:00:00"/>
    <n v="10"/>
  </r>
  <r>
    <s v="RO C1- MF 25-44 - Chandigarh, Jaipur"/>
    <m/>
    <x v="0"/>
    <m/>
    <x v="0"/>
    <m/>
    <m/>
    <m/>
    <m/>
    <m/>
    <m/>
    <m/>
    <m/>
    <m/>
    <m/>
    <m/>
    <m/>
    <m/>
    <m/>
    <m/>
    <m/>
    <m/>
    <m/>
    <m/>
    <m/>
    <x v="0"/>
    <m/>
    <m/>
    <m/>
    <m/>
    <m/>
  </r>
  <r>
    <s v="Social"/>
    <s v="25-44"/>
    <x v="11"/>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2801400"/>
    <n v="1.5E-3"/>
    <n v="4202.1000000000004"/>
    <n v="0"/>
    <n v="0"/>
    <n v="70"/>
    <n v="46.666666666666664"/>
    <n v="70"/>
    <n v="196098"/>
    <n v="1.211199670250669E-2"/>
    <n v="0"/>
    <n v="1400700"/>
    <n v="1400700"/>
    <n v="2334500"/>
    <n v="0.6"/>
    <x v="0"/>
    <e v="#DIV/0!"/>
    <n v="2"/>
    <d v="2023-07-05T00:00:00"/>
    <d v="2023-07-14T00:00:00"/>
    <n v="10"/>
  </r>
  <r>
    <s v="Entertainment"/>
    <s v="25-44"/>
    <x v="11"/>
    <s v="Video"/>
    <x v="2"/>
    <s v="Desktop &amp; Mobile"/>
    <s v="Run On Site"/>
    <s v="Skippable| Video 20 Sec "/>
    <s v="CPV"/>
    <s v="MF 25-44| Affinity - Shoppers, Light TV Viewers"/>
    <n v="816915.27768290206"/>
    <n v="2.5000000000000001E-3"/>
    <n v="2042.2881942072552"/>
    <n v="0.3"/>
    <n v="245074.58330487061"/>
    <n v="104.99999999999999"/>
    <n v="41.999999999999993"/>
    <n v="0.35"/>
    <n v="85776.104156704707"/>
    <n v="5.2979627058913287E-3"/>
    <n v="0.85"/>
    <n v="544610.18512193474"/>
    <n v="81691.527768290223"/>
    <n v="1556029.1003483846"/>
    <n v="0.35000000000000009"/>
    <x v="0"/>
    <e v="#DIV/0!"/>
    <n v="1.5"/>
    <d v="2023-07-05T00:00:00"/>
    <d v="2023-07-14T00:00:00"/>
    <n v="10"/>
  </r>
  <r>
    <s v="Entertainment"/>
    <s v="25-44"/>
    <x v="11"/>
    <s v="Video"/>
    <x v="2"/>
    <s v="Desktop &amp; Mobile"/>
    <s v="Run On Site"/>
    <s v="Deals 6 sec Video - Bumper"/>
    <s v="CPM"/>
    <s v="MF 25-44 - Affinity - Shoppers, Light TV Viewers"/>
    <n v="1556029.1003483846"/>
    <n v="3.0000000000000001E-3"/>
    <n v="4668.0873010451542"/>
    <n v="0.8"/>
    <n v="1244823.2802787076"/>
    <n v="60"/>
    <n v="20"/>
    <n v="60"/>
    <n v="93361.746020903083"/>
    <n v="5.766490020017773E-3"/>
    <n v="0.85"/>
    <n v="778014.55017419229"/>
    <n v="116702.18252612886"/>
    <n v="1556029.1003483846"/>
    <n v="0.5"/>
    <x v="0"/>
    <m/>
    <n v="2"/>
    <d v="2023-07-05T00:00:00"/>
    <d v="2023-07-14T00:00:00"/>
    <n v="10"/>
  </r>
  <r>
    <s v="Network"/>
    <s v="25-44"/>
    <x v="11"/>
    <s v="Display"/>
    <x v="4"/>
    <s v="Desktop &amp; Mobile"/>
    <s v="Run across Network"/>
    <s v="Banner"/>
    <s v="CPM"/>
    <s v="MF 25-44 | Affinity - Shoppers, Light TV Viewers"/>
    <n v="1867234.9204180615"/>
    <n v="1.4999999999999999E-2"/>
    <n v="28008.523806270921"/>
    <n v="0"/>
    <n v="0"/>
    <n v="105"/>
    <n v="7"/>
    <n v="105"/>
    <n v="196059.66664389646"/>
    <n v="1.2109629042037322E-2"/>
    <n v="1"/>
    <n v="933617.46020903077"/>
    <n v="0"/>
    <n v="1556029.1003483846"/>
    <n v="0.6"/>
    <x v="0"/>
    <e v="#DIV/0!"/>
    <n v="2"/>
    <d v="2023-07-05T00:00:00"/>
    <d v="2023-07-14T00:00:00"/>
    <n v="10"/>
  </r>
  <r>
    <s v="RO C1- MF 25-44 - Indore,Patna"/>
    <m/>
    <x v="0"/>
    <m/>
    <x v="0"/>
    <m/>
    <m/>
    <m/>
    <m/>
    <m/>
    <m/>
    <m/>
    <m/>
    <m/>
    <m/>
    <m/>
    <m/>
    <m/>
    <m/>
    <m/>
    <m/>
    <m/>
    <m/>
    <m/>
    <m/>
    <x v="0"/>
    <m/>
    <m/>
    <m/>
    <m/>
    <m/>
  </r>
  <r>
    <s v="Social"/>
    <s v="25-44"/>
    <x v="12"/>
    <s v="Video"/>
    <x v="1"/>
    <s v="Desktop &amp; Mobile"/>
    <s v="Automatic Placemnets"/>
    <s v="Video 6 second / Link Ad / Carousel"/>
    <s v="CPM (RnF)"/>
    <s v="OBJECTIVE : Brand Awareness | Location – Living in: India:  Indore,Patna Age: 25-44 Language: English (UK) or English (US) People who match: Interests: Voot, hotstar, Streaming media, Online shopping, Entertainment or Netflix_x000a_And must also match:_x000a_Behaviours: Facebook access (mobile): smartphones and tablets"/>
    <n v="2112012"/>
    <n v="1.5E-3"/>
    <n v="3168.018"/>
    <n v="0"/>
    <n v="0"/>
    <n v="69.999999999999986"/>
    <n v="46.666666666666664"/>
    <n v="70"/>
    <n v="147840.84"/>
    <n v="9.1313922965854787E-3"/>
    <n v="0"/>
    <n v="1056006"/>
    <n v="1056006"/>
    <n v="1760010"/>
    <n v="0.6"/>
    <x v="0"/>
    <e v="#DIV/0!"/>
    <n v="2"/>
    <d v="2023-07-05T00:00:00"/>
    <d v="2023-07-14T00:00:00"/>
    <n v="10"/>
  </r>
  <r>
    <s v="Entertainment"/>
    <s v="25-44"/>
    <x v="12"/>
    <s v="Video"/>
    <x v="2"/>
    <s v="Desktop &amp; Mobile"/>
    <s v="Run On Site"/>
    <s v="Skippable| Video 20 Sec "/>
    <s v="CPV"/>
    <s v="MF 25-44 -  Indore,Patna | Affinity - Shoppers, Light TV Viewers"/>
    <n v="356384.17500000005"/>
    <n v="2.5000000000000001E-3"/>
    <n v="890.96043750000013"/>
    <n v="0.3"/>
    <n v="106915.2525"/>
    <n v="104.99999999999999"/>
    <n v="41.999999999999993"/>
    <n v="0.35"/>
    <n v="37420.338374999999"/>
    <n v="2.3112679119862748E-3"/>
    <n v="0.85"/>
    <n v="237589.45000000004"/>
    <n v="35638.41750000001"/>
    <n v="678827"/>
    <n v="0.35000000000000003"/>
    <x v="0"/>
    <e v="#DIV/0!"/>
    <n v="1.5"/>
    <d v="2023-07-05T00:00:00"/>
    <d v="2023-07-14T00:00:00"/>
    <n v="10"/>
  </r>
  <r>
    <s v="Entertainment"/>
    <s v="25-44"/>
    <x v="12"/>
    <s v="Video"/>
    <x v="2"/>
    <s v="Desktop &amp; Mobile"/>
    <s v="Run On Site"/>
    <s v="Deals 6 sec Video - Bumper"/>
    <s v="CPM"/>
    <s v="MF 25-44 - Affinity - Shoppers, Light TV Viewers"/>
    <n v="678827"/>
    <n v="3.0000000000000001E-3"/>
    <n v="2036.481"/>
    <n v="0.8"/>
    <n v="543061.6"/>
    <n v="60.000000000000007"/>
    <n v="20"/>
    <n v="60"/>
    <n v="40729.620000000003"/>
    <n v="2.5156657545428846E-3"/>
    <n v="0.85"/>
    <n v="339413.5"/>
    <n v="50912.025000000009"/>
    <n v="678827"/>
    <n v="0.5"/>
    <x v="0"/>
    <m/>
    <n v="2"/>
    <d v="2023-07-05T00:00:00"/>
    <d v="2023-07-14T00:00:00"/>
    <n v="10"/>
  </r>
  <r>
    <s v="Network"/>
    <s v="25-44"/>
    <x v="12"/>
    <s v="Display"/>
    <x v="4"/>
    <s v="Desktop &amp; Mobile"/>
    <s v="Run across Network"/>
    <s v="Banner"/>
    <s v="CPM"/>
    <s v="MF 25-44 | Affinity - Shoppers, Light TV Viewers"/>
    <n v="814592.4"/>
    <n v="1.4999999999999999E-2"/>
    <n v="12218.886"/>
    <n v="0"/>
    <n v="0"/>
    <n v="105"/>
    <n v="7"/>
    <n v="105"/>
    <n v="85532.202000000005"/>
    <n v="5.2828980845400575E-3"/>
    <n v="1"/>
    <n v="407296.2"/>
    <n v="0"/>
    <n v="678827"/>
    <n v="0.6"/>
    <x v="0"/>
    <e v="#DIV/0!"/>
    <n v="2"/>
    <d v="2023-07-05T00:00:00"/>
    <d v="2023-07-14T00:00:00"/>
    <n v="10"/>
  </r>
  <r>
    <s v="RO C1 - MF 25-44 -Coimbatore, Vizag"/>
    <m/>
    <x v="0"/>
    <m/>
    <x v="0"/>
    <m/>
    <m/>
    <m/>
    <m/>
    <m/>
    <m/>
    <m/>
    <m/>
    <m/>
    <m/>
    <m/>
    <m/>
    <m/>
    <m/>
    <m/>
    <m/>
    <m/>
    <m/>
    <m/>
    <m/>
    <x v="0"/>
    <m/>
    <m/>
    <m/>
    <m/>
    <m/>
  </r>
  <r>
    <s v="Social"/>
    <s v="25-44"/>
    <x v="13"/>
    <s v="Video"/>
    <x v="1"/>
    <s v="Desktop &amp; Mobile"/>
    <s v="Automatic Placemnets"/>
    <s v="Video 6 second / Link Ad / Carousel"/>
    <s v="CPM (RnF)"/>
    <s v="OBJECTIVE : Brand Awareness | Location: India: Coimbatore, Vizag Age:25-44 Language: English (UK) or English (US) People who match: Interests: Voot, hotstar, Streaming media, Online shopping, Entertainment or Netflix_x000a_And must also match:_x000a_Behaviours: Facebook access (mobile): smartphones and tablets"/>
    <n v="1711338.7199999997"/>
    <n v="1.5E-3"/>
    <n v="2567.0080799999996"/>
    <n v="0"/>
    <n v="0"/>
    <n v="70"/>
    <n v="46.666666666666664"/>
    <n v="70"/>
    <n v="119793.71039999998"/>
    <n v="7.3990608029956507E-3"/>
    <n v="0"/>
    <n v="855669.35999999987"/>
    <n v="855669.35999999987"/>
    <n v="1426115.5999999999"/>
    <n v="0.6"/>
    <x v="0"/>
    <e v="#DIV/0!"/>
    <n v="2"/>
    <d v="2023-07-05T00:00:00"/>
    <d v="2023-07-14T00:00:00"/>
    <n v="10"/>
  </r>
  <r>
    <s v="Entertainment"/>
    <s v="25-44"/>
    <x v="13"/>
    <s v="Video"/>
    <x v="2"/>
    <s v="Desktop &amp; Mobile"/>
    <s v="Run On Site"/>
    <s v="Skippable| Video 20 Sec "/>
    <s v="CPV"/>
    <s v="MF 25-44 - Kochi, Coimbatore, Vizag | Affinity - Shoppers, Light TV Viewers"/>
    <n v="371822.90249999997"/>
    <n v="2.5000000000000001E-3"/>
    <n v="929.55725624999991"/>
    <n v="0.3"/>
    <n v="111546.87074999999"/>
    <n v="105"/>
    <n v="42"/>
    <n v="0.35"/>
    <n v="39041.404762499995"/>
    <n v="2.4113931082654027E-3"/>
    <n v="0.85"/>
    <n v="247881.93499999997"/>
    <n v="37182.290249999998"/>
    <n v="708234.1"/>
    <n v="0.35"/>
    <x v="0"/>
    <e v="#DIV/0!"/>
    <n v="1.5"/>
    <d v="2023-07-05T00:00:00"/>
    <d v="2023-07-14T00:00:00"/>
    <n v="10"/>
  </r>
  <r>
    <s v="Entertainment"/>
    <s v="25-44"/>
    <x v="13"/>
    <s v="Video"/>
    <x v="2"/>
    <s v="Desktop &amp; Mobile"/>
    <s v="Run On Site"/>
    <s v="Deals 6 sec Video - Bumper"/>
    <s v="CPM"/>
    <s v="MF 25-44 - Affinity - Shoppers, Light TV Viewers"/>
    <n v="708234.1"/>
    <n v="3.0000000000000001E-3"/>
    <n v="2124.7022999999999"/>
    <n v="0.8"/>
    <n v="566587.28"/>
    <n v="60"/>
    <n v="20"/>
    <n v="60"/>
    <n v="42494.046000000002"/>
    <n v="2.6246455600167653E-3"/>
    <n v="0.85"/>
    <n v="354117.05"/>
    <n v="53117.557500000003"/>
    <n v="708234.1"/>
    <n v="0.5"/>
    <x v="0"/>
    <m/>
    <n v="2"/>
    <d v="2023-07-05T00:00:00"/>
    <d v="2023-07-14T00:00:00"/>
    <n v="10"/>
  </r>
  <r>
    <s v="Network"/>
    <s v="25-44"/>
    <x v="13"/>
    <s v="Display"/>
    <x v="4"/>
    <s v="Desktop &amp; Mobile"/>
    <s v="Run across Network"/>
    <s v="Banner"/>
    <s v="CPM"/>
    <s v="MF 25-44 | Affinity - Shoppers, Light TV Viewers"/>
    <n v="849880.91999999993"/>
    <n v="1.4999999999999999E-2"/>
    <n v="12748.213799999998"/>
    <n v="0"/>
    <n v="0"/>
    <n v="105"/>
    <n v="7.0000000000000009"/>
    <n v="105"/>
    <n v="89237.496599999999"/>
    <n v="5.5117556760352062E-3"/>
    <n v="1"/>
    <n v="424940.45999999996"/>
    <n v="0"/>
    <n v="708234.1"/>
    <n v="0.6"/>
    <x v="0"/>
    <e v="#DIV/0!"/>
    <n v="2"/>
    <d v="2023-07-05T00:00:00"/>
    <d v="2023-07-14T00:00:00"/>
    <n v="10"/>
  </r>
  <r>
    <s v="RO C1- MF 25-44 - Kochi"/>
    <m/>
    <x v="0"/>
    <m/>
    <x v="0"/>
    <m/>
    <m/>
    <m/>
    <m/>
    <m/>
    <m/>
    <m/>
    <m/>
    <m/>
    <m/>
    <m/>
    <m/>
    <m/>
    <m/>
    <m/>
    <m/>
    <m/>
    <m/>
    <m/>
    <m/>
    <x v="0"/>
    <m/>
    <m/>
    <m/>
    <m/>
    <m/>
  </r>
  <r>
    <s v="Social"/>
    <s v="25-44"/>
    <x v="14"/>
    <s v="Video"/>
    <x v="1"/>
    <s v="Desktop &amp; Mobile"/>
    <s v="Automatic Placemnets"/>
    <s v="Video 6 second / Link Ad / Carousel"/>
    <s v="CPM (RnF)"/>
    <s v="OBJECTIVE : Brand Awareness | Location: India: Kochi Age:25-44 Language: English (UK) or English (US) People who match: Interests: Voot, hotstar, Streaming media, Online shopping, Entertainment or Netflix_x000a_And must also match:_x000a_Behaviours: Facebook access (mobile): smartphones and tablets"/>
    <n v="733430.88"/>
    <n v="1.5E-3"/>
    <n v="1100.1463200000001"/>
    <n v="0"/>
    <n v="0"/>
    <n v="70"/>
    <n v="46.666666666666664"/>
    <n v="70"/>
    <n v="51340.161599999999"/>
    <n v="3.1710260584267079E-3"/>
    <n v="0"/>
    <n v="366715.44"/>
    <n v="366715.44"/>
    <n v="611192.4"/>
    <n v="0.6"/>
    <x v="0"/>
    <e v="#DIV/0!"/>
    <n v="2"/>
    <d v="2023-07-05T00:00:00"/>
    <d v="2023-07-14T00:00:00"/>
    <n v="10"/>
  </r>
  <r>
    <s v="Entertainment"/>
    <s v="25-44"/>
    <x v="14"/>
    <s v="Video"/>
    <x v="2"/>
    <s v="Desktop &amp; Mobile"/>
    <s v="Run On Site"/>
    <s v="Skippable| Video 20 Sec "/>
    <s v="CPV"/>
    <s v="MF 25-44 - Kochi, Coimbatore, Vizag | Affinity - Shoppers, Light TV Viewers"/>
    <n v="159352.67249999999"/>
    <n v="2.5000000000000001E-3"/>
    <n v="398.38168124999999"/>
    <n v="0.3"/>
    <n v="47805.801749999991"/>
    <n v="104.99999999999999"/>
    <n v="41.999999999999993"/>
    <n v="0.35"/>
    <n v="16732.030612499995"/>
    <n v="1.0334541892566009E-3"/>
    <n v="0.85"/>
    <n v="106235.11499999999"/>
    <n v="15935.267250000001"/>
    <n v="303528.89999999997"/>
    <n v="0.35000000000000003"/>
    <x v="0"/>
    <e v="#DIV/0!"/>
    <n v="1.5"/>
    <d v="2023-07-05T00:00:00"/>
    <d v="2023-07-14T00:00:00"/>
    <n v="10"/>
  </r>
  <r>
    <s v="Entertainment"/>
    <s v="25-44"/>
    <x v="14"/>
    <s v="Video"/>
    <x v="2"/>
    <s v="Desktop &amp; Mobile"/>
    <s v="Run On Site"/>
    <s v="Deals 6 sec Video - Bumper"/>
    <s v="CPM"/>
    <s v="MF 25-44 - Affinity - Shoppers, Light TV Viewers"/>
    <n v="303528.89999999997"/>
    <n v="3.0000000000000001E-3"/>
    <n v="910.58669999999995"/>
    <n v="0.8"/>
    <n v="242823.12"/>
    <n v="59.999999999999993"/>
    <n v="19.999999999999996"/>
    <n v="60"/>
    <n v="18211.733999999997"/>
    <n v="1.124848097150042E-3"/>
    <n v="0.85"/>
    <n v="151764.44999999998"/>
    <n v="22764.6675"/>
    <n v="303528.89999999997"/>
    <n v="0.5"/>
    <x v="0"/>
    <m/>
    <n v="2"/>
    <d v="2023-07-05T00:00:00"/>
    <d v="2023-07-14T00:00:00"/>
    <n v="10"/>
  </r>
  <r>
    <s v="Network"/>
    <s v="25-44"/>
    <x v="14"/>
    <s v="Display"/>
    <x v="4"/>
    <s v="Desktop &amp; Mobile"/>
    <s v="Run across Network"/>
    <s v="Banner"/>
    <s v="CPM"/>
    <s v="MF 25-44 | Affinity - Shoppers, Light TV Viewers"/>
    <n v="364234.67999999993"/>
    <n v="1.4999999999999999E-2"/>
    <n v="5463.520199999999"/>
    <n v="0"/>
    <n v="0"/>
    <n v="105"/>
    <n v="7"/>
    <n v="105"/>
    <n v="38244.641399999993"/>
    <n v="2.3621810040150883E-3"/>
    <n v="1"/>
    <n v="182117.33999999997"/>
    <n v="0"/>
    <n v="303528.89999999997"/>
    <n v="0.6"/>
    <x v="0"/>
    <e v="#DIV/0!"/>
    <n v="2"/>
    <d v="2023-07-05T00:00:00"/>
    <d v="2023-07-14T00:00:00"/>
    <n v="10"/>
  </r>
  <r>
    <s v="Cord Cutters"/>
    <m/>
    <x v="0"/>
    <m/>
    <x v="0"/>
    <m/>
    <m/>
    <m/>
    <m/>
    <m/>
    <m/>
    <m/>
    <m/>
    <m/>
    <m/>
    <m/>
    <m/>
    <m/>
    <m/>
    <m/>
    <m/>
    <m/>
    <m/>
    <m/>
    <m/>
    <x v="0"/>
    <m/>
    <m/>
    <m/>
    <m/>
    <m/>
  </r>
  <r>
    <s v="Entertainment"/>
    <s v="25-44"/>
    <x v="15"/>
    <s v="Video"/>
    <x v="2"/>
    <s v="CTV"/>
    <s v="Run On Site"/>
    <s v="Skippable| Video 20 Sec "/>
    <s v="CPM"/>
    <s v="MF 25-44 - Metros | Affinity - Shoppers, Light TV Viewers"/>
    <n v="2550000"/>
    <n v="0"/>
    <n v="0"/>
    <n v="0.2"/>
    <n v="510000"/>
    <n v="150"/>
    <e v="#DIV/0!"/>
    <n v="150"/>
    <n v="382500"/>
    <n v="2.3625119780460835E-2"/>
    <n v="1"/>
    <n v="1700000"/>
    <n v="0"/>
    <n v="17000000"/>
    <n v="0.1"/>
    <x v="0"/>
    <e v="#DIV/0!"/>
    <n v="1.5"/>
    <d v="2023-07-05T00:00:00"/>
    <d v="2023-07-14T00:00:00"/>
    <n v="10"/>
  </r>
  <r>
    <s v="Entertainment"/>
    <s v="25-44"/>
    <x v="15"/>
    <s v="Video"/>
    <x v="2"/>
    <s v="CTV"/>
    <s v="Run On Site"/>
    <s v="Deals 6 sec Video - Bumper"/>
    <s v="CPM"/>
    <s v="MF 25-44 - Metros | Affinity - Shoppers, Light TV Viewers"/>
    <n v="3400000"/>
    <n v="0"/>
    <n v="0"/>
    <n v="0.75"/>
    <n v="2550000"/>
    <n v="110"/>
    <e v="#DIV/0!"/>
    <n v="110"/>
    <n v="374000"/>
    <n v="2.3100117118672818E-2"/>
    <n v="1"/>
    <n v="1700000"/>
    <n v="0"/>
    <n v="17000000"/>
    <n v="0.1"/>
    <x v="0"/>
    <e v="#DIV/0!"/>
    <n v="2"/>
    <d v="2023-07-05T00:00:00"/>
    <d v="2023-07-14T00:00:00"/>
    <n v="10"/>
  </r>
  <r>
    <s v="Entertainment"/>
    <s v="25-44"/>
    <x v="16"/>
    <s v="Video"/>
    <x v="2"/>
    <s v="CTV"/>
    <s v="Run On Site"/>
    <s v="Skippable| Video 20 Sec "/>
    <s v="CPM"/>
    <s v="MF 25-44 - RO C1 | Affinity - Shoppers, Light TV Viewers"/>
    <n v="889127.71499999973"/>
    <n v="0"/>
    <n v="0"/>
    <n v="0.2"/>
    <n v="177825.54299999995"/>
    <n v="150"/>
    <e v="#DIV/0!"/>
    <n v="150"/>
    <n v="133369.15724999996"/>
    <n v="8.2375485360793865E-3"/>
    <n v="1"/>
    <n v="592751.80999999982"/>
    <n v="0"/>
    <n v="5927518.0999999996"/>
    <n v="9.9999999999999978E-2"/>
    <x v="0"/>
    <e v="#DIV/0!"/>
    <n v="1.5"/>
    <d v="2023-07-05T00:00:00"/>
    <d v="2023-07-14T00:00:00"/>
    <n v="10"/>
  </r>
  <r>
    <s v="Entertainment"/>
    <s v="25-44"/>
    <x v="16"/>
    <s v="Video"/>
    <x v="2"/>
    <s v="CTV"/>
    <s v="Run On Site"/>
    <s v="Deals 6 sec Video - Bumper"/>
    <s v="CPM"/>
    <s v="MF 25-44 - RO C1 - Shoppers, Light TV Viewers"/>
    <n v="1185503.6199999999"/>
    <n v="0"/>
    <n v="0"/>
    <n v="0.75"/>
    <n v="889127.71499999985"/>
    <n v="109.99999999999999"/>
    <e v="#DIV/0!"/>
    <n v="110"/>
    <n v="130405.39819999998"/>
    <n v="8.0544919019442905E-3"/>
    <n v="1"/>
    <n v="592751.80999999994"/>
    <n v="0"/>
    <n v="5927518.0999999996"/>
    <n v="9.9999999999999992E-2"/>
    <x v="0"/>
    <e v="#DIV/0!"/>
    <n v="2"/>
    <d v="2023-07-05T00:00:00"/>
    <d v="2023-07-14T00:00:00"/>
    <n v="10"/>
  </r>
  <r>
    <s v="Affluent Streamers"/>
    <m/>
    <x v="0"/>
    <m/>
    <x v="0"/>
    <m/>
    <m/>
    <m/>
    <m/>
    <m/>
    <m/>
    <m/>
    <m/>
    <m/>
    <m/>
    <m/>
    <m/>
    <m/>
    <m/>
    <m/>
    <m/>
    <m/>
    <m/>
    <m/>
    <m/>
    <x v="0"/>
    <m/>
    <m/>
    <m/>
    <m/>
    <m/>
  </r>
  <r>
    <s v="Entertainment"/>
    <s v="25-44"/>
    <x v="16"/>
    <s v="Video"/>
    <x v="3"/>
    <s v="Desktop &amp; Mobile"/>
    <s v="Run across OTT"/>
    <s v="Non-Skip| Video 6 Sec "/>
    <s v="CPM"/>
    <s v="MF 25-44| Online Shoppers with 20k+ handsets"/>
    <n v="3500000"/>
    <n v="3.0000000000000001E-3"/>
    <n v="10500"/>
    <n v="0.85"/>
    <n v="2975000"/>
    <n v="100"/>
    <n v="33.333333333333336"/>
    <n v="100"/>
    <n v="350000"/>
    <n v="2.1617756661859586E-2"/>
    <n v="1"/>
    <n v="1750000"/>
    <n v="0"/>
    <n v="5000000"/>
    <n v="0.35"/>
    <x v="0"/>
    <e v="#DIV/0!"/>
    <n v="2"/>
    <d v="2023-07-05T00:00:00"/>
    <d v="2023-07-14T00:00:00"/>
    <n v="10"/>
  </r>
  <r>
    <s v="Not yet Prime"/>
    <m/>
    <x v="0"/>
    <m/>
    <x v="0"/>
    <m/>
    <m/>
    <m/>
    <m/>
    <m/>
    <m/>
    <m/>
    <m/>
    <m/>
    <m/>
    <m/>
    <m/>
    <m/>
    <m/>
    <m/>
    <m/>
    <m/>
    <m/>
    <m/>
    <m/>
    <x v="0"/>
    <m/>
    <m/>
    <m/>
    <m/>
    <m/>
  </r>
  <r>
    <s v="Entertainment"/>
    <s v="25-44"/>
    <x v="17"/>
    <s v="Video"/>
    <x v="5"/>
    <s v="Desktop &amp; Mobile"/>
    <s v="Run On Site(Binge)"/>
    <s v="Infeed| Video 15 Sec "/>
    <s v="CPM"/>
    <s v="MF 25-44 (A.in minus prime video app)"/>
    <n v="3125000"/>
    <n v="3.0000000000000001E-3"/>
    <n v="9375"/>
    <n v="0.4"/>
    <n v="1250000"/>
    <n v="160"/>
    <n v="53.333333333333336"/>
    <n v="160"/>
    <n v="500000"/>
    <n v="3.0882509516942269E-2"/>
    <n v="1"/>
    <n v="1041666.6666666666"/>
    <n v="0"/>
    <n v="5000000"/>
    <n v="0.20833333333333331"/>
    <x v="0"/>
    <e v="#DIV/0!"/>
    <n v="3"/>
    <d v="2023-07-05T00:00:00"/>
    <d v="2023-07-14T00:00:00"/>
    <n v="10"/>
  </r>
  <r>
    <s v="Entertainment"/>
    <s v="25-44"/>
    <x v="17"/>
    <s v="Video"/>
    <x v="6"/>
    <s v="Desktop &amp; Mobile"/>
    <s v="Run across OTT"/>
    <s v="Non-Skip| Video 15 Sec "/>
    <s v="CPM"/>
    <s v="MF 25-44 (A.in minus prime video app)"/>
    <n v="4000000"/>
    <n v="0.01"/>
    <n v="40000"/>
    <n v="0.85"/>
    <n v="3400000"/>
    <n v="150"/>
    <n v="15"/>
    <n v="150"/>
    <n v="600000"/>
    <n v="3.7059011420330724E-2"/>
    <n v="1"/>
    <n v="1333333.3333333333"/>
    <n v="0"/>
    <n v="4500000"/>
    <n v="0.29629629629629628"/>
    <x v="0"/>
    <e v="#DIV/0!"/>
    <n v="3"/>
    <d v="2023-07-05T00:00:00"/>
    <d v="2023-07-14T00:00:00"/>
    <n v="10"/>
  </r>
  <r>
    <s v="Total"/>
    <m/>
    <x v="0"/>
    <m/>
    <x v="0"/>
    <m/>
    <m/>
    <m/>
    <m/>
    <m/>
    <n v="176723970.07233173"/>
    <n v="5.0544440489617738E-3"/>
    <n v="893241.41884099576"/>
    <m/>
    <n v="49247375.865888104"/>
    <n v="91.614024387178688"/>
    <n v="18.125440404468812"/>
    <m/>
    <n v="16190394.104005635"/>
    <m/>
    <m/>
    <m/>
    <n v="35445684.333948545"/>
    <m/>
    <m/>
    <x v="0"/>
    <e v="#DIV/0!"/>
    <n v="4.985768321111863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P1 Geos - MF 25-44 - Mumbai"/>
    <m/>
    <m/>
    <m/>
    <x v="0"/>
    <m/>
    <m/>
    <m/>
    <m/>
    <m/>
    <m/>
    <m/>
    <m/>
    <m/>
    <m/>
    <m/>
    <m/>
    <m/>
    <m/>
    <m/>
    <m/>
    <m/>
    <m/>
    <m/>
    <m/>
    <m/>
    <m/>
    <m/>
    <m/>
    <m/>
    <m/>
  </r>
  <r>
    <s v="Social"/>
    <s v="25-44"/>
    <s v="Mumbai"/>
    <s v="Video"/>
    <x v="1"/>
    <s v="Desktop &amp; Mobile"/>
    <s v="Automatic Placemnets"/>
    <s v="Video 6 second / Link Ad / Carousel"/>
    <s v="CPM (RnF)"/>
    <s v="OBJECTIVE : Brand Awareness | Location: India: Mumbai (+40 km) Maharashtra Age: 25-44 Language: English (UK) or English (US) People who match: Interests: Voot, hotstar, Streaming media, Online shopping, Entertainment or Netflix And must also match: Behaviours: Facebook access (mobile): smartphones and tablets"/>
    <n v="8040000"/>
    <n v="1.5E-3"/>
    <n v="12060"/>
    <n v="0.3"/>
    <n v="2412000"/>
    <n v="70"/>
    <n v="46.666666666666664"/>
    <n v="70"/>
    <n v="562800"/>
    <n v="1.4108728679957019E-2"/>
    <n v="0"/>
    <n v="4020000"/>
    <n v="4020000"/>
    <n v="6700000"/>
    <n v="0.6"/>
    <m/>
    <e v="#DIV/0!"/>
    <n v="2"/>
    <s v="T-10"/>
    <s v="T-1"/>
    <n v="10"/>
  </r>
  <r>
    <s v="Entertainment"/>
    <s v="25-44"/>
    <s v="Mumbai"/>
    <s v="Video"/>
    <x v="2"/>
    <s v="Desktop &amp; Mobile"/>
    <s v="Run On Site"/>
    <s v="NonSkip| Video 10 Sec "/>
    <s v="CPM"/>
    <s v="MF 25-44 - Mumbai | Affinity - Shoppers, Light TV Viewers"/>
    <n v="5810000"/>
    <n v="2.5000000000000001E-3"/>
    <n v="14525"/>
    <n v="0.75"/>
    <n v="4357500"/>
    <n v="110"/>
    <n v="44"/>
    <n v="110"/>
    <n v="639100"/>
    <n v="1.602147920995119E-2"/>
    <n v="0.8"/>
    <n v="2905000"/>
    <n v="580999.99999999988"/>
    <n v="5810000"/>
    <n v="0.5"/>
    <m/>
    <e v="#DIV/0!"/>
    <n v="2"/>
    <s v="T-10"/>
    <s v="T-1"/>
    <n v="10"/>
  </r>
  <r>
    <s v="Entertainment"/>
    <s v="25-44"/>
    <s v="Mumbai"/>
    <s v="Video"/>
    <x v="2"/>
    <s v="Desktop &amp; Mobile"/>
    <s v="Run On Site"/>
    <s v="Deals 6 sec Video - Bumper"/>
    <s v="CPM"/>
    <s v="MF 25-44 - Affinity - Shoppers, Light TV Viewers"/>
    <n v="8715000"/>
    <n v="3.0000000000000001E-3"/>
    <n v="26145"/>
    <n v="0.85"/>
    <n v="7407750"/>
    <n v="60"/>
    <n v="20"/>
    <n v="60"/>
    <n v="522900"/>
    <n v="1.3108482989960066E-2"/>
    <n v="0.9"/>
    <n v="2905000"/>
    <n v="290499.99999999994"/>
    <n v="5810000"/>
    <n v="0.5"/>
    <m/>
    <e v="#DIV/0!"/>
    <n v="3"/>
    <s v="T-10"/>
    <s v="T-1"/>
    <n v="10"/>
  </r>
  <r>
    <s v="Entertainment"/>
    <s v="25-44"/>
    <s v="Mumbai"/>
    <s v="Video"/>
    <x v="3"/>
    <s v="Desktop &amp; Mobile"/>
    <s v="Run across OTT"/>
    <s v="Non-Skip| Video 10 Sec "/>
    <s v="CPM"/>
    <s v="MF 25-44| Online Shoppers with 20k+ handsets"/>
    <n v="2283381.6"/>
    <n v="3.0000000000000001E-3"/>
    <n v="6850.1448"/>
    <n v="0.85"/>
    <n v="1940874.36"/>
    <n v="100"/>
    <n v="33.333333333333336"/>
    <n v="100"/>
    <n v="228338.16"/>
    <n v="5.7241669273642758E-3"/>
    <n v="1"/>
    <n v="761127.20000000007"/>
    <n v="0"/>
    <n v="1902818"/>
    <n v="0.4"/>
    <m/>
    <e v="#DIV/0!"/>
    <n v="3"/>
    <s v="T-10"/>
    <s v="T-1"/>
    <n v="10"/>
  </r>
  <r>
    <s v="P1 Geos - MF 25-44 - Delhi"/>
    <m/>
    <m/>
    <m/>
    <x v="0"/>
    <m/>
    <m/>
    <m/>
    <m/>
    <m/>
    <m/>
    <m/>
    <m/>
    <m/>
    <m/>
    <m/>
    <m/>
    <m/>
    <m/>
    <m/>
    <m/>
    <m/>
    <m/>
    <m/>
    <m/>
    <m/>
    <m/>
    <m/>
    <m/>
    <m/>
    <m/>
  </r>
  <r>
    <s v="Social"/>
    <s v="25-44"/>
    <s v="Delhi NCR"/>
    <s v="Video"/>
    <x v="1"/>
    <s v="Desktop &amp; Mobile"/>
    <s v="Automatic Placemnets"/>
    <s v="Video 6 second / Link Ad / Carousel"/>
    <s v="CPM (RnF)"/>
    <s v="OBJECTIVE : Brand Awareness | Location: India: Delhi Age: 25-44 Language: English (UK) or English (US) People who match: Interests: Voot, hotstar, Streaming media, Online shopping, Entertainment or Netflix And must also match: Behaviours: Facebook access (mobile): smartphones and tablets"/>
    <n v="10320000"/>
    <n v="1.5E-3"/>
    <n v="15480"/>
    <n v="0.3"/>
    <n v="3096000"/>
    <n v="70"/>
    <n v="46.666666666666664"/>
    <n v="70"/>
    <n v="722400"/>
    <n v="0.41696969696969699"/>
    <n v="0"/>
    <n v="5160000"/>
    <n v="5160000"/>
    <n v="8600000"/>
    <n v="0.6"/>
    <m/>
    <e v="#DIV/0!"/>
    <n v="2"/>
    <s v="T-10"/>
    <s v="T-1"/>
    <n v="10"/>
  </r>
  <r>
    <s v="Entertainment"/>
    <s v="25-44"/>
    <s v="Delhi NCR"/>
    <s v="Video"/>
    <x v="2"/>
    <s v="Desktop &amp; Mobile"/>
    <s v="Run On Site"/>
    <s v="NonSkip| Video 10 Sec "/>
    <s v="CPM"/>
    <s v="MF 25-44 - Delhi NCR | Affinity - Shoppers, Light TV Viewers"/>
    <n v="6780000"/>
    <n v="2.5000000000000001E-3"/>
    <n v="16950"/>
    <n v="0.75"/>
    <n v="5085000"/>
    <n v="110"/>
    <n v="44"/>
    <n v="110"/>
    <n v="745800"/>
    <n v="1.8696321694228756E-2"/>
    <n v="0.8"/>
    <n v="3390000"/>
    <n v="677999.99999999988"/>
    <n v="6780000"/>
    <n v="0.5"/>
    <m/>
    <e v="#DIV/0!"/>
    <n v="2"/>
    <s v="T-10"/>
    <s v="T-1"/>
    <n v="10"/>
  </r>
  <r>
    <s v="Entertainment"/>
    <s v="25-44"/>
    <s v="Delhi NCR"/>
    <s v="Video"/>
    <x v="2"/>
    <s v="Desktop &amp; Mobile"/>
    <s v="Run On Site"/>
    <s v="Deals 6 sec Video - Bumper"/>
    <s v="CPM"/>
    <s v="MF 25-44 - Affinity - Shoppers, Light TV Viewers"/>
    <n v="6780000"/>
    <n v="3.0000000000000001E-3"/>
    <n v="20340"/>
    <n v="0.85"/>
    <n v="5763000"/>
    <n v="60"/>
    <n v="20"/>
    <n v="60"/>
    <n v="406800"/>
    <n v="1.0197993651397504E-2"/>
    <n v="0.9"/>
    <n v="3390000"/>
    <n v="338999.99999999994"/>
    <n v="6780000"/>
    <n v="0.5"/>
    <m/>
    <e v="#DIV/0!"/>
    <n v="2"/>
    <s v="T-10"/>
    <s v="T-1"/>
    <n v="10"/>
  </r>
  <r>
    <s v="Entertainment"/>
    <s v="25-44"/>
    <s v="Delhi NCR"/>
    <s v="Video"/>
    <x v="3"/>
    <s v="Desktop &amp; Mobile"/>
    <s v="Run across OTT"/>
    <s v="Non-Skip| Video 10 Sec "/>
    <s v="CPM"/>
    <s v="MF 25-44| Online Shoppers with 20k+ handsets"/>
    <n v="3812132.4000000004"/>
    <n v="3.0000000000000001E-3"/>
    <n v="11436.397200000001"/>
    <n v="0.85"/>
    <n v="3240312.54"/>
    <n v="100"/>
    <n v="33.333333333333336"/>
    <n v="100"/>
    <n v="381213.24000000005"/>
    <n v="9.5565639167863158E-3"/>
    <n v="1"/>
    <n v="1270710.8"/>
    <n v="0"/>
    <n v="3176777"/>
    <n v="0.4"/>
    <m/>
    <e v="#DIV/0!"/>
    <n v="3"/>
    <s v="T-10"/>
    <s v="T-1"/>
    <n v="10"/>
  </r>
  <r>
    <s v="P1 Geos - MF 25-44 - Bangalore"/>
    <m/>
    <m/>
    <m/>
    <x v="0"/>
    <m/>
    <m/>
    <m/>
    <m/>
    <m/>
    <m/>
    <m/>
    <m/>
    <m/>
    <m/>
    <m/>
    <m/>
    <m/>
    <m/>
    <m/>
    <m/>
    <m/>
    <m/>
    <m/>
    <m/>
    <m/>
    <m/>
    <m/>
    <m/>
    <m/>
    <m/>
  </r>
  <r>
    <s v="Social"/>
    <s v="25-44"/>
    <s v="Bangalore"/>
    <s v="Video"/>
    <x v="1"/>
    <s v="Desktop &amp; Mobile"/>
    <s v="Automatic Placemnets"/>
    <s v="Video 6 second / Link Ad / Carousel"/>
    <s v="CPM (RnF)"/>
    <s v="OBJECTIVE : Brand Awareness | Location: India: Bangalore (+40 km) Karnataka Age: 25-44 Language: English (UK) or English (US) People who match: Interests: Voot, hotstar, Streaming media, Online shopping, Entertainment or Netflix And must also match: Behaviours: Facebook access (mobile): smartphones and tablets"/>
    <n v="5640000"/>
    <n v="1.5E-3"/>
    <n v="8460"/>
    <n v="0.3"/>
    <n v="1692000"/>
    <n v="70"/>
    <n v="46.666666666666664"/>
    <n v="70"/>
    <n v="394800"/>
    <n v="0.22787878787878788"/>
    <n v="0"/>
    <n v="2820000"/>
    <n v="2820000"/>
    <n v="4700000"/>
    <n v="0.6"/>
    <m/>
    <e v="#DIV/0!"/>
    <n v="2"/>
    <s v="T-10"/>
    <s v="T-1"/>
    <n v="10"/>
  </r>
  <r>
    <s v="Entertainment"/>
    <s v="25-44"/>
    <s v="Bangalore"/>
    <s v="Video"/>
    <x v="2"/>
    <s v="Desktop &amp; Mobile"/>
    <s v="Run On Site"/>
    <s v="NonSkip| Video 10 Sec "/>
    <s v="CPM"/>
    <s v="MF 25-44 - Bangalore | Affinity - Shoppers, Light TV Viewers"/>
    <n v="4050000"/>
    <n v="2.5000000000000001E-3"/>
    <n v="10125"/>
    <n v="0.75"/>
    <n v="3037500"/>
    <n v="110"/>
    <n v="44"/>
    <n v="110"/>
    <n v="445500"/>
    <n v="1.1168156764251692E-2"/>
    <n v="0.8"/>
    <n v="2025000"/>
    <n v="404999.99999999988"/>
    <n v="4050000"/>
    <n v="0.5"/>
    <m/>
    <e v="#DIV/0!"/>
    <n v="2"/>
    <s v="T-10"/>
    <s v="T-1"/>
    <n v="10"/>
  </r>
  <r>
    <s v="Entertainment"/>
    <s v="25-44"/>
    <s v="Bangalore"/>
    <s v="Video"/>
    <x v="2"/>
    <s v="Desktop &amp; Mobile"/>
    <s v="Run On Site"/>
    <s v="Deals 6 sec Video - Bumper"/>
    <s v="CPM"/>
    <s v="MF 25-44 - Affinity - Shoppers, Light TV Viewers"/>
    <n v="4050000"/>
    <n v="3.0000000000000001E-3"/>
    <n v="12150"/>
    <n v="0.85"/>
    <n v="3442500"/>
    <n v="60"/>
    <n v="20"/>
    <n v="60"/>
    <n v="243000"/>
    <n v="6.0917218714100132E-3"/>
    <n v="0.9"/>
    <n v="2025000"/>
    <n v="202499.99999999994"/>
    <n v="4050000"/>
    <n v="0.5"/>
    <m/>
    <m/>
    <n v="2"/>
    <s v="T-10"/>
    <s v="T-1"/>
    <n v="10"/>
  </r>
  <r>
    <s v="Entertainment"/>
    <s v="25-44"/>
    <s v="Bangalore"/>
    <s v="Video"/>
    <x v="3"/>
    <s v="Desktop &amp; Mobile"/>
    <s v="Run across OTT"/>
    <s v="Non-Skip| Video 10 Sec "/>
    <s v="CPM"/>
    <s v="MF 25-44| Online Shoppers with 20k+ handsets"/>
    <n v="2336802"/>
    <n v="3.0000000000000001E-3"/>
    <n v="7010.4059999999999"/>
    <n v="0.85"/>
    <n v="1986281.7"/>
    <n v="100"/>
    <n v="33.333333333333336"/>
    <n v="100"/>
    <n v="233680.2"/>
    <n v="5.8580855360307257E-3"/>
    <n v="1"/>
    <n v="778934"/>
    <n v="0"/>
    <n v="1947335"/>
    <n v="0.4"/>
    <m/>
    <e v="#DIV/0!"/>
    <n v="3"/>
    <s v="T-10"/>
    <s v="T-1"/>
    <n v="10"/>
  </r>
  <r>
    <s v="P1 Geos - MF 25-44 - Chennai"/>
    <m/>
    <m/>
    <m/>
    <x v="0"/>
    <m/>
    <m/>
    <m/>
    <m/>
    <m/>
    <m/>
    <m/>
    <m/>
    <m/>
    <m/>
    <m/>
    <m/>
    <m/>
    <m/>
    <m/>
    <m/>
    <m/>
    <m/>
    <m/>
    <m/>
    <m/>
    <m/>
    <m/>
    <m/>
    <m/>
    <m/>
  </r>
  <r>
    <s v="Social"/>
    <s v="25-44"/>
    <s v="Chennai"/>
    <s v="Video"/>
    <x v="1"/>
    <s v="Desktop &amp; Mobile"/>
    <s v="Automatic Placemnets"/>
    <s v="Video 6 second / Link Ad / Carousel"/>
    <s v="CPM (RnF)"/>
    <s v="OBJECTIVE : Brand Awareness | Location: India: Chennai (+40 km) Tamil Nadu Age: 25-44 Language: English (UK) or English (US) People who match: Interests: Voot, hotstar, Streaming media, Online shopping, Entertainment or Netflix And must also match:Behaviours: Facebook access (mobile): smartphones and tablets"/>
    <n v="3600000"/>
    <n v="1.5E-3"/>
    <n v="5400"/>
    <n v="0.3"/>
    <n v="1080000"/>
    <n v="70"/>
    <n v="46.666666666666664"/>
    <n v="70"/>
    <n v="252000"/>
    <n v="0.14545454545454545"/>
    <n v="0"/>
    <n v="1800000"/>
    <n v="1800000"/>
    <n v="3000000"/>
    <n v="0.6"/>
    <m/>
    <e v="#DIV/0!"/>
    <n v="2"/>
    <s v="T-10"/>
    <s v="T-1"/>
    <n v="10"/>
  </r>
  <r>
    <s v="Entertainment"/>
    <s v="25-44"/>
    <s v="Chennai"/>
    <s v="Video"/>
    <x v="2"/>
    <s v="Desktop &amp; Mobile"/>
    <s v="Run On Site"/>
    <s v="NonSkip| Video 10 Sec "/>
    <s v="CPM"/>
    <s v="MF 25-44 - Chennai | Affinity - Shoppers, Light TV Viewers"/>
    <n v="1480000"/>
    <n v="2.5000000000000001E-3"/>
    <n v="3700"/>
    <n v="0.75"/>
    <n v="1110000"/>
    <n v="110"/>
    <n v="44"/>
    <n v="110"/>
    <n v="162800"/>
    <n v="4.0812029657018526E-3"/>
    <n v="0.8"/>
    <n v="740000"/>
    <n v="147999.99999999997"/>
    <n v="1480000"/>
    <n v="0.5"/>
    <m/>
    <e v="#DIV/0!"/>
    <n v="2"/>
    <s v="T-10"/>
    <s v="T-1"/>
    <n v="10"/>
  </r>
  <r>
    <s v="Entertainment"/>
    <s v="25-44"/>
    <s v="Chennai"/>
    <s v="Video"/>
    <x v="2"/>
    <s v="Desktop &amp; Mobile"/>
    <s v="Run On Site"/>
    <s v="Deals 6 sec Video - Bumper"/>
    <s v="CPM"/>
    <s v="MF 25-44 - Affinity - Shoppers, Light TV Viewers"/>
    <n v="1480000"/>
    <n v="3.0000000000000001E-3"/>
    <n v="4440"/>
    <n v="0.85"/>
    <n v="1258000"/>
    <n v="60"/>
    <n v="20"/>
    <n v="60"/>
    <n v="88800"/>
    <n v="2.226110708564647E-3"/>
    <n v="0.9"/>
    <n v="740000"/>
    <n v="73999.999999999985"/>
    <n v="1480000"/>
    <n v="0.5"/>
    <m/>
    <e v="#DIV/0!"/>
    <n v="2"/>
    <s v="T-10"/>
    <s v="T-1"/>
    <n v="10"/>
  </r>
  <r>
    <s v="Entertainment"/>
    <s v="25-44"/>
    <s v="Chennai"/>
    <s v="Video"/>
    <x v="3"/>
    <s v="Desktop &amp; Mobile"/>
    <s v="Run across OTT"/>
    <s v="Non-Skip| Video 10 Sec "/>
    <s v="CPM"/>
    <s v="MF 25-44| Online Shoppers with 20k+ handsets"/>
    <n v="2043831.6"/>
    <n v="3.0000000000000001E-3"/>
    <n v="6131.4948000000004"/>
    <n v="0.85"/>
    <n v="1737256.86"/>
    <n v="100"/>
    <n v="33.333333333333329"/>
    <n v="100"/>
    <n v="204383.16"/>
    <n v="5.1236434811518195E-3"/>
    <n v="1"/>
    <n v="681277.20000000007"/>
    <n v="0"/>
    <n v="1703193"/>
    <n v="0.4"/>
    <m/>
    <e v="#DIV/0!"/>
    <n v="3"/>
    <s v="T-10"/>
    <s v="T-1"/>
    <n v="10"/>
  </r>
  <r>
    <s v="P1 Geos - MF 25-44 - Hyderabad"/>
    <m/>
    <m/>
    <m/>
    <x v="0"/>
    <m/>
    <m/>
    <m/>
    <m/>
    <m/>
    <m/>
    <m/>
    <m/>
    <m/>
    <m/>
    <m/>
    <m/>
    <m/>
    <m/>
    <m/>
    <m/>
    <m/>
    <m/>
    <m/>
    <m/>
    <m/>
    <m/>
    <m/>
    <m/>
    <m/>
    <m/>
  </r>
  <r>
    <s v="Social"/>
    <s v="25-44"/>
    <s v="Hyderabad"/>
    <s v="Video"/>
    <x v="1"/>
    <s v="Desktop &amp; Mobile"/>
    <s v="Automatic Placemnets"/>
    <s v="Video 6 second / Link Ad / Carousel"/>
    <s v="CPM (RnF)"/>
    <s v="OBJECTIVE : Brand Awareness | Location: India: Hyderabad (+40 km) Telangana Age: 25-44 Language: English (UK) or English (US) People who match: Interests: Voot, hotstar, Streaming media, Online shopping, Entertainment or Netflix And must also match: Behaviours: Facebook access (mobile): smartphones and tablets"/>
    <n v="3960000"/>
    <n v="1.5E-3"/>
    <n v="5940"/>
    <n v="0.3"/>
    <n v="1188000"/>
    <n v="70"/>
    <n v="46.666666666666664"/>
    <n v="70"/>
    <n v="277200"/>
    <n v="0.16"/>
    <n v="0"/>
    <n v="1980000"/>
    <n v="1980000"/>
    <n v="3300000"/>
    <n v="0.6"/>
    <m/>
    <e v="#DIV/0!"/>
    <n v="2"/>
    <d v="2023-07-15T00:00:00"/>
    <d v="2023-07-21T00:00:00"/>
    <n v="7"/>
  </r>
  <r>
    <s v="Entertainment"/>
    <s v="25-44"/>
    <s v="Hyderabad"/>
    <s v="Video"/>
    <x v="2"/>
    <s v="Desktop &amp; Mobile"/>
    <s v="Run On Site"/>
    <s v="NonSkip| Video 10 Sec "/>
    <s v="CPM"/>
    <s v="MF 25-44 - Hyderabad | Affinity - Shoppers, Light TV Viewers"/>
    <n v="3110000"/>
    <n v="2.5000000000000001E-3"/>
    <n v="7775"/>
    <n v="0.75"/>
    <n v="2332500"/>
    <n v="110"/>
    <n v="44"/>
    <n v="110"/>
    <n v="342100"/>
    <n v="8.5760413671167306E-3"/>
    <n v="0.8"/>
    <n v="1555000"/>
    <n v="310999.99999999994"/>
    <n v="3110000"/>
    <n v="0.5"/>
    <m/>
    <e v="#DIV/0!"/>
    <n v="2"/>
    <d v="2023-07-08T00:00:00"/>
    <d v="2023-07-14T00:00:00"/>
    <n v="7"/>
  </r>
  <r>
    <s v="Entertainment"/>
    <s v="25-44"/>
    <s v="Hyderabad"/>
    <s v="Video"/>
    <x v="2"/>
    <s v="Desktop &amp; Mobile"/>
    <s v="Run On Site"/>
    <s v="Deals 6 sec Video - Bumper"/>
    <s v="CPM"/>
    <s v="MF 25-44 - Affinity - Shoppers, Light TV Viewers"/>
    <n v="3110000"/>
    <n v="3.0000000000000001E-3"/>
    <n v="9330"/>
    <n v="0.85"/>
    <n v="2643500"/>
    <n v="60"/>
    <n v="20"/>
    <n v="60"/>
    <n v="186600"/>
    <n v="4.6778407457000347E-3"/>
    <n v="0.9"/>
    <n v="1555000"/>
    <n v="155499.99999999997"/>
    <n v="3110000"/>
    <n v="0.5"/>
    <m/>
    <m/>
    <n v="2"/>
    <d v="2023-07-08T00:00:00"/>
    <d v="2023-07-14T00:00:00"/>
    <n v="7"/>
  </r>
  <r>
    <s v="Entertainment"/>
    <s v="25-44"/>
    <s v="Hyderabad"/>
    <s v="Video"/>
    <x v="3"/>
    <s v="Desktop &amp; Mobile"/>
    <s v="Run across OTT"/>
    <s v="Non-Skip| Video 10 Sec "/>
    <s v="CPM"/>
    <s v="MF 25-44| Online Shoppers with 20k+ handsets"/>
    <n v="3661269.5999999996"/>
    <n v="3.0000000000000001E-3"/>
    <n v="10983.808799999999"/>
    <n v="0.85"/>
    <n v="3112079.1599999997"/>
    <n v="100"/>
    <n v="33.333333333333336"/>
    <n v="100"/>
    <n v="366126.95999999996"/>
    <n v="9.1783687652051815E-3"/>
    <n v="1"/>
    <n v="1220423.2"/>
    <n v="0"/>
    <n v="3051058"/>
    <n v="0.4"/>
    <m/>
    <e v="#DIV/0!"/>
    <n v="3"/>
    <d v="2023-07-05T00:00:00"/>
    <d v="2023-07-14T00:00:00"/>
    <n v="10"/>
  </r>
  <r>
    <s v="P1 Geos - MF 25-44 - Kolkata"/>
    <m/>
    <m/>
    <m/>
    <x v="0"/>
    <m/>
    <m/>
    <m/>
    <m/>
    <m/>
    <m/>
    <m/>
    <m/>
    <m/>
    <m/>
    <m/>
    <m/>
    <m/>
    <m/>
    <m/>
    <m/>
    <m/>
    <m/>
    <m/>
    <m/>
    <m/>
    <m/>
    <m/>
    <m/>
    <m/>
    <m/>
  </r>
  <r>
    <s v="Social"/>
    <s v="25-44"/>
    <s v="Kolkata"/>
    <s v="Video"/>
    <x v="1"/>
    <s v="Desktop &amp; Mobile"/>
    <s v="Automatic Placemnets"/>
    <s v="Video 6 second / Link Ad / Carousel"/>
    <s v="CPM (RnF)"/>
    <s v="OBJECTIVE : Brand Awareness | Location: India: Kolkata (+40 km) West Bengal Age: 25-44 Language: English (UK) or English (US) People who match: Interests: Voot, hotstar, Streaming media, Online shopping, Entertainment or Netflix And must also match: Behaviours: Facebook access (mobile): smartphones and tablets"/>
    <n v="6720000"/>
    <n v="1.5E-3"/>
    <n v="10080"/>
    <n v="0.3"/>
    <n v="2016000"/>
    <n v="70"/>
    <n v="46.666666666666664"/>
    <n v="70"/>
    <n v="470400"/>
    <n v="0.27151515151515154"/>
    <n v="0"/>
    <n v="3360000"/>
    <n v="3360000"/>
    <n v="5600000"/>
    <n v="0.6"/>
    <m/>
    <e v="#DIV/0!"/>
    <n v="2"/>
    <s v="T-10"/>
    <s v="T-1"/>
    <n v="10"/>
  </r>
  <r>
    <s v="Entertainment"/>
    <s v="25-44"/>
    <s v="Kolkata"/>
    <s v="Video"/>
    <x v="2"/>
    <s v="Desktop &amp; Mobile"/>
    <s v="Run On Site"/>
    <s v="NonSkip| Video 10 Sec "/>
    <s v="CPM"/>
    <s v="MF 25-44 - Kolkata | Affinity - Shoppers, Light TV Viewers"/>
    <n v="1260000"/>
    <n v="2.5000000000000001E-3"/>
    <n v="3150"/>
    <n v="0.75"/>
    <n v="945000"/>
    <n v="110"/>
    <n v="44"/>
    <n v="110"/>
    <n v="138600"/>
    <n v="3.4745376599894149E-3"/>
    <n v="0.8"/>
    <n v="630000"/>
    <n v="125999.99999999997"/>
    <n v="1260000"/>
    <n v="0.5"/>
    <m/>
    <e v="#DIV/0!"/>
    <n v="2"/>
    <s v="T-10"/>
    <s v="T-1"/>
    <n v="10"/>
  </r>
  <r>
    <s v="Entertainment"/>
    <s v="25-44"/>
    <s v="Kolkata"/>
    <s v="Video"/>
    <x v="2"/>
    <s v="Desktop &amp; Mobile"/>
    <s v="Run On Site"/>
    <s v="Deals 6 sec Video - Bumper"/>
    <s v="CPM"/>
    <s v="MF 25-44 - Affinity - Shoppers, Light TV Viewers"/>
    <n v="1260000"/>
    <n v="3.0000000000000001E-3"/>
    <n v="3780"/>
    <n v="0.85"/>
    <n v="1071000"/>
    <n v="60"/>
    <n v="20"/>
    <n v="60"/>
    <n v="75600"/>
    <n v="1.8952023599942264E-3"/>
    <n v="0.9"/>
    <n v="630000"/>
    <n v="62999.999999999985"/>
    <n v="1260000"/>
    <n v="0.5"/>
    <m/>
    <m/>
    <n v="2"/>
    <s v="T-10"/>
    <s v="T-1"/>
    <n v="10"/>
  </r>
  <r>
    <s v="Entertainment"/>
    <s v="25-44"/>
    <s v="Kolkata"/>
    <s v="Video"/>
    <x v="3"/>
    <s v="Desktop &amp; Mobile"/>
    <s v="Run across OTT"/>
    <s v="Non-Skip| Video 10 Sec "/>
    <s v="CPM"/>
    <s v="MF 25-44| Online Shoppers with 20k+ handsets"/>
    <n v="1833181.2000000002"/>
    <n v="3.0000000000000001E-3"/>
    <n v="5499.5436000000009"/>
    <n v="0.85"/>
    <n v="1558204.02"/>
    <n v="100"/>
    <n v="33.333333333333336"/>
    <n v="100"/>
    <n v="183318.12000000002"/>
    <n v="4.5955679054722866E-3"/>
    <n v="1"/>
    <n v="611060.4"/>
    <n v="0"/>
    <n v="1527651"/>
    <n v="0.4"/>
    <m/>
    <e v="#DIV/0!"/>
    <n v="3"/>
    <s v="T-10"/>
    <s v="T-1"/>
    <n v="10"/>
  </r>
  <r>
    <s v="P1 Geos - MF 25-44 - Pune"/>
    <m/>
    <m/>
    <m/>
    <x v="0"/>
    <m/>
    <m/>
    <m/>
    <m/>
    <m/>
    <m/>
    <m/>
    <m/>
    <m/>
    <m/>
    <m/>
    <m/>
    <m/>
    <m/>
    <m/>
    <m/>
    <m/>
    <m/>
    <m/>
    <m/>
    <m/>
    <m/>
    <m/>
    <m/>
    <m/>
    <m/>
  </r>
  <r>
    <s v="Social"/>
    <s v="25-44"/>
    <s v="Pune"/>
    <s v="Video"/>
    <x v="1"/>
    <s v="Desktop &amp; Mobile"/>
    <s v="Automatic Placemnets"/>
    <s v="Video 6 second / Link Ad / Carousel"/>
    <s v="CPM (RnF)"/>
    <s v="OBJECTIVE : Brand Awareness | Location – Living in: India: Pune (+40 km) Maharashtra Age: 25-44 Language: English (UK) or English (US) People who match: Interests: Voot, hotstar, Streaming media, Online shopping, Entertainment or Netflix And must also match: Behaviours: Facebook access (mobile): smartphones and tablets"/>
    <n v="3360000"/>
    <n v="1.5E-3"/>
    <n v="5040"/>
    <n v="0.3"/>
    <n v="1008000"/>
    <n v="70"/>
    <n v="46.666666666666664"/>
    <n v="70"/>
    <n v="235200"/>
    <n v="0.13575757575757577"/>
    <n v="0"/>
    <n v="1680000"/>
    <n v="1680000"/>
    <n v="2800000"/>
    <n v="0.6"/>
    <m/>
    <e v="#DIV/0!"/>
    <n v="2"/>
    <s v="T-10"/>
    <s v="T-1"/>
    <n v="10"/>
  </r>
  <r>
    <s v="Entertainment"/>
    <s v="25-44"/>
    <s v="Pune"/>
    <s v="Video"/>
    <x v="2"/>
    <s v="Desktop &amp; Mobile"/>
    <s v="Run On Site"/>
    <s v="NonSkip| Video 10 Sec "/>
    <s v="CPM"/>
    <s v="MF 25-44 - Pune | Affinity - Shoppers, Light TV Viewers"/>
    <n v="825000"/>
    <n v="2.5000000000000001E-3"/>
    <n v="2062.5"/>
    <n v="0.75"/>
    <n v="618750"/>
    <n v="110"/>
    <n v="44"/>
    <n v="110"/>
    <n v="90750"/>
    <n v="2.2749948964216407E-3"/>
    <n v="0.8"/>
    <n v="550000"/>
    <n v="109999.99999999997"/>
    <n v="1100000"/>
    <n v="0.5"/>
    <m/>
    <e v="#DIV/0!"/>
    <n v="1.5"/>
    <s v="T-10"/>
    <s v="T-1"/>
    <n v="10"/>
  </r>
  <r>
    <s v="Entertainment"/>
    <s v="25-44"/>
    <s v="Pune"/>
    <s v="Video"/>
    <x v="2"/>
    <s v="Desktop &amp; Mobile"/>
    <s v="Run On Site"/>
    <s v="Deals 6 sec Video - Bumper"/>
    <s v="CPM"/>
    <s v="MF 25-44 - Affinity - Shoppers, Light TV Viewers"/>
    <n v="1100000"/>
    <n v="3.0000000000000001E-3"/>
    <n v="3300"/>
    <n v="0.85"/>
    <n v="935000"/>
    <n v="60"/>
    <n v="20"/>
    <n v="60"/>
    <n v="66000"/>
    <n v="1.6545417428521024E-3"/>
    <n v="0.9"/>
    <n v="550000"/>
    <n v="54999.999999999985"/>
    <n v="1100000"/>
    <n v="0.5"/>
    <m/>
    <m/>
    <n v="2"/>
    <s v="T-10"/>
    <s v="T-1"/>
    <n v="10"/>
  </r>
  <r>
    <s v="Entertainment"/>
    <s v="25-44"/>
    <s v="Pune"/>
    <s v="Video"/>
    <x v="3"/>
    <s v="Desktop &amp; Mobile"/>
    <s v="Run across OTT"/>
    <s v="Non-Skip| Video 10 Sec "/>
    <s v="CPM"/>
    <s v="MF 25-44| Online Shoppers with 20k+ handsets"/>
    <n v="1276450.8"/>
    <n v="3.0000000000000001E-3"/>
    <n v="3829.3524000000002"/>
    <n v="0.85"/>
    <n v="1084983.18"/>
    <n v="100"/>
    <n v="33.333333333333329"/>
    <n v="100"/>
    <n v="127645.08"/>
    <n v="3.1999108049953944E-3"/>
    <n v="1"/>
    <n v="425483.60000000003"/>
    <n v="0"/>
    <n v="1063709"/>
    <n v="0.4"/>
    <m/>
    <e v="#DIV/0!"/>
    <n v="3"/>
    <s v="T-10"/>
    <s v="T-1"/>
    <n v="10"/>
  </r>
  <r>
    <s v="RO C1 Geo - MF 25-44 - Thane &amp; Nagpur (MH geos)"/>
    <m/>
    <m/>
    <m/>
    <x v="0"/>
    <m/>
    <m/>
    <m/>
    <m/>
    <m/>
    <m/>
    <m/>
    <m/>
    <m/>
    <m/>
    <m/>
    <m/>
    <m/>
    <m/>
    <m/>
    <m/>
    <m/>
    <m/>
    <m/>
    <m/>
    <m/>
    <m/>
    <m/>
    <m/>
    <m/>
    <m/>
  </r>
  <r>
    <s v="Social"/>
    <s v="25-44"/>
    <s v="Thane &amp; Nagpur"/>
    <s v="Video"/>
    <x v="1"/>
    <s v="Desktop &amp; Mobile"/>
    <s v="Automatic Placemnets"/>
    <s v="Video 6 second / Link Ad / Carousel"/>
    <s v="CPM (RnF)"/>
    <s v="OBJECTIVE : Brand Awareness | Location – Living in: India: Thane, Nagpur(+40 km) Maharashtra Age: 25-44 Language: English (UK) or English (US) People who match: Interests: Voot, hotstar, Streaming media, Online shopping, Entertainment or Netflix And must also match: Behaviours: Facebook access (mobile): smartphones and tablets"/>
    <n v="7154880"/>
    <n v="1.5E-3"/>
    <n v="10732.32"/>
    <n v="0.3"/>
    <n v="2146464"/>
    <n v="70"/>
    <n v="46.666666666666664"/>
    <n v="70"/>
    <n v="500841.6"/>
    <n v="0.28908606060606057"/>
    <n v="0"/>
    <n v="3577440"/>
    <n v="3577440"/>
    <n v="5962400"/>
    <n v="0.6"/>
    <m/>
    <e v="#DIV/0!"/>
    <n v="2"/>
    <s v="T-10"/>
    <s v="T-1"/>
    <n v="10"/>
  </r>
  <r>
    <s v="Entertainment"/>
    <s v="25-44"/>
    <s v="Thane &amp; Nagpur"/>
    <s v="Video"/>
    <x v="2"/>
    <s v="Desktop &amp; Mobile"/>
    <s v="Run On Site"/>
    <s v="NonSkip| Video 10 Sec "/>
    <s v="CPM"/>
    <s v="MF 25-44 - Thane, Nagpur | Affinity - Shoppers, Light TV Viewers"/>
    <n v="1468445.1501816788"/>
    <n v="2.5000000000000001E-3"/>
    <n v="3671.1128754541969"/>
    <n v="0.75"/>
    <n v="1101333.8626362591"/>
    <n v="110"/>
    <n v="43.999999999999993"/>
    <n v="110"/>
    <n v="161528.96651998465"/>
    <n v="4.0493396634405194E-3"/>
    <n v="0.8"/>
    <n v="978963.43345445255"/>
    <n v="195792.68669089046"/>
    <n v="1957926.8669089051"/>
    <n v="0.5"/>
    <m/>
    <e v="#DIV/0!"/>
    <n v="1.5"/>
    <s v="T-10"/>
    <s v="T-1"/>
    <n v="10"/>
  </r>
  <r>
    <s v="Entertainment"/>
    <s v="25-44"/>
    <s v="Thane &amp; Nagpur"/>
    <s v="Video"/>
    <x v="2"/>
    <s v="Desktop &amp; Mobile"/>
    <s v="Run On Site"/>
    <s v="Deals 6 sec Video - Bumper"/>
    <s v="CPM"/>
    <s v="MF 25-44 - Affinity - Shoppers, Light TV Viewers"/>
    <n v="1957926.8669089051"/>
    <n v="3.0000000000000001E-3"/>
    <n v="5873.7806007267154"/>
    <n v="0.85"/>
    <n v="1664237.8368725693"/>
    <n v="60"/>
    <n v="20"/>
    <n v="60"/>
    <n v="117475.61201453432"/>
    <n v="2.944974300684015E-3"/>
    <n v="0.9"/>
    <n v="978963.43345445255"/>
    <n v="97896.343345445232"/>
    <n v="1957926.8669089051"/>
    <n v="0.5"/>
    <m/>
    <m/>
    <n v="2"/>
    <s v="T-10"/>
    <s v="T-1"/>
    <n v="10"/>
  </r>
  <r>
    <s v="RO C1 - MF 25-44 - Gujarat Cluster geos "/>
    <m/>
    <m/>
    <m/>
    <x v="0"/>
    <m/>
    <m/>
    <m/>
    <m/>
    <m/>
    <m/>
    <m/>
    <m/>
    <m/>
    <m/>
    <m/>
    <m/>
    <m/>
    <m/>
    <m/>
    <m/>
    <m/>
    <m/>
    <m/>
    <m/>
    <m/>
    <m/>
    <m/>
    <m/>
    <m/>
    <m/>
  </r>
  <r>
    <s v="Social"/>
    <s v="25-44"/>
    <s v="Ahemdabad, Gandhinagar, Surat, Vadodara"/>
    <s v="Video"/>
    <x v="1"/>
    <s v="Desktop &amp; Mobile"/>
    <s v="Automatic Placemnets"/>
    <s v="Video 6 second / Link Ad / Carousel"/>
    <s v="CPM (RnF)"/>
    <s v="OBJECTIVE : Brand Awareness | Age: 25-44 Language: English (UK) or English (US) People who match: Interests: Voot, hotstar, Streaming media, Online shopping, Entertainment or Netflix_x000a_And must also match:_x000a_Behaviours: Facebook access (mobile): smartphones and tablets"/>
    <n v="6308040"/>
    <n v="1.5E-3"/>
    <n v="9462.06"/>
    <n v="0.3"/>
    <n v="1892412"/>
    <n v="70"/>
    <n v="46.666666666666671"/>
    <n v="70"/>
    <n v="441562.8"/>
    <n v="0.254870303030303"/>
    <n v="0"/>
    <n v="3154020"/>
    <n v="3154020"/>
    <n v="5256700"/>
    <n v="0.6"/>
    <m/>
    <e v="#DIV/0!"/>
    <n v="2"/>
    <s v="T-10"/>
    <s v="T-1"/>
    <n v="10"/>
  </r>
  <r>
    <s v="Entertainment"/>
    <s v="25-44"/>
    <s v="Ahemdabad, Gandhinagar, Surat, Vadodara"/>
    <s v="Video"/>
    <x v="2"/>
    <s v="Desktop &amp; Mobile"/>
    <s v="Run On Site"/>
    <s v="NonSkip| Video 10 Sec "/>
    <s v="CPM"/>
    <s v="MF 25-44 - Affinity - Shoppers, Light TV Viewers"/>
    <n v="1663027.9907213771"/>
    <n v="2.5000000000000001E-3"/>
    <n v="4157.5699768034428"/>
    <n v="0.75"/>
    <n v="1247270.9930410329"/>
    <n v="110"/>
    <n v="44"/>
    <n v="110"/>
    <n v="182933.0789793515"/>
    <n v="4.5859153836332956E-3"/>
    <n v="0.8"/>
    <n v="1108685.3271475846"/>
    <n v="221737.06542951689"/>
    <n v="2217370.6542951693"/>
    <n v="0.5"/>
    <m/>
    <e v="#DIV/0!"/>
    <n v="1.5"/>
    <s v="T-10"/>
    <s v="T-1"/>
    <n v="10"/>
  </r>
  <r>
    <s v="Entertainment"/>
    <s v="25-44"/>
    <s v="Ahemdabad, Gandhinagar, Surat, Vadodara"/>
    <s v="Video"/>
    <x v="2"/>
    <s v="Desktop &amp; Mobile"/>
    <s v="Run On Site"/>
    <s v="Deals 6 sec Video - Bumper"/>
    <s v="CPM"/>
    <s v="MF 25-44 - Affinity - Shoppers, Light TV Viewers"/>
    <n v="2217370.6542951693"/>
    <n v="3.0000000000000001E-3"/>
    <n v="6652.1119628855076"/>
    <n v="0.85"/>
    <n v="1884765.0561508939"/>
    <n v="60.000000000000007"/>
    <n v="20.000000000000004"/>
    <n v="60"/>
    <n v="133042.23925771017"/>
    <n v="3.3352111880969424E-3"/>
    <n v="0.9"/>
    <n v="1108685.3271475846"/>
    <n v="110868.53271475845"/>
    <n v="2217370.6542951693"/>
    <n v="0.5"/>
    <m/>
    <m/>
    <n v="2"/>
    <s v="T-10"/>
    <s v="T-1"/>
    <n v="10"/>
  </r>
  <r>
    <s v="C1 Geo - MF 25-44 - Bhubaneswar, Lucknow"/>
    <m/>
    <m/>
    <m/>
    <x v="0"/>
    <m/>
    <m/>
    <m/>
    <m/>
    <m/>
    <m/>
    <m/>
    <m/>
    <m/>
    <m/>
    <m/>
    <m/>
    <m/>
    <m/>
    <m/>
    <m/>
    <m/>
    <m/>
    <m/>
    <n v="0.35"/>
    <m/>
    <m/>
    <m/>
    <m/>
    <m/>
    <m/>
  </r>
  <r>
    <s v="Social"/>
    <s v="25-44"/>
    <s v="Bhubaneswar, Lucknow"/>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3600000"/>
    <n v="1.5E-3"/>
    <n v="5400"/>
    <n v="0.3"/>
    <n v="1080000"/>
    <n v="70"/>
    <n v="46.666666666666664"/>
    <n v="70"/>
    <n v="252000"/>
    <n v="0.14545454545454545"/>
    <n v="0"/>
    <n v="1800000"/>
    <n v="1800000"/>
    <n v="3000000"/>
    <n v="0.6"/>
    <m/>
    <e v="#DIV/0!"/>
    <n v="2"/>
    <s v="T-10"/>
    <s v="T-1"/>
    <n v="10"/>
  </r>
  <r>
    <s v="Entertainment"/>
    <s v="25-44"/>
    <s v="Bhubaneswar, Lucknow"/>
    <s v="Video"/>
    <x v="2"/>
    <s v="Desktop &amp; Mobile"/>
    <s v="Run On Site"/>
    <s v="NonSkip| Video 10 Sec "/>
    <s v="CPM"/>
    <s v="MF 25-44| Affinity - Shoppers, Light TV Viewers"/>
    <n v="784474.49823887926"/>
    <n v="2.5000000000000001E-3"/>
    <n v="1961.1862455971982"/>
    <n v="0.75"/>
    <n v="588355.87367915944"/>
    <n v="110"/>
    <n v="44"/>
    <n v="110"/>
    <n v="86292.194806276719"/>
    <n v="2.1632430058986397E-3"/>
    <n v="0.8"/>
    <n v="522982.99882591952"/>
    <n v="104596.59976518388"/>
    <n v="1045965.997651839"/>
    <n v="0.5"/>
    <m/>
    <e v="#DIV/0!"/>
    <n v="1.5"/>
    <s v="T-10"/>
    <s v="T-1"/>
    <n v="10"/>
  </r>
  <r>
    <s v="Entertainment"/>
    <s v="25-44"/>
    <s v="Bhubaneswar, Lucknow"/>
    <s v="Video"/>
    <x v="2"/>
    <s v="Desktop &amp; Mobile"/>
    <s v="Run On Site"/>
    <s v="Deals 6 sec Video - Bumper"/>
    <s v="CPM"/>
    <s v="MF 25-44 - Affinity - Shoppers, Light TV Viewers"/>
    <n v="1045965.997651839"/>
    <n v="3.0000000000000001E-3"/>
    <n v="3137.8979929555171"/>
    <n v="0.85"/>
    <n v="889071.09800406313"/>
    <n v="60"/>
    <n v="20"/>
    <n v="60"/>
    <n v="62757.959859110342"/>
    <n v="1.5732676406535562E-3"/>
    <n v="0.9"/>
    <n v="522982.99882591952"/>
    <n v="52298.299882591942"/>
    <n v="1045965.997651839"/>
    <n v="0.5"/>
    <m/>
    <m/>
    <n v="2"/>
    <s v="T-10"/>
    <s v="T-1"/>
    <n v="10"/>
  </r>
  <r>
    <s v="C1 Geo - MF 25-44 - Chandigarh, Jaipur"/>
    <m/>
    <m/>
    <m/>
    <x v="0"/>
    <m/>
    <m/>
    <m/>
    <m/>
    <m/>
    <m/>
    <m/>
    <m/>
    <m/>
    <m/>
    <m/>
    <m/>
    <m/>
    <m/>
    <m/>
    <m/>
    <m/>
    <m/>
    <m/>
    <n v="0.35"/>
    <m/>
    <m/>
    <m/>
    <m/>
    <m/>
    <m/>
  </r>
  <r>
    <s v="Social"/>
    <s v="25-44"/>
    <s v="Chandigarh,Jaipur"/>
    <s v="Video"/>
    <x v="1"/>
    <s v="Desktop &amp; Mobile"/>
    <s v="Automatic Placemnets"/>
    <s v="Video 6 second / Link Ad / Carousel"/>
    <s v="CPM (RnF)"/>
    <s v="OBJECTIVE : Brand Awareness |_x000a_Age:_x000a_25-44_x000a_Language:_x000a_English (UK) or English (US)_x000a_People who match:_x000a_Interests: Voot, hotstar, Streaming media, Online shopping, Entertainment or Netflix_x000a_And must also match:_x000a_Behaviours: Facebook access (mobile): smartphones and tablets"/>
    <n v="3261600"/>
    <n v="1.5E-3"/>
    <n v="4892.4000000000005"/>
    <n v="0.3"/>
    <n v="978480"/>
    <n v="70"/>
    <n v="46.666666666666664"/>
    <n v="70"/>
    <n v="228312"/>
    <n v="0.13178181818181819"/>
    <n v="0"/>
    <n v="1630800"/>
    <n v="1630800"/>
    <n v="2718000"/>
    <n v="0.6"/>
    <m/>
    <e v="#DIV/0!"/>
    <n v="2"/>
    <s v="T-10"/>
    <s v="T-1"/>
    <n v="10"/>
  </r>
  <r>
    <s v="Entertainment"/>
    <s v="25-44"/>
    <s v="Chandigarh,Jaipur"/>
    <s v="Video"/>
    <x v="2"/>
    <s v="Desktop &amp; Mobile"/>
    <s v="Run On Site"/>
    <s v="NonSkip| Video 10 Sec "/>
    <s v="CPM"/>
    <s v="MF 25-44| Affinity - Shoppers, Light TV Viewers"/>
    <n v="1167021.8252612883"/>
    <n v="2.5000000000000001E-3"/>
    <n v="2917.5545631532209"/>
    <n v="0.75"/>
    <n v="875266.36894596624"/>
    <n v="110"/>
    <n v="44"/>
    <n v="110"/>
    <n v="128372.40077874172"/>
    <n v="3.2181438745237565E-3"/>
    <n v="0.8"/>
    <n v="778014.55017419229"/>
    <n v="155602.91003483842"/>
    <n v="1556029.1003483846"/>
    <n v="0.5"/>
    <m/>
    <e v="#DIV/0!"/>
    <n v="1.5"/>
    <s v="T-10"/>
    <s v="T-1"/>
    <n v="10"/>
  </r>
  <r>
    <s v="Entertainment"/>
    <s v="25-44"/>
    <s v="Chandigarh,Jaipur"/>
    <s v="Video"/>
    <x v="2"/>
    <s v="Desktop &amp; Mobile"/>
    <s v="Run On Site"/>
    <s v="Deals 6 sec Video - Bumper"/>
    <s v="CPM"/>
    <s v="MF 25-44 - Affinity - Shoppers, Light TV Viewers"/>
    <n v="1556029.1003483846"/>
    <n v="3.0000000000000001E-3"/>
    <n v="4668.0873010451542"/>
    <n v="0.85"/>
    <n v="1322624.7352961269"/>
    <n v="60.000000000000007"/>
    <n v="20"/>
    <n v="60"/>
    <n v="93361.746020903083"/>
    <n v="2.3404682723809139E-3"/>
    <n v="0.9"/>
    <n v="778014.55017419229"/>
    <n v="77801.455017419212"/>
    <n v="1556029.1003483846"/>
    <n v="0.5"/>
    <m/>
    <m/>
    <n v="2"/>
    <s v="T-10"/>
    <s v="T-1"/>
    <n v="10"/>
  </r>
  <r>
    <s v="North Cluster C1 Geo - MF 25-44 - Indore,Patna"/>
    <m/>
    <m/>
    <m/>
    <x v="0"/>
    <m/>
    <m/>
    <m/>
    <m/>
    <m/>
    <m/>
    <m/>
    <m/>
    <m/>
    <m/>
    <m/>
    <m/>
    <m/>
    <m/>
    <m/>
    <m/>
    <m/>
    <m/>
    <m/>
    <n v="0.35"/>
    <m/>
    <m/>
    <m/>
    <m/>
    <m/>
    <m/>
  </r>
  <r>
    <s v="Social"/>
    <s v="25-44"/>
    <s v="Indore,Patna"/>
    <s v="Video"/>
    <x v="1"/>
    <s v="Desktop &amp; Mobile"/>
    <s v="Automatic Placemnets"/>
    <s v="Video 6 second / Link Ad / Carousel"/>
    <s v="CPM (RnF)"/>
    <s v="OBJECTIVE : Brand Awareness | Location – Living in: India:  Indore,Patna Age: 25-44 Language: English (UK) or English (US) People who match: Interests: Voot, hotstar, Streaming media, Online shopping, Entertainment or Netflix_x000a_And must also match:_x000a_Behaviours: Facebook access (mobile): smartphones and tablets"/>
    <n v="2821560"/>
    <n v="1.5E-3"/>
    <n v="4232.34"/>
    <n v="0.3"/>
    <n v="846468"/>
    <n v="70"/>
    <n v="46.666666666666664"/>
    <n v="70"/>
    <n v="197509.2"/>
    <n v="0.11400242424242425"/>
    <n v="0"/>
    <n v="1410780"/>
    <n v="1410780"/>
    <n v="2351300"/>
    <n v="0.6"/>
    <m/>
    <e v="#DIV/0!"/>
    <n v="2"/>
    <s v="T-10"/>
    <s v="T-1"/>
    <n v="10"/>
  </r>
  <r>
    <s v="Entertainment"/>
    <s v="25-44"/>
    <s v="Indore,Patna"/>
    <s v="Video"/>
    <x v="2"/>
    <s v="Desktop &amp; Mobile"/>
    <s v="Run On Site"/>
    <s v="NonSkip| Video 10 Sec "/>
    <s v="CPM"/>
    <s v="MF 25-44 -  Indore,Patna | Affinity - Shoppers, Light TV Viewers"/>
    <n v="509120.25"/>
    <n v="2.5000000000000001E-3"/>
    <n v="1272.8006250000001"/>
    <n v="0.75"/>
    <n v="381840.1875"/>
    <n v="110"/>
    <n v="44"/>
    <n v="110"/>
    <n v="56003.227500000001"/>
    <n v="1.4039345095938302E-3"/>
    <n v="0.8"/>
    <n v="339413.5"/>
    <n v="67882.699999999983"/>
    <n v="678827"/>
    <n v="0.5"/>
    <m/>
    <e v="#DIV/0!"/>
    <n v="1.5"/>
    <s v="T-10"/>
    <s v="T-1"/>
    <n v="10"/>
  </r>
  <r>
    <s v="Entertainment"/>
    <s v="25-44"/>
    <s v="Indore,Patna"/>
    <s v="Video"/>
    <x v="2"/>
    <s v="Desktop &amp; Mobile"/>
    <s v="Run On Site"/>
    <s v="Deals 6 sec Video - Bumper"/>
    <s v="CPM"/>
    <s v="MF 25-44 - Affinity - Shoppers, Light TV Viewers"/>
    <n v="678827"/>
    <n v="3.0000000000000001E-3"/>
    <n v="2036.481"/>
    <n v="0.85"/>
    <n v="577002.94999999995"/>
    <n v="60"/>
    <n v="20"/>
    <n v="60"/>
    <n v="40729.620000000003"/>
    <n v="1.0210432797046038E-3"/>
    <n v="0.9"/>
    <n v="339413.5"/>
    <n v="33941.349999999991"/>
    <n v="678827"/>
    <n v="0.5"/>
    <m/>
    <m/>
    <n v="2"/>
    <d v="2023-07-08T00:00:00"/>
    <d v="2023-07-14T00:00:00"/>
    <n v="7"/>
  </r>
  <r>
    <s v="South C1 Cluster - MF 25-44 -Coimbatore, Vizag"/>
    <m/>
    <m/>
    <m/>
    <x v="0"/>
    <m/>
    <m/>
    <m/>
    <m/>
    <m/>
    <m/>
    <m/>
    <m/>
    <m/>
    <m/>
    <m/>
    <m/>
    <m/>
    <m/>
    <m/>
    <m/>
    <m/>
    <m/>
    <m/>
    <n v="0.35"/>
    <m/>
    <m/>
    <m/>
    <m/>
    <m/>
    <m/>
  </r>
  <r>
    <s v="Social"/>
    <s v="25-44"/>
    <s v="Coimbatore, Vizag"/>
    <s v="Video"/>
    <x v="1"/>
    <s v="Desktop &amp; Mobile"/>
    <s v="Automatic Placemnets"/>
    <s v="Video 6 second / Link Ad / Carousel"/>
    <s v="CPM (RnF)"/>
    <s v="OBJECTIVE : Brand Awareness | Location: India: Coimbatore, Vizag Age:25-44 Language: English (UK) or English (US) People who match: Interests: Voot, hotstar, Streaming media, Online shopping, Entertainment or Netflix_x000a_And must also match:_x000a_Behaviours: Facebook access (mobile): smartphones and tablets"/>
    <n v="1711200"/>
    <n v="1.5E-3"/>
    <n v="2566.8000000000002"/>
    <n v="0.3"/>
    <n v="513360"/>
    <n v="70"/>
    <n v="46.666666666666664"/>
    <n v="70"/>
    <n v="119784"/>
    <n v="6.9139393939393945E-2"/>
    <n v="0"/>
    <n v="855600"/>
    <n v="855600"/>
    <n v="1426000"/>
    <n v="0.6"/>
    <m/>
    <e v="#DIV/0!"/>
    <n v="2"/>
    <s v="T-10"/>
    <s v="T-1"/>
    <n v="10"/>
  </r>
  <r>
    <s v="Entertainment"/>
    <s v="25-44"/>
    <s v="Coimbatore, Vizag"/>
    <s v="Video"/>
    <x v="2"/>
    <s v="Desktop &amp; Mobile"/>
    <s v="Run On Site"/>
    <s v="NonSkip| Video 10 Sec "/>
    <s v="CPM"/>
    <s v="MF 25-44 - Kochi, Coimbatore, Vizag | Affinity - Shoppers, Light TV Viewers"/>
    <n v="531175.57499999995"/>
    <n v="2.5000000000000001E-3"/>
    <n v="1327.9389374999998"/>
    <n v="0.75"/>
    <n v="398381.68124999997"/>
    <n v="110"/>
    <n v="44"/>
    <n v="110"/>
    <n v="58429.313249999992"/>
    <n v="1.4647536027016124E-3"/>
    <n v="0.8"/>
    <n v="354117.05"/>
    <n v="70823.409999999989"/>
    <n v="708234.1"/>
    <n v="0.5"/>
    <m/>
    <e v="#DIV/0!"/>
    <n v="1.5"/>
    <s v="T-10"/>
    <s v="T-1"/>
    <n v="10"/>
  </r>
  <r>
    <s v="Entertainment"/>
    <s v="25-44"/>
    <s v="Coimbatore, Vizag"/>
    <s v="Video"/>
    <x v="2"/>
    <s v="Desktop &amp; Mobile"/>
    <s v="Run On Site"/>
    <s v="Deals 6 sec Video - Bumper"/>
    <s v="CPM"/>
    <s v="MF 25-44 - Affinity - Shoppers, Light TV Viewers"/>
    <n v="708234.1"/>
    <n v="3.0000000000000001E-3"/>
    <n v="2124.7022999999999"/>
    <n v="0.85"/>
    <n v="601998.98499999999"/>
    <n v="60"/>
    <n v="20"/>
    <n v="60"/>
    <n v="42494.046000000002"/>
    <n v="1.0652753474193549E-3"/>
    <n v="0.9"/>
    <n v="354117.05"/>
    <n v="35411.704999999994"/>
    <n v="708234.1"/>
    <n v="0.5"/>
    <m/>
    <m/>
    <n v="2"/>
    <s v="T-10"/>
    <s v="T-1"/>
    <n v="10"/>
  </r>
  <r>
    <s v="South C1 Cluster - MF 25-44 - Kochi"/>
    <m/>
    <m/>
    <m/>
    <x v="0"/>
    <m/>
    <m/>
    <m/>
    <m/>
    <m/>
    <m/>
    <m/>
    <m/>
    <m/>
    <m/>
    <m/>
    <m/>
    <m/>
    <m/>
    <m/>
    <m/>
    <m/>
    <m/>
    <m/>
    <n v="0.35"/>
    <m/>
    <m/>
    <m/>
    <m/>
    <m/>
    <m/>
  </r>
  <r>
    <s v="Social"/>
    <s v="25-44"/>
    <s v="Kochi"/>
    <s v="Video"/>
    <x v="1"/>
    <s v="Desktop &amp; Mobile"/>
    <s v="Automatic Placemnets"/>
    <s v="Video 6 second / Link Ad / Carousel"/>
    <s v="CPM (RnF)"/>
    <s v="OBJECTIVE : Brand Awareness | Location: India: Kochi Age:25-44 Language: English (UK) or English (US) People who match: Interests: Voot, hotstar, Streaming media, Online shopping, Entertainment or Netflix_x000a_And must also match:_x000a_Behaviours: Facebook access (mobile): smartphones and tablets"/>
    <n v="733200"/>
    <n v="1.5E-3"/>
    <n v="1099.8"/>
    <n v="0.3"/>
    <n v="219960"/>
    <n v="70"/>
    <n v="46.666666666666671"/>
    <n v="70"/>
    <n v="51324"/>
    <n v="2.9624242424242424E-2"/>
    <n v="0"/>
    <n v="366600"/>
    <n v="366600"/>
    <n v="611000"/>
    <n v="0.6"/>
    <m/>
    <e v="#DIV/0!"/>
    <n v="2"/>
    <s v="T-10"/>
    <s v="T-1"/>
    <n v="10"/>
  </r>
  <r>
    <s v="Entertainment"/>
    <s v="25-44"/>
    <s v="Kochi"/>
    <s v="Video"/>
    <x v="2"/>
    <s v="Desktop &amp; Mobile"/>
    <s v="Run On Site"/>
    <s v="NonSkip| Video 10 Sec "/>
    <s v="CPM"/>
    <s v="MF 25-44 - Kochi, Coimbatore, Vizag | Affinity - Shoppers, Light TV Viewers"/>
    <n v="227646.67499999999"/>
    <n v="2.5000000000000001E-3"/>
    <n v="569.11668750000001"/>
    <n v="0.75"/>
    <n v="170735.00624999998"/>
    <n v="110"/>
    <n v="44"/>
    <n v="110"/>
    <n v="25041.134249999999"/>
    <n v="6.2775154401497691E-4"/>
    <n v="0.8"/>
    <n v="151764.44999999998"/>
    <n v="30352.889999999989"/>
    <n v="303528.89999999997"/>
    <n v="0.5"/>
    <m/>
    <e v="#DIV/0!"/>
    <n v="1.5"/>
    <s v="T-10"/>
    <s v="T-1"/>
    <n v="10"/>
  </r>
  <r>
    <s v="Entertainment"/>
    <s v="25-44"/>
    <s v="Kochi"/>
    <s v="Video"/>
    <x v="2"/>
    <s v="Desktop &amp; Mobile"/>
    <s v="Run On Site"/>
    <s v="Deals 6 sec Video - Bumper"/>
    <s v="CPM"/>
    <s v="MF 25-44 - Affinity - Shoppers, Light TV Viewers"/>
    <n v="303528.89999999997"/>
    <n v="3.0000000000000001E-3"/>
    <n v="910.58669999999995"/>
    <n v="0.85"/>
    <n v="257999.56499999997"/>
    <n v="59.999999999999993"/>
    <n v="19.999999999999996"/>
    <n v="60"/>
    <n v="18211.733999999997"/>
    <n v="4.5654657746543767E-4"/>
    <n v="0.9"/>
    <n v="151764.44999999998"/>
    <n v="15176.444999999994"/>
    <n v="303528.89999999997"/>
    <n v="0.5"/>
    <m/>
    <m/>
    <n v="2"/>
    <s v="T-10"/>
    <s v="T-1"/>
    <n v="10"/>
  </r>
  <r>
    <s v="Cord Cutters"/>
    <m/>
    <m/>
    <m/>
    <x v="0"/>
    <m/>
    <m/>
    <m/>
    <m/>
    <m/>
    <m/>
    <m/>
    <m/>
    <m/>
    <m/>
    <m/>
    <m/>
    <m/>
    <m/>
    <m/>
    <m/>
    <m/>
    <m/>
    <m/>
    <m/>
    <m/>
    <m/>
    <m/>
    <m/>
    <m/>
    <m/>
  </r>
  <r>
    <s v="Entertainment"/>
    <s v="25-44"/>
    <s v="Metros"/>
    <s v="Video"/>
    <x v="2"/>
    <s v="CTV"/>
    <s v="Instream"/>
    <s v="Deals 6 sec Video - Bumper"/>
    <s v="CPM"/>
    <s v="MF 25-44 - Metros | Affinity - Shoppers, Light TV Viewers"/>
    <n v="30600000"/>
    <n v="0"/>
    <n v="0"/>
    <n v="0.85"/>
    <n v="26010000"/>
    <n v="110"/>
    <e v="#DIV/0!"/>
    <n v="110"/>
    <n v="3366000"/>
    <n v="8.4381628885457222E-2"/>
    <n v="1"/>
    <n v="10200000"/>
    <n v="0"/>
    <n v="17000000"/>
    <n v="0.6"/>
    <m/>
    <e v="#DIV/0!"/>
    <n v="3"/>
    <s v="T-10"/>
    <s v="T-1"/>
    <n v="10"/>
  </r>
  <r>
    <s v="Entertainment"/>
    <s v="25-44"/>
    <s v="RO C1"/>
    <s v="Video"/>
    <x v="2"/>
    <s v="CTV"/>
    <s v="Instream"/>
    <s v="Deals 6 sec Video - Bumper"/>
    <s v="CPM"/>
    <s v="MF 25-44 - RO C1 - Shoppers, Light TV Viewers"/>
    <n v="10669532.58"/>
    <n v="0"/>
    <n v="0"/>
    <n v="0.85"/>
    <n v="9069102.693"/>
    <n v="110"/>
    <e v="#DIV/0!"/>
    <n v="110"/>
    <n v="1173648.5837999999"/>
    <n v="2.9421978383884145E-2"/>
    <n v="1"/>
    <n v="3556510.86"/>
    <n v="0"/>
    <n v="5927518.0999999996"/>
    <n v="0.6"/>
    <m/>
    <e v="#DIV/0!"/>
    <n v="3"/>
    <s v="T-10"/>
    <s v="T-1"/>
    <n v="10"/>
  </r>
  <r>
    <s v="Entertainment"/>
    <s v="18+"/>
    <s v="Metros"/>
    <s v="Video"/>
    <x v="3"/>
    <s v="CTV"/>
    <s v="Midroll"/>
    <s v="Non-Skip| Video 6 Sec "/>
    <s v="CPM"/>
    <s v="MF 18 +, Metros | Affinity - Shoppers, Light TV Viewers"/>
    <n v="14400000"/>
    <n v="0"/>
    <n v="0"/>
    <n v="0.75"/>
    <n v="10800000"/>
    <n v="150"/>
    <e v="#DIV/0!"/>
    <n v="150"/>
    <n v="2160000"/>
    <n v="1.6"/>
    <n v="1"/>
    <n v="7200000"/>
    <n v="0"/>
    <n v="12000000"/>
    <n v="0.6"/>
    <m/>
    <e v="#DIV/0!"/>
    <n v="2"/>
    <s v="T-10"/>
    <s v="T-1"/>
    <n v="10"/>
  </r>
  <r>
    <s v="Entertainment"/>
    <s v="18+"/>
    <s v="RO C1"/>
    <s v="Video"/>
    <x v="3"/>
    <s v="CTV"/>
    <s v="Midroll"/>
    <s v="Non-Skip| Video 6 Sec "/>
    <s v="CPM"/>
    <s v="MF 18+, RO C1 | Affinity - Shoppers, Light TV Viewers"/>
    <n v="4800000"/>
    <n v="0"/>
    <n v="0"/>
    <n v="0.75"/>
    <n v="3600000"/>
    <n v="150"/>
    <e v="#DIV/0!"/>
    <n v="150"/>
    <n v="720000"/>
    <n v="0.53333333333333333"/>
    <n v="1"/>
    <n v="2400000"/>
    <n v="0"/>
    <n v="4000000"/>
    <n v="0.6"/>
    <m/>
    <e v="#DIV/0!"/>
    <n v="2"/>
    <s v="T-10"/>
    <s v="T-1"/>
    <n v="10"/>
  </r>
  <r>
    <s v="Countdown"/>
    <m/>
    <m/>
    <m/>
    <x v="0"/>
    <m/>
    <m/>
    <m/>
    <m/>
    <m/>
    <m/>
    <m/>
    <m/>
    <m/>
    <m/>
    <m/>
    <m/>
    <m/>
    <m/>
    <m/>
    <m/>
    <m/>
    <m/>
    <m/>
    <m/>
    <m/>
    <m/>
    <m/>
    <m/>
    <m/>
    <m/>
  </r>
  <r>
    <s v="Utility"/>
    <s v="25-44"/>
    <s v="C1 Geos"/>
    <s v="Display"/>
    <x v="4"/>
    <s v="Desktop &amp; Mobile"/>
    <s v="Run On Site"/>
    <s v="Audience Roadblock : SOV 50% APV users"/>
    <s v="CPM - 1day "/>
    <s v="MF 25-44 | APV App users "/>
    <n v="20000000"/>
    <n v="0.01"/>
    <n v="200000"/>
    <n v="0"/>
    <n v="0"/>
    <n v="60"/>
    <n v="6"/>
    <n v="60"/>
    <n v="1200000"/>
    <n v="3.0082577142765497E-2"/>
    <n v="0.9"/>
    <n v="10000000"/>
    <n v="999999.99999999977"/>
    <n v="25000000"/>
    <n v="0.4"/>
    <m/>
    <e v="#DIV/0!"/>
    <n v="2"/>
    <s v="T-10"/>
    <s v="T-1"/>
    <n v="10"/>
  </r>
  <r>
    <s v="OTT"/>
    <s v="25-44"/>
    <s v="C1 Geos"/>
    <s v="Display"/>
    <x v="5"/>
    <s v="Mobile"/>
    <s v="Run On Site"/>
    <s v="Banner (Frames)"/>
    <s v="CPM"/>
    <s v="MF 25-44 | All C1 Geos | Streaming audience"/>
    <n v="18000000"/>
    <n v="5.0000000000000001E-3"/>
    <n v="90000"/>
    <n v="0"/>
    <n v="0"/>
    <n v="55"/>
    <n v="11"/>
    <n v="55"/>
    <n v="990000"/>
    <n v="2.4818126142781536E-2"/>
    <n v="1"/>
    <n v="6000000"/>
    <n v="0"/>
    <n v="30000000"/>
    <n v="0.2"/>
    <m/>
    <e v="#DIV/0!"/>
    <n v="3"/>
    <s v="T-10"/>
    <s v="T-1"/>
    <n v="10"/>
  </r>
  <r>
    <s v="Social"/>
    <s v="25-44"/>
    <s v="C1 Geos"/>
    <s v="Video/Display"/>
    <x v="1"/>
    <s v="Desktop &amp; Mobile"/>
    <s v="Run On Site"/>
    <s v="Video 6 second / Link Ad / Carousel"/>
    <s v="CPC"/>
    <s v="OBJECTIVE : Traffic | Location: C1 geos Age:25-44 Language: English (UK) or English (US) People who match: Interests: Voot, hotstar, Streaming media, Online shopping, Entertainment or Netflix_x000a_And must also match:_x000a_Behaviours: Facebook access (mobile): smartphones and tablets"/>
    <n v="13880000"/>
    <n v="0.01"/>
    <n v="138800"/>
    <n v="0"/>
    <n v="0"/>
    <n v="50"/>
    <n v="5"/>
    <n v="5"/>
    <n v="694000"/>
    <n v="0.40057720057720059"/>
    <n v="1"/>
    <n v="6940000"/>
    <n v="0"/>
    <n v="34700000"/>
    <n v="0.2"/>
    <m/>
    <e v="#DIV/0!"/>
    <n v="2"/>
    <s v="T-10"/>
    <s v="T-1"/>
    <n v="10"/>
  </r>
  <r>
    <s v="Not Yet Prime"/>
    <m/>
    <m/>
    <m/>
    <x v="0"/>
    <m/>
    <m/>
    <m/>
    <m/>
    <m/>
    <m/>
    <m/>
    <m/>
    <m/>
    <m/>
    <m/>
    <m/>
    <m/>
    <m/>
    <m/>
    <m/>
    <m/>
    <m/>
    <m/>
    <m/>
    <m/>
    <m/>
    <m/>
    <m/>
    <m/>
    <m/>
  </r>
  <r>
    <s v="Utility"/>
    <s v="25-44"/>
    <s v="C1 Geos"/>
    <s v="Video"/>
    <x v="6"/>
    <s v="Mobile"/>
    <s v="Run On Site(Binge)"/>
    <s v="Infeed| Video 10 Sec "/>
    <s v="CPM"/>
    <s v="MF 25-44 (A.in minus prime video app)"/>
    <n v="2250000"/>
    <n v="3.0000000000000001E-3"/>
    <n v="6750"/>
    <n v="0.4"/>
    <n v="900000"/>
    <n v="160"/>
    <n v="53.333333333333336"/>
    <n v="160"/>
    <n v="360000"/>
    <n v="9.024773142829649E-3"/>
    <n v="0.8"/>
    <n v="750000"/>
    <n v="149999.99999999997"/>
    <n v="5000000"/>
    <n v="0.15"/>
    <m/>
    <e v="#DIV/0!"/>
    <n v="3"/>
    <s v="T-10"/>
    <s v="T-1"/>
    <n v="10"/>
  </r>
  <r>
    <s v="Entertainment"/>
    <s v="25-44"/>
    <s v="C1 Geos"/>
    <s v="Video"/>
    <x v="5"/>
    <s v="Desktop &amp; Mobile"/>
    <s v="Run across OTT"/>
    <s v="Non-Skip| Video 10 Sec "/>
    <s v="CPM"/>
    <s v="MF 25-44 (A.in minus prime video app)"/>
    <n v="10000000"/>
    <n v="0.01"/>
    <n v="100000"/>
    <n v="0.85"/>
    <n v="8500000"/>
    <n v="135"/>
    <n v="13.5"/>
    <n v="135"/>
    <n v="1350000"/>
    <n v="3.3842899285611183E-2"/>
    <n v="0.8"/>
    <n v="2500000"/>
    <n v="499999.99999999988"/>
    <n v="5000000"/>
    <n v="0.5"/>
    <m/>
    <e v="#DIV/0!"/>
    <n v="4"/>
    <s v="T-10"/>
    <s v="T-1"/>
    <n v="10"/>
  </r>
  <r>
    <s v="Social"/>
    <s v="25-44"/>
    <s v="C1 Geos"/>
    <s v="Video"/>
    <x v="7"/>
    <s v="Mobile"/>
    <s v="Snap Ads"/>
    <s v="Infeed| Video 10 Sec "/>
    <s v="CPM"/>
    <s v="MF 25-44 (A.in minus prime video app)"/>
    <n v="14000000"/>
    <n v="0.01"/>
    <n v="140000"/>
    <n v="0.85"/>
    <n v="11900000"/>
    <n v="30"/>
    <n v="3"/>
    <n v="30"/>
    <n v="420000"/>
    <n v="1.0528901999967925E-2"/>
    <n v="0.8"/>
    <n v="3500000"/>
    <m/>
    <n v="7000000"/>
    <n v="0.5"/>
    <m/>
    <e v="#DIV/0!"/>
    <n v="4"/>
    <s v="T-10"/>
    <s v="T-1"/>
    <n v="10"/>
  </r>
  <r>
    <s v="Affluent Streamers"/>
    <m/>
    <m/>
    <m/>
    <x v="0"/>
    <m/>
    <m/>
    <m/>
    <m/>
    <m/>
    <m/>
    <m/>
    <m/>
    <m/>
    <m/>
    <m/>
    <m/>
    <m/>
    <m/>
    <m/>
    <m/>
    <m/>
    <m/>
    <m/>
    <m/>
    <m/>
    <m/>
    <m/>
    <m/>
    <m/>
    <m/>
  </r>
  <r>
    <s v="Entertainment"/>
    <s v="25-44"/>
    <s v="RO C1"/>
    <s v="Video"/>
    <x v="3"/>
    <s v="Desktop &amp; Mobile"/>
    <s v="Run across OTT"/>
    <s v="Non-Skip| Video 10 Sec "/>
    <s v="CPM"/>
    <s v="MF 25-44| Online Shoppers with 20k+ handsets"/>
    <n v="7734890.0000000009"/>
    <n v="3.0000000000000001E-3"/>
    <n v="23204.670000000002"/>
    <n v="0.85"/>
    <n v="6574656.5000000009"/>
    <n v="100"/>
    <n v="33.333333333333336"/>
    <n v="100"/>
    <n v="773489.00000000012"/>
    <n v="1.939045209298379E-2"/>
    <n v="0.85"/>
    <n v="2578296.666666667"/>
    <n v="386744.50000000012"/>
    <n v="5000000"/>
    <n v="0.51565933333333336"/>
    <m/>
    <e v="#DIV/0!"/>
    <n v="3"/>
    <s v="T-10"/>
    <s v="T-1"/>
    <n v="10"/>
  </r>
  <r>
    <s v="Google Demand Gen"/>
    <m/>
    <m/>
    <m/>
    <x v="0"/>
    <m/>
    <m/>
    <m/>
    <m/>
    <m/>
    <m/>
    <m/>
    <m/>
    <m/>
    <m/>
    <m/>
    <m/>
    <m/>
    <m/>
    <m/>
    <m/>
    <m/>
    <m/>
    <m/>
    <m/>
    <m/>
    <m/>
    <m/>
    <m/>
    <m/>
    <m/>
  </r>
  <r>
    <s v="Network"/>
    <s v="25-44"/>
    <s v="Metros"/>
    <s v="Display"/>
    <x v="8"/>
    <s v="Desktop &amp; Mobile"/>
    <s v="Run across Network"/>
    <s v="Banner"/>
    <s v="CPC"/>
    <s v="MF 25-44 | Affinity - Shopping Enthusiasts"/>
    <n v="2500000"/>
    <n v="0.02"/>
    <n v="50000"/>
    <n v="0"/>
    <n v="0"/>
    <n v="40"/>
    <n v="2"/>
    <n v="2"/>
    <n v="100000"/>
    <n v="2.5068814285637915E-3"/>
    <m/>
    <m/>
    <m/>
    <m/>
    <m/>
    <m/>
    <m/>
    <m/>
    <s v="T-17"/>
    <s v="T-11"/>
    <n v="7"/>
  </r>
  <r>
    <s v="Network"/>
    <s v="25-44"/>
    <s v="RO C1"/>
    <s v="Display"/>
    <x v="8"/>
    <s v="Desktop &amp; Mobile"/>
    <s v="Run across Network"/>
    <s v="Banner"/>
    <s v="CPC"/>
    <s v="MF 25-44 | Affinity - Shopping Enthusiasts"/>
    <n v="2500000"/>
    <n v="0.02"/>
    <n v="50000"/>
    <n v="0"/>
    <n v="0"/>
    <n v="40"/>
    <n v="2"/>
    <n v="2"/>
    <n v="100000"/>
    <n v="2.5068814285637915E-3"/>
    <m/>
    <m/>
    <m/>
    <m/>
    <m/>
    <m/>
    <m/>
    <m/>
    <s v="T-17"/>
    <s v="T-11"/>
    <n v="7"/>
  </r>
  <r>
    <s v="Lotame"/>
    <m/>
    <m/>
    <m/>
    <x v="0"/>
    <m/>
    <m/>
    <m/>
    <m/>
    <m/>
    <m/>
    <m/>
    <m/>
    <m/>
    <m/>
    <m/>
    <m/>
    <m/>
    <m/>
    <m/>
    <m/>
    <m/>
    <m/>
    <m/>
    <m/>
    <m/>
    <m/>
    <m/>
    <m/>
    <m/>
    <m/>
  </r>
  <r>
    <s v="Network"/>
    <s v="18+"/>
    <s v="Pan India"/>
    <s v="Display"/>
    <x v="9"/>
    <s v="Desktop &amp; Mobile"/>
    <s v="Run On Network"/>
    <s v="Banner"/>
    <s v="CPM"/>
    <s v="All Amazon Clickers + Fashionistas Affinity"/>
    <n v="16500000"/>
    <n v="0.02"/>
    <n v="330000"/>
    <n v="0"/>
    <n v="0"/>
    <n v="105"/>
    <n v="5.25"/>
    <n v="105"/>
    <n v="1732500"/>
    <n v="4.3431720749867689E-2"/>
    <n v="1"/>
    <n v="8250000"/>
    <n v="0"/>
    <n v="16500000"/>
    <n v="0.5"/>
    <m/>
    <m/>
    <n v="2"/>
    <s v="T-10"/>
    <s v="T-1"/>
    <n v="10"/>
  </r>
  <r>
    <s v="Network"/>
    <s v="18+"/>
    <s v="Pan India"/>
    <s v="Display"/>
    <x v="9"/>
    <s v="Desktop &amp; Mobile"/>
    <s v="Run On Network"/>
    <s v="Banner"/>
    <s v="CPM Data Cost"/>
    <s v="All Amazon Clickers + Fashionistas Affinity"/>
    <m/>
    <m/>
    <n v="0"/>
    <n v="0"/>
    <n v="0"/>
    <e v="#DIV/0!"/>
    <m/>
    <n v="17"/>
    <n v="280500"/>
    <n v="7.0318024071214348E-3"/>
    <m/>
    <m/>
    <m/>
    <m/>
    <m/>
    <m/>
    <m/>
    <m/>
    <s v="T-10"/>
    <s v="T-1"/>
    <n v="10"/>
  </r>
  <r>
    <s v="Network"/>
    <s v="18+"/>
    <s v="Pan India"/>
    <s v="Display"/>
    <x v="9"/>
    <s v="Desktop &amp; Mobile"/>
    <s v="Run On Network"/>
    <s v="Banner"/>
    <s v="CPM"/>
    <s v="All Amazon Clickers + Electronics Appliances"/>
    <n v="8600000"/>
    <n v="0.02"/>
    <n v="172000"/>
    <n v="0"/>
    <n v="0"/>
    <n v="105"/>
    <n v="5.25"/>
    <n v="105"/>
    <n v="903000"/>
    <n v="2.2637139299931039E-2"/>
    <n v="1"/>
    <n v="4300000"/>
    <n v="0"/>
    <n v="8600000"/>
    <n v="0.5"/>
    <m/>
    <m/>
    <n v="2"/>
    <s v="T-10"/>
    <s v="T-1"/>
    <n v="10"/>
  </r>
  <r>
    <s v="Network"/>
    <s v="18+"/>
    <s v="Pan India"/>
    <s v="Display"/>
    <x v="9"/>
    <s v="Desktop &amp; Mobile"/>
    <s v="Run On Network"/>
    <s v="Banner"/>
    <s v="CPM Data Cost"/>
    <s v="All Amazon Clickers + Electronics Appliances"/>
    <m/>
    <m/>
    <n v="0"/>
    <n v="0"/>
    <n v="0"/>
    <e v="#DIV/0!"/>
    <m/>
    <n v="17"/>
    <n v="146200"/>
    <n v="3.6650606485602632E-3"/>
    <m/>
    <m/>
    <m/>
    <m/>
    <m/>
    <m/>
    <m/>
    <m/>
    <s v="T-10"/>
    <s v="T-1"/>
    <n v="10"/>
  </r>
  <r>
    <s v="Network"/>
    <s v="18+"/>
    <s v="Pan India"/>
    <s v="Display"/>
    <x v="9"/>
    <s v="Desktop &amp; Mobile"/>
    <s v="Run On Network"/>
    <s v="Banner"/>
    <s v="CPM"/>
    <s v="All Amazon Clickers + Beauty &amp; Wellness"/>
    <n v="10000000"/>
    <n v="0.02"/>
    <n v="200000"/>
    <n v="0"/>
    <n v="0"/>
    <n v="105"/>
    <n v="5.25"/>
    <n v="105"/>
    <n v="1050000"/>
    <n v="2.632225499991981E-2"/>
    <n v="1"/>
    <n v="5000000"/>
    <n v="0"/>
    <n v="10000000"/>
    <n v="0.5"/>
    <m/>
    <m/>
    <n v="2"/>
    <s v="T-10"/>
    <s v="T-1"/>
    <n v="10"/>
  </r>
  <r>
    <s v="Network"/>
    <s v="18+"/>
    <s v="Pan India"/>
    <s v="Display"/>
    <x v="9"/>
    <s v="Desktop &amp; Mobile"/>
    <s v="Run On Network"/>
    <s v="Banner"/>
    <s v="CPM Data Cost"/>
    <s v="All Amazon Clickers + Beauty &amp; Wellness"/>
    <m/>
    <m/>
    <n v="0"/>
    <n v="0"/>
    <n v="0"/>
    <e v="#DIV/0!"/>
    <m/>
    <n v="17"/>
    <n v="170000"/>
    <n v="4.2616984285584452E-3"/>
    <m/>
    <m/>
    <m/>
    <m/>
    <m/>
    <m/>
    <m/>
    <m/>
    <s v="T-10"/>
    <s v="T-1"/>
    <n v="10"/>
  </r>
  <r>
    <s v="Network"/>
    <s v="18+"/>
    <s v="Pan India"/>
    <s v="Display"/>
    <x v="9"/>
    <s v="Desktop &amp; Mobile"/>
    <s v="Run On Network"/>
    <s v="Banner"/>
    <s v="CPM"/>
    <s v="All Amazon Clickers + Kitchen Appliances (Cooking Enthusiasts) Affinity + Inmarket Kitchen Appliances"/>
    <n v="12000000"/>
    <n v="0.02"/>
    <n v="240000"/>
    <n v="0"/>
    <n v="0"/>
    <n v="105"/>
    <n v="5.25"/>
    <n v="105"/>
    <n v="1260000"/>
    <n v="3.1586705999903771E-2"/>
    <n v="1"/>
    <n v="6000000"/>
    <n v="0"/>
    <n v="12000000"/>
    <n v="0.5"/>
    <m/>
    <m/>
    <n v="2"/>
    <s v="T-10"/>
    <s v="T-1"/>
    <n v="10"/>
  </r>
  <r>
    <s v="Network"/>
    <s v="18+"/>
    <s v="Pan India"/>
    <s v="Display"/>
    <x v="9"/>
    <s v="Desktop &amp; Mobile"/>
    <s v="Run On Network"/>
    <s v="Banner"/>
    <s v="CPM Data Cost"/>
    <s v="All Amazon Clickers + Kitchen Appliances (Cooking Enthusiasts) Affinity + Inmarket Kitchen Appliances"/>
    <m/>
    <m/>
    <n v="0"/>
    <n v="0"/>
    <n v="0"/>
    <e v="#DIV/0!"/>
    <m/>
    <n v="17"/>
    <n v="204000"/>
    <n v="5.1140381142701346E-3"/>
    <m/>
    <m/>
    <m/>
    <m/>
    <m/>
    <m/>
    <m/>
    <m/>
    <s v="T-10"/>
    <s v="T-1"/>
    <n v="10"/>
  </r>
  <r>
    <s v="Network"/>
    <s v="18+"/>
    <s v="Pan India"/>
    <s v="Display"/>
    <x v="9"/>
    <s v="Desktop &amp; Mobile"/>
    <s v="Run On Network"/>
    <s v="Banner"/>
    <s v="CPM"/>
    <s v="All Amazon Clickers + New Parents"/>
    <n v="8700000"/>
    <n v="0.02"/>
    <n v="174000"/>
    <n v="0"/>
    <n v="0"/>
    <n v="105"/>
    <n v="5.25"/>
    <n v="105"/>
    <n v="913500"/>
    <n v="2.2900361849930235E-2"/>
    <n v="1"/>
    <n v="4350000"/>
    <n v="0"/>
    <n v="14500000"/>
    <n v="0.3"/>
    <m/>
    <m/>
    <n v="2"/>
    <s v="T-10"/>
    <s v="T-1"/>
    <n v="10"/>
  </r>
  <r>
    <s v="Network"/>
    <s v="18+"/>
    <s v="Pan India"/>
    <s v="Display"/>
    <x v="9"/>
    <s v="Desktop &amp; Mobile"/>
    <s v="Run On Network"/>
    <s v="Banner"/>
    <s v="CPM Data Cost"/>
    <s v="All Amazon Clickers + New Parents"/>
    <m/>
    <m/>
    <n v="0"/>
    <n v="0"/>
    <n v="0"/>
    <e v="#DIV/0!"/>
    <m/>
    <n v="17"/>
    <n v="147900"/>
    <n v="3.7076776328458477E-3"/>
    <m/>
    <m/>
    <m/>
    <m/>
    <m/>
    <m/>
    <m/>
    <m/>
    <s v="T-10"/>
    <s v="T-1"/>
    <n v="10"/>
  </r>
  <r>
    <s v="Network"/>
    <s v="18+"/>
    <s v="Pan India"/>
    <s v="Display"/>
    <x v="9"/>
    <s v="Desktop &amp; Mobile"/>
    <s v="Run On Network"/>
    <s v="Banner"/>
    <s v="CPM"/>
    <s v="All Amazon Clickers + Personal Care"/>
    <n v="5100000"/>
    <n v="0.02"/>
    <n v="102000"/>
    <n v="0"/>
    <n v="0"/>
    <n v="122"/>
    <n v="5.25"/>
    <n v="105"/>
    <n v="535500"/>
    <n v="3.7868180912349864E-2"/>
    <n v="1"/>
    <n v="2550000"/>
    <n v="0"/>
    <n v="8500000"/>
    <n v="0.3"/>
    <m/>
    <m/>
    <n v="2"/>
    <s v="T-10"/>
    <s v="T-1"/>
    <n v="10"/>
  </r>
  <r>
    <s v="Network"/>
    <s v="18+"/>
    <s v="Pan India"/>
    <s v="Display"/>
    <x v="9"/>
    <s v="Desktop &amp; Mobile"/>
    <s v="Run On Network"/>
    <s v="Banner"/>
    <s v="CPM Data Cost"/>
    <s v="All Amazon Clickers + Personal Care"/>
    <m/>
    <m/>
    <m/>
    <n v="0"/>
    <n v="0"/>
    <n v="122"/>
    <m/>
    <n v="17"/>
    <n v="86700"/>
    <n v="3.7868180912349864E-2"/>
    <m/>
    <m/>
    <m/>
    <m/>
    <m/>
    <m/>
    <m/>
    <m/>
    <s v="T-10"/>
    <s v="T-1"/>
    <n v="10"/>
  </r>
  <r>
    <s v="C1 Total"/>
    <m/>
    <m/>
    <m/>
    <x v="0"/>
    <m/>
    <m/>
    <m/>
    <m/>
    <m/>
    <n v="356340746.36360753"/>
    <m/>
    <n v="2348394.9653686211"/>
    <m/>
    <n v="164150779.2126261"/>
    <m/>
    <m/>
    <n v="91.566287914047351"/>
    <n v="32628799.377036609"/>
    <n v="5.3353290053171909E-2"/>
    <m/>
    <m/>
    <n v="40460666.892880633"/>
    <n v="56000000"/>
    <n v="0.72251190880143989"/>
    <m/>
    <m/>
    <n v="8.8070902861541427"/>
    <m/>
    <m/>
    <m/>
  </r>
  <r>
    <s v="C2- MF 25-44"/>
    <m/>
    <m/>
    <m/>
    <x v="0"/>
    <m/>
    <m/>
    <m/>
    <m/>
    <m/>
    <m/>
    <m/>
    <m/>
    <m/>
    <m/>
    <m/>
    <m/>
    <m/>
    <m/>
    <n v="0"/>
    <m/>
    <m/>
    <m/>
    <m/>
    <n v="0.5"/>
    <m/>
    <m/>
    <m/>
    <m/>
    <m/>
    <m/>
  </r>
  <r>
    <s v="Social"/>
    <s v="25-44"/>
    <s v="C2"/>
    <s v="Video"/>
    <x v="1"/>
    <s v="Desktop &amp; Mobile"/>
    <s v="Automatic Placemnets"/>
    <s v="Video 6 second / Link Ad / Carousel"/>
    <s v="CPM (RnF)"/>
    <s v="OBJECTIVE : Brand Awareness | Location: India: Kochi Age:25-44 Language: English (UK) or English (US) People who match: Interests: Voot, hotstar, Streaming media, Online shopping, Entertainment or Netflix_x000a_And must also match:_x000a_Behaviours: Facebook access (mobile): smartphones and tablets"/>
    <n v="4500000"/>
    <n v="1.5E-3"/>
    <n v="5400"/>
    <n v="0.25"/>
    <n v="1125000"/>
    <n v="90"/>
    <n v="75"/>
    <n v="90"/>
    <n v="405000"/>
    <n v="1.4912410263308919E-2"/>
    <n v="0"/>
    <n v="2250000"/>
    <n v="2250000"/>
    <n v="4500000"/>
    <n v="0.5"/>
    <m/>
    <e v="#DIV/0!"/>
    <n v="2"/>
    <s v="T-17"/>
    <s v="T-11"/>
    <n v="7"/>
  </r>
  <r>
    <s v="Social"/>
    <s v="25-44"/>
    <s v="C2"/>
    <s v="Display"/>
    <x v="10"/>
    <s v="Desktop &amp; Mobile"/>
    <s v="Automatic Placemnets"/>
    <s v="Deals 6 sec Video - Bumper"/>
    <s v="CPM"/>
    <s v="OBJECTIVE : Age: 25-44 Language: Heavy Shoppers - Streamers"/>
    <n v="3600000"/>
    <n v="1.5E-3"/>
    <n v="13800"/>
    <n v="0.6"/>
    <n v="2160000"/>
    <n v="90"/>
    <n v="23.478260869565219"/>
    <n v="90"/>
    <n v="324000"/>
    <n v="3.810949289512279E-2"/>
    <n v="1"/>
    <n v="1800000"/>
    <n v="0"/>
    <n v="4500000"/>
    <n v="0.4"/>
    <m/>
    <e v="#DIV/0!"/>
    <n v="2"/>
    <s v="T-17"/>
    <s v="T-11"/>
    <n v="7"/>
  </r>
  <r>
    <s v="Entertainment"/>
    <s v="25-44"/>
    <s v="C2"/>
    <s v="Video"/>
    <x v="2"/>
    <s v="Desktop &amp; Mobile"/>
    <s v="Instream"/>
    <s v="NonSkip| Video 20 Sec "/>
    <s v="CPM"/>
    <s v="MF 25-44 - Kochi, Coimbatore, Vizag | Affinity - Shoppers, Light TV Viewers"/>
    <n v="3600000"/>
    <n v="2.5000000000000001E-3"/>
    <n v="5400"/>
    <n v="0.8"/>
    <n v="2880000"/>
    <n v="120"/>
    <n v="80"/>
    <n v="120"/>
    <n v="432000"/>
    <n v="1.1929928210647135E-2"/>
    <n v="1"/>
    <n v="1800000"/>
    <n v="0"/>
    <n v="4500000"/>
    <n v="0.4"/>
    <m/>
    <e v="#DIV/0!"/>
    <n v="2"/>
    <s v="T-17"/>
    <s v="T-11"/>
    <n v="7"/>
  </r>
  <r>
    <s v="Entertainment"/>
    <s v="25-44"/>
    <s v="C2"/>
    <s v="Video"/>
    <x v="2"/>
    <s v="Desktop &amp; Mobile"/>
    <s v="Bumper"/>
    <s v="Deals 6 sec Video - Bumper"/>
    <s v="CPM"/>
    <s v="MF 25-44 - Affinity - Shoppers, Light TV Viewers"/>
    <n v="4500000"/>
    <n v="3.0000000000000001E-3"/>
    <n v="10800"/>
    <n v="0.85"/>
    <n v="3825000"/>
    <n v="70"/>
    <n v="29.166666666666668"/>
    <n v="70"/>
    <n v="315000"/>
    <n v="1.1598541315906936E-2"/>
    <n v="1"/>
    <n v="2250000"/>
    <n v="0"/>
    <n v="4500000"/>
    <n v="0.5"/>
    <m/>
    <e v="#DIV/0!"/>
    <n v="2"/>
    <s v="T-17"/>
    <s v="T-11"/>
    <n v="7"/>
  </r>
  <r>
    <s v="Heavy Streamers"/>
    <m/>
    <m/>
    <m/>
    <x v="0"/>
    <m/>
    <m/>
    <m/>
    <m/>
    <m/>
    <m/>
    <m/>
    <m/>
    <m/>
    <m/>
    <m/>
    <m/>
    <m/>
    <m/>
    <n v="0"/>
    <m/>
    <m/>
    <m/>
    <m/>
    <m/>
    <m/>
    <m/>
    <m/>
    <m/>
    <m/>
    <m/>
  </r>
  <r>
    <s v="Entertainment"/>
    <s v="18+"/>
    <s v="C2"/>
    <s v="Video"/>
    <x v="11"/>
    <s v="CTV"/>
    <s v="Midroll"/>
    <s v="Non-Skip| Video 20 Sec "/>
    <s v="CPM"/>
    <s v="MF 18+, RO C1 | Affinity - Shoppers, Light TV Viewers"/>
    <n v="1800000"/>
    <n v="0"/>
    <n v="0"/>
    <n v="0.8"/>
    <n v="1440000"/>
    <n v="200"/>
    <e v="#DIV/0!"/>
    <n v="200"/>
    <n v="360000"/>
    <n v="9.941606842205946E-3"/>
    <n v="1"/>
    <n v="900000"/>
    <n v="0"/>
    <n v="4500000"/>
    <n v="0.2"/>
    <m/>
    <e v="#DIV/0!"/>
    <n v="2"/>
    <s v="T-17"/>
    <s v="T-11"/>
    <n v="7"/>
  </r>
  <r>
    <s v="Entertainment"/>
    <s v="18+"/>
    <s v="C2"/>
    <s v="Video"/>
    <x v="11"/>
    <s v="CTV"/>
    <s v="Midroll"/>
    <s v="Deals 6 sec Video - Bumper"/>
    <s v="CPM"/>
    <s v="MF 18+, RO C1 | Affinity - Shoppers, Light TV Viewers"/>
    <n v="1800000"/>
    <n v="0"/>
    <n v="0"/>
    <n v="0.85"/>
    <n v="1530000"/>
    <n v="100"/>
    <e v="#DIV/0!"/>
    <n v="100"/>
    <n v="180000"/>
    <n v="4.970803421102973E-3"/>
    <n v="1"/>
    <n v="900000"/>
    <n v="0"/>
    <n v="4500000"/>
    <n v="0.2"/>
    <m/>
    <e v="#DIV/0!"/>
    <n v="2"/>
    <s v="T-17"/>
    <s v="T-11"/>
    <n v="7"/>
  </r>
  <r>
    <s v="C2 (Premium) Total"/>
    <m/>
    <m/>
    <m/>
    <x v="0"/>
    <m/>
    <m/>
    <m/>
    <m/>
    <m/>
    <n v="19800000"/>
    <m/>
    <n v="35400"/>
    <m/>
    <n v="12960000"/>
    <m/>
    <m/>
    <n v="101.81818181818183"/>
    <n v="2016000"/>
    <n v="5.3353290053171909E-2"/>
    <m/>
    <m/>
    <n v="2250000"/>
    <n v="4500000"/>
    <n v="0.5"/>
    <m/>
    <m/>
    <n v="8.8000000000000007"/>
    <m/>
    <m/>
    <m/>
  </r>
  <r>
    <s v="PSE- C2"/>
    <m/>
    <m/>
    <m/>
    <x v="0"/>
    <m/>
    <m/>
    <m/>
    <m/>
    <m/>
    <m/>
    <m/>
    <m/>
    <m/>
    <m/>
    <m/>
    <m/>
    <m/>
    <m/>
    <n v="0"/>
    <m/>
    <m/>
    <m/>
    <m/>
    <m/>
    <m/>
    <m/>
    <m/>
    <m/>
    <m/>
    <m/>
  </r>
  <r>
    <s v="Social"/>
    <s v="25-44"/>
    <s v="C2"/>
    <s v="Display"/>
    <x v="1"/>
    <s v="Desktop &amp; Mobile"/>
    <s v="Automatic Placemnets"/>
    <s v="Link Ad / Carousel"/>
    <s v="CPM (RnF)"/>
    <s v="OBJECTIVE : Brand Awareness | Location: India: C2 Age:25-44 Language: English (UK) or English (US) People who match: Interests: Voot, hotstar, Streaming media, Online shopping, Entertainment or Netflix_x000a_And must also match:_x000a_Behaviours: Facebook access (mobile): smartphones and tablets"/>
    <n v="9200000"/>
    <n v="1.5E-3"/>
    <n v="13800"/>
    <n v="0.25"/>
    <n v="2300000"/>
    <n v="90"/>
    <n v="60"/>
    <n v="110"/>
    <n v="1012000"/>
    <n v="3.810949289512279E-2"/>
    <n v="0"/>
    <n v="4600000"/>
    <n v="4600000"/>
    <n v="11500000"/>
    <n v="0.4"/>
    <m/>
    <e v="#DIV/0!"/>
    <n v="2"/>
    <s v="T-17"/>
    <s v="T-11"/>
    <n v="7"/>
  </r>
  <r>
    <s v="Social"/>
    <s v="25-44"/>
    <s v="C2"/>
    <s v="Display"/>
    <x v="10"/>
    <s v="Desktop &amp; Mobile"/>
    <s v="Automatic Placemnets"/>
    <s v="Banner"/>
    <s v="CPM"/>
    <s v="OBJECTIVE : Age: 25-44 Language: Heavy Shoppers - Streamers"/>
    <n v="9200000"/>
    <n v="1.5E-3"/>
    <n v="13800"/>
    <n v="0.25"/>
    <n v="2300000"/>
    <n v="90"/>
    <n v="60"/>
    <n v="90"/>
    <n v="828000"/>
    <n v="3.810949289512279E-2"/>
    <n v="0.8"/>
    <n v="4600000"/>
    <n v="919999.99999999977"/>
    <n v="11500000"/>
    <n v="0.4"/>
    <m/>
    <e v="#DIV/0!"/>
    <n v="2"/>
    <s v="T-17"/>
    <s v="T-11"/>
    <n v="7"/>
  </r>
  <r>
    <s v="Network"/>
    <s v="25-44"/>
    <s v="C2"/>
    <s v="Display"/>
    <x v="9"/>
    <s v="Desktop &amp; Mobile"/>
    <s v="Run across Network"/>
    <s v="Banner"/>
    <s v="CPM"/>
    <s v="MF 25-44 | Heavy Shoppers"/>
    <n v="9200000"/>
    <n v="1.4999999999999999E-2"/>
    <n v="138000"/>
    <n v="0"/>
    <n v="0"/>
    <n v="105"/>
    <n v="7"/>
    <n v="122"/>
    <n v="1122400"/>
    <n v="3.8744651110041509E-2"/>
    <n v="0.9"/>
    <n v="4600000"/>
    <n v="459999.99999999988"/>
    <n v="11500000"/>
    <n v="0.4"/>
    <m/>
    <e v="#DIV/0!"/>
    <n v="2"/>
    <s v="T-17"/>
    <s v="T-11"/>
    <n v="7"/>
  </r>
  <r>
    <s v="Network"/>
    <s v="25-44"/>
    <s v="C2"/>
    <s v="Display"/>
    <x v="12"/>
    <s v="Desktop &amp; Mobile"/>
    <s v="Run across Network"/>
    <s v="Banner"/>
    <s v="CPM"/>
    <s v="MF 25-44 | Heavy Shoppers"/>
    <n v="4600000"/>
    <n v="1.4999999999999999E-2"/>
    <n v="138000"/>
    <n v="0"/>
    <n v="0"/>
    <n v="105"/>
    <n v="7"/>
    <n v="105"/>
    <n v="483000"/>
    <n v="2.2230537522154963E-2"/>
    <n v="1"/>
    <n v="2300000"/>
    <n v="0"/>
    <n v="11500000"/>
    <n v="0.2"/>
    <m/>
    <e v="#DIV/0!"/>
    <n v="2"/>
    <s v="T-17"/>
    <s v="T-11"/>
    <n v="7"/>
  </r>
  <r>
    <s v="Regional ROS"/>
    <m/>
    <m/>
    <m/>
    <x v="0"/>
    <m/>
    <m/>
    <m/>
    <m/>
    <m/>
    <m/>
    <m/>
    <m/>
    <m/>
    <m/>
    <m/>
    <m/>
    <m/>
    <m/>
    <m/>
    <m/>
    <m/>
    <m/>
    <m/>
    <m/>
    <m/>
    <m/>
    <m/>
    <m/>
    <m/>
    <m/>
  </r>
  <r>
    <s v="Regional Network"/>
    <s v="25-44"/>
    <s v="Maharashtra"/>
    <s v="Display"/>
    <x v="13"/>
    <s v="Desktop &amp; Mobile"/>
    <s v="Run On Site"/>
    <s v="Banners"/>
    <s v="CPM"/>
    <s v="MF 25-44 | Maharashtra"/>
    <n v="4000000"/>
    <n v="3.0000000000000001E-3"/>
    <n v="12000"/>
    <n v="0"/>
    <n v="0"/>
    <n v="75"/>
    <n v="25"/>
    <n v="75"/>
    <n v="300000"/>
    <n v="7.5206442856913741E-3"/>
    <n v="1"/>
    <n v="1333333.3333333333"/>
    <n v="0"/>
    <m/>
    <m/>
    <m/>
    <m/>
    <n v="3"/>
    <s v="T-10"/>
    <s v="T-1"/>
    <n v="10"/>
  </r>
  <r>
    <s v="Regional Network"/>
    <s v="25-44"/>
    <s v="Maharashtra"/>
    <s v="Display"/>
    <x v="14"/>
    <s v="Desktop &amp; Mobile"/>
    <s v="Run On Site"/>
    <s v="Banners"/>
    <s v="CPM"/>
    <s v="MF 25-44 | Maharashtra"/>
    <n v="4285714.2857142854"/>
    <n v="2E-3"/>
    <n v="8571.4285714285706"/>
    <n v="0"/>
    <n v="0"/>
    <n v="70"/>
    <n v="35"/>
    <n v="70"/>
    <n v="300000"/>
    <n v="7.5206442856913741E-3"/>
    <n v="1"/>
    <n v="1428571.4285714284"/>
    <n v="0"/>
    <m/>
    <m/>
    <m/>
    <m/>
    <n v="3"/>
    <s v="T-10"/>
    <s v="T-1"/>
    <n v="10"/>
  </r>
  <r>
    <s v="Regional Network"/>
    <s v="25-44"/>
    <s v="AP/TL"/>
    <s v="Display"/>
    <x v="14"/>
    <s v="Desktop &amp; Mobile"/>
    <s v="Run On Site"/>
    <s v="Banners"/>
    <s v="CPM"/>
    <s v="MF 25-44 | AP/TL"/>
    <n v="4285714.2857142854"/>
    <n v="2E-3"/>
    <n v="8571.4285714285706"/>
    <n v="0"/>
    <n v="0"/>
    <n v="70"/>
    <n v="35"/>
    <n v="70"/>
    <n v="300000"/>
    <n v="7.5206442856913741E-3"/>
    <n v="1"/>
    <n v="1428571.4285714284"/>
    <n v="0"/>
    <m/>
    <m/>
    <m/>
    <m/>
    <n v="3"/>
    <s v="T-10"/>
    <s v="T-1"/>
    <n v="10"/>
  </r>
  <r>
    <s v="Regional Network"/>
    <s v="25-44"/>
    <s v="AP/TL"/>
    <s v="Display"/>
    <x v="15"/>
    <s v="Desktop &amp; Mobile"/>
    <s v="Run On Site"/>
    <s v="Banners"/>
    <s v="CPM"/>
    <s v="MF 25-44 | AP/TL"/>
    <n v="3333333.3333333335"/>
    <n v="2E-3"/>
    <n v="6666.666666666667"/>
    <n v="0"/>
    <n v="0"/>
    <n v="90"/>
    <n v="45"/>
    <n v="90"/>
    <n v="300000"/>
    <n v="7.5206442856913741E-3"/>
    <n v="1"/>
    <n v="1111111.1111111112"/>
    <n v="0"/>
    <m/>
    <m/>
    <m/>
    <m/>
    <n v="3"/>
    <s v="T-10"/>
    <s v="T-1"/>
    <n v="10"/>
  </r>
  <r>
    <s v="Regional Network"/>
    <s v="25-44"/>
    <s v="Tamil Nadu"/>
    <s v="Display"/>
    <x v="15"/>
    <s v="Desktop &amp; Mobile"/>
    <s v="Run On Site"/>
    <s v="Banners"/>
    <s v="CPM"/>
    <s v="MF 25-44 | Tamil Nadu"/>
    <n v="3333333.3333333335"/>
    <n v="2E-3"/>
    <n v="6666.666666666667"/>
    <n v="0"/>
    <n v="0"/>
    <n v="90"/>
    <n v="45"/>
    <n v="90"/>
    <n v="300000"/>
    <n v="7.5206442856913741E-3"/>
    <n v="1"/>
    <n v="1111111.1111111112"/>
    <n v="0"/>
    <m/>
    <m/>
    <m/>
    <m/>
    <n v="3"/>
    <s v="T-10"/>
    <s v="T-1"/>
    <n v="10"/>
  </r>
  <r>
    <s v="Regional Network"/>
    <s v="25-44"/>
    <s v="Tamil Nadu"/>
    <s v="Display"/>
    <x v="16"/>
    <s v="Desktop &amp; Mobile"/>
    <s v="Run On Site"/>
    <s v="Banners"/>
    <s v="CPM"/>
    <s v="MF 25-44 | Tamil Nadu"/>
    <n v="3529411.7647058824"/>
    <n v="2E-3"/>
    <n v="7058.8235294117649"/>
    <n v="0"/>
    <n v="0"/>
    <n v="85"/>
    <n v="42.5"/>
    <n v="85"/>
    <n v="300000"/>
    <n v="7.5206442856913741E-3"/>
    <n v="1"/>
    <n v="1176470.5882352942"/>
    <n v="0"/>
    <m/>
    <m/>
    <m/>
    <m/>
    <n v="3"/>
    <s v="T-10"/>
    <s v="T-1"/>
    <n v="10"/>
  </r>
  <r>
    <s v="C2 (PSE) Total"/>
    <m/>
    <m/>
    <m/>
    <x v="0"/>
    <m/>
    <m/>
    <m/>
    <m/>
    <m/>
    <n v="54967507.00280112"/>
    <m/>
    <n v="353135.01400560228"/>
    <m/>
    <n v="4600000"/>
    <m/>
    <m/>
    <n v="100.625"/>
    <n v="5245400"/>
    <n v="5.3353290053171909E-2"/>
    <m/>
    <m/>
    <n v="5980000"/>
    <n v="11500000"/>
    <n v="0.52"/>
    <m/>
    <m/>
    <n v="9.1918908031440001"/>
    <m/>
    <m/>
    <m/>
  </r>
  <r>
    <s v="Total"/>
    <m/>
    <m/>
    <m/>
    <x v="0"/>
    <m/>
    <m/>
    <m/>
    <m/>
    <m/>
    <n v="431108253.36640865"/>
    <n v="6.3485910047007257E-3"/>
    <n v="2736929.9793742234"/>
    <m/>
    <n v="181710779.2126261"/>
    <n v="92.52942634603896"/>
    <n v="14.574797191617293"/>
    <m/>
    <n v="39890199.377036609"/>
    <m/>
    <m/>
    <m/>
    <n v="48690666.892880633"/>
    <n v="72000000"/>
    <n v="0.67625926240111989"/>
    <m/>
    <m/>
    <n v="8.854022359456401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A2726F-FE1C-423F-BB74-2550BF3C2FFB}"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31">
    <pivotField showAll="0"/>
    <pivotField showAll="0"/>
    <pivotField axis="axisRow" showAll="0">
      <items count="19">
        <item x="9"/>
        <item x="3"/>
        <item x="10"/>
        <item h="1" x="17"/>
        <item x="11"/>
        <item x="4"/>
        <item x="13"/>
        <item x="2"/>
        <item x="5"/>
        <item x="12"/>
        <item x="14"/>
        <item x="6"/>
        <item h="1" x="15"/>
        <item x="1"/>
        <item x="7"/>
        <item h="1" x="16"/>
        <item x="8"/>
        <item h="1"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5">
    <i>
      <x/>
    </i>
    <i>
      <x v="1"/>
    </i>
    <i>
      <x v="2"/>
    </i>
    <i>
      <x v="4"/>
    </i>
    <i>
      <x v="5"/>
    </i>
    <i>
      <x v="6"/>
    </i>
    <i>
      <x v="7"/>
    </i>
    <i>
      <x v="8"/>
    </i>
    <i>
      <x v="9"/>
    </i>
    <i>
      <x v="10"/>
    </i>
    <i>
      <x v="11"/>
    </i>
    <i>
      <x v="13"/>
    </i>
    <i>
      <x v="14"/>
    </i>
    <i>
      <x v="16"/>
    </i>
    <i t="grand">
      <x/>
    </i>
  </rowItems>
  <colFields count="1">
    <field x="-2"/>
  </colFields>
  <colItems count="2">
    <i>
      <x/>
    </i>
    <i i="1">
      <x v="1"/>
    </i>
  </colItems>
  <dataFields count="2">
    <dataField name="Sum of Effective Reach" fld="22" baseField="0" baseItem="0"/>
    <dataField name="Sum of Est-Imp"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34AAC-9569-41CD-A8C9-DFC18108E059}"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31">
    <pivotField showAll="0"/>
    <pivotField showAll="0"/>
    <pivotField showAll="0"/>
    <pivotField showAll="0"/>
    <pivotField axis="axisRow" showAll="0">
      <items count="8">
        <item x="4"/>
        <item x="1"/>
        <item x="5"/>
        <item x="6"/>
        <item x="3"/>
        <item x="2"/>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Est-Imp" fld="10" baseField="0" baseItem="0"/>
    <dataField name="Sum of Total Net Cos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CC6621-183D-4111-85AB-9D1BEC195A3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 firstHeaderRow="0" firstDataRow="1" firstDataCol="1"/>
  <pivotFields count="31">
    <pivotField showAll="0"/>
    <pivotField showAll="0"/>
    <pivotField showAll="0"/>
    <pivotField showAll="0"/>
    <pivotField axis="axisRow" showAll="0">
      <items count="18">
        <item x="9"/>
        <item x="12"/>
        <item x="1"/>
        <item x="6"/>
        <item x="8"/>
        <item x="5"/>
        <item x="13"/>
        <item x="15"/>
        <item x="3"/>
        <item x="11"/>
        <item x="10"/>
        <item x="7"/>
        <item x="4"/>
        <item x="14"/>
        <item x="16"/>
        <item x="2"/>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Est-Imp" fld="10" baseField="0" baseItem="0"/>
    <dataField name="Sum of Total Net Cost" fld="18" baseField="0" baseItem="0"/>
  </dataFields>
  <formats count="1">
    <format dxfId="21">
      <pivotArea collapsedLevelsAreSubtotals="1" fieldPosition="0">
        <references count="2">
          <reference field="4294967294" count="1" selected="0">
            <x v="1"/>
          </reference>
          <reference field="4" count="2">
            <x v="15"/>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6FB6-223F-4675-910F-A76343972844}">
  <dimension ref="A1:U207"/>
  <sheetViews>
    <sheetView showGridLines="0" workbookViewId="0">
      <selection activeCell="C3" sqref="C3"/>
    </sheetView>
  </sheetViews>
  <sheetFormatPr defaultColWidth="8.6640625" defaultRowHeight="13.8"/>
  <cols>
    <col min="1" max="1" width="23.5546875" style="266" customWidth="1"/>
    <col min="2" max="3" width="15" style="266" bestFit="1" customWidth="1"/>
    <col min="4" max="4" width="22.6640625" style="267" bestFit="1" customWidth="1"/>
    <col min="5" max="5" width="19.44140625" style="267" customWidth="1"/>
    <col min="6" max="11" width="13.5546875" style="267" customWidth="1"/>
    <col min="12" max="12" width="13.6640625" style="266" customWidth="1"/>
    <col min="13" max="13" width="5.88671875" style="266" customWidth="1"/>
    <col min="14" max="14" width="12.88671875" style="266" bestFit="1" customWidth="1"/>
    <col min="15" max="15" width="8.6640625" style="266" customWidth="1"/>
    <col min="16" max="16" width="9.44140625" style="266" bestFit="1" customWidth="1"/>
    <col min="17" max="17" width="12.5546875" style="266" bestFit="1" customWidth="1"/>
    <col min="18" max="18" width="12.5546875" style="266" customWidth="1"/>
    <col min="19" max="19" width="12.5546875" style="266" bestFit="1" customWidth="1"/>
    <col min="20" max="20" width="8.6640625" style="266"/>
    <col min="21" max="21" width="10.44140625" style="266" bestFit="1" customWidth="1"/>
    <col min="22" max="16384" width="8.6640625" style="266"/>
  </cols>
  <sheetData>
    <row r="1" spans="1:21">
      <c r="A1" s="141" t="s">
        <v>0</v>
      </c>
      <c r="B1" s="226" t="s">
        <v>1</v>
      </c>
    </row>
    <row r="2" spans="1:21">
      <c r="A2" s="268" t="s">
        <v>2</v>
      </c>
      <c r="B2" s="269" t="s">
        <v>3</v>
      </c>
      <c r="O2" s="382"/>
      <c r="P2" s="382"/>
      <c r="Q2" s="382"/>
      <c r="R2" s="382"/>
    </row>
    <row r="3" spans="1:21">
      <c r="A3" s="270" t="s">
        <v>4</v>
      </c>
      <c r="B3" s="271" t="s">
        <v>5</v>
      </c>
      <c r="P3" s="622"/>
      <c r="Q3" s="623"/>
      <c r="R3" s="623"/>
      <c r="S3" s="287"/>
      <c r="T3" s="631"/>
      <c r="U3" s="327"/>
    </row>
    <row r="4" spans="1:21">
      <c r="A4" s="270" t="s">
        <v>6</v>
      </c>
      <c r="B4" s="271" t="s">
        <v>7</v>
      </c>
      <c r="M4" s="625"/>
      <c r="P4" s="622"/>
      <c r="Q4" s="279"/>
      <c r="R4" s="279"/>
      <c r="S4" s="287"/>
      <c r="T4" s="631"/>
      <c r="U4" s="327"/>
    </row>
    <row r="5" spans="1:21">
      <c r="A5" s="270" t="s">
        <v>8</v>
      </c>
      <c r="B5" s="272" t="s">
        <v>9</v>
      </c>
      <c r="M5" s="625"/>
      <c r="P5" s="622"/>
      <c r="Q5" s="279"/>
      <c r="R5" s="279"/>
      <c r="S5" s="287"/>
      <c r="T5" s="631"/>
      <c r="U5" s="327"/>
    </row>
    <row r="6" spans="1:21">
      <c r="A6" s="273"/>
      <c r="B6" s="274"/>
      <c r="D6" s="665">
        <v>2023</v>
      </c>
      <c r="M6" s="259"/>
      <c r="N6" s="259"/>
      <c r="P6" s="279"/>
      <c r="Q6" s="279"/>
      <c r="R6" s="279"/>
      <c r="S6" s="287"/>
      <c r="T6" s="631"/>
      <c r="U6" s="327"/>
    </row>
    <row r="7" spans="1:21">
      <c r="A7" s="257" t="s">
        <v>10</v>
      </c>
      <c r="B7" s="365"/>
      <c r="D7" s="257" t="s">
        <v>10</v>
      </c>
      <c r="E7" s="365"/>
      <c r="G7" s="358" t="s">
        <v>11</v>
      </c>
      <c r="M7" s="342"/>
      <c r="N7" s="342"/>
      <c r="R7" s="287"/>
      <c r="T7" s="287"/>
    </row>
    <row r="8" spans="1:21">
      <c r="A8" s="254" t="s">
        <v>12</v>
      </c>
      <c r="B8" s="275">
        <f>B26+B43+B60</f>
        <v>2493632918.161725</v>
      </c>
      <c r="C8" s="279"/>
      <c r="D8" s="254" t="s">
        <v>12</v>
      </c>
      <c r="E8" s="275">
        <v>2572948452.8000002</v>
      </c>
      <c r="F8" s="346"/>
      <c r="G8" s="275">
        <v>2633160418.161725</v>
      </c>
      <c r="H8" s="352"/>
      <c r="I8" s="346"/>
      <c r="J8" s="346"/>
      <c r="K8" s="346"/>
      <c r="L8" s="381"/>
      <c r="N8" s="343"/>
    </row>
    <row r="9" spans="1:21">
      <c r="A9" s="254" t="s">
        <v>13</v>
      </c>
      <c r="B9" s="275">
        <f>B61</f>
        <v>490000000</v>
      </c>
      <c r="C9" s="328"/>
      <c r="D9" s="254" t="s">
        <v>13</v>
      </c>
      <c r="E9" s="276">
        <v>490000000</v>
      </c>
      <c r="F9" s="347"/>
      <c r="G9" s="275">
        <v>490000000</v>
      </c>
      <c r="H9" s="347"/>
      <c r="I9" s="347"/>
      <c r="J9" s="347"/>
      <c r="K9" s="347"/>
      <c r="L9" s="381"/>
      <c r="M9" s="625"/>
      <c r="N9" s="343"/>
    </row>
    <row r="10" spans="1:21">
      <c r="A10" s="254" t="s">
        <v>14</v>
      </c>
      <c r="B10" s="275">
        <f>'Media Plan Phase3'!Y53</f>
        <v>239679000</v>
      </c>
      <c r="C10" s="267"/>
      <c r="D10" s="254" t="s">
        <v>14</v>
      </c>
      <c r="E10" s="275">
        <v>256675330.43000001</v>
      </c>
      <c r="F10" s="344"/>
      <c r="G10" s="275">
        <v>239679000</v>
      </c>
      <c r="H10" s="344"/>
      <c r="I10" s="344"/>
      <c r="J10" s="344"/>
      <c r="K10" s="344"/>
      <c r="L10" s="381"/>
      <c r="M10" s="625"/>
      <c r="N10" s="343"/>
    </row>
    <row r="11" spans="1:21">
      <c r="A11" s="254" t="s">
        <v>15</v>
      </c>
      <c r="B11" s="256">
        <f>B10/B9</f>
        <v>0.48914081632653061</v>
      </c>
      <c r="C11" s="279"/>
      <c r="D11" s="254" t="s">
        <v>15</v>
      </c>
      <c r="E11" s="353">
        <f>E10/E9</f>
        <v>0.52382720495918367</v>
      </c>
      <c r="F11" s="348"/>
      <c r="G11" s="256">
        <v>0.48914081632653061</v>
      </c>
      <c r="H11" s="348"/>
      <c r="I11" s="348"/>
      <c r="J11" s="348"/>
      <c r="K11" s="348"/>
      <c r="L11" s="381"/>
      <c r="M11" s="625"/>
      <c r="N11" s="343"/>
    </row>
    <row r="12" spans="1:21">
      <c r="A12" s="254" t="s">
        <v>16</v>
      </c>
      <c r="B12" s="600">
        <f>B8/B10</f>
        <v>10.404052579332044</v>
      </c>
      <c r="D12" s="254" t="s">
        <v>16</v>
      </c>
      <c r="E12" s="664">
        <f>E8/E10</f>
        <v>10.024136127494689</v>
      </c>
      <c r="F12" s="349"/>
      <c r="G12" s="600">
        <v>10.986195779195194</v>
      </c>
      <c r="H12" s="349"/>
      <c r="I12" s="349"/>
      <c r="J12" s="349"/>
      <c r="K12" s="349"/>
      <c r="L12" s="381"/>
      <c r="M12" s="259"/>
      <c r="N12" s="343"/>
    </row>
    <row r="13" spans="1:21">
      <c r="A13" s="254" t="s">
        <v>17</v>
      </c>
      <c r="B13" s="275">
        <f>B31+B48+B65</f>
        <v>214232536.88688159</v>
      </c>
      <c r="C13" s="328"/>
      <c r="D13" s="254" t="s">
        <v>17</v>
      </c>
      <c r="E13" s="275">
        <v>160288190.50045288</v>
      </c>
      <c r="F13" s="346"/>
      <c r="G13" s="275">
        <v>214232536.88688159</v>
      </c>
      <c r="H13" s="346"/>
      <c r="I13" s="346"/>
      <c r="J13" s="346"/>
      <c r="K13" s="346"/>
      <c r="L13" s="381"/>
      <c r="M13" s="259"/>
      <c r="N13" s="343"/>
    </row>
    <row r="14" spans="1:21">
      <c r="A14" s="254" t="s">
        <v>18</v>
      </c>
      <c r="B14" s="275">
        <f>B32+B49+B66</f>
        <v>25080625.65852128</v>
      </c>
      <c r="C14" s="277"/>
      <c r="D14" s="254" t="s">
        <v>18</v>
      </c>
      <c r="E14" s="275">
        <v>12866180.885770734</v>
      </c>
      <c r="F14" s="347"/>
      <c r="G14" s="275">
        <v>26262700.65852128</v>
      </c>
      <c r="H14" s="352"/>
      <c r="I14" s="347"/>
      <c r="J14" s="347"/>
      <c r="K14" s="347"/>
      <c r="L14" s="381"/>
      <c r="M14" s="342"/>
      <c r="N14" s="342"/>
    </row>
    <row r="15" spans="1:21">
      <c r="A15" s="257" t="s">
        <v>19</v>
      </c>
      <c r="B15" s="282">
        <f>B35+B52+B69</f>
        <v>92609767.454692006</v>
      </c>
      <c r="C15" s="279"/>
      <c r="D15" s="257" t="s">
        <v>19</v>
      </c>
      <c r="E15" s="358">
        <v>99839133.770924941</v>
      </c>
      <c r="F15" s="352"/>
      <c r="G15" s="282">
        <v>97381954.954692006</v>
      </c>
      <c r="H15" s="352"/>
      <c r="I15" s="346"/>
      <c r="J15" s="352"/>
      <c r="K15" s="352"/>
      <c r="L15" s="381"/>
      <c r="M15" s="345"/>
      <c r="N15" s="343"/>
    </row>
    <row r="16" spans="1:21">
      <c r="A16" s="257" t="s">
        <v>20</v>
      </c>
      <c r="B16" s="278">
        <f>B15*1000/B8</f>
        <v>37.138492510342203</v>
      </c>
      <c r="C16" s="279"/>
      <c r="D16" s="257" t="s">
        <v>20</v>
      </c>
      <c r="E16" s="666">
        <f>E15*1000/E8</f>
        <v>38.803394472312661</v>
      </c>
      <c r="F16" s="351"/>
      <c r="G16" s="278">
        <v>36.982917669207851</v>
      </c>
      <c r="H16" s="351"/>
      <c r="I16" s="351"/>
      <c r="J16" s="351"/>
      <c r="K16" s="351"/>
      <c r="M16" s="345"/>
      <c r="N16" s="343"/>
    </row>
    <row r="17" spans="1:14">
      <c r="A17" s="257" t="s">
        <v>21</v>
      </c>
      <c r="B17" s="278">
        <f>B15/B14</f>
        <v>3.692482345360764</v>
      </c>
      <c r="D17" s="257" t="s">
        <v>21</v>
      </c>
      <c r="E17" s="666">
        <f>E15/E14</f>
        <v>7.7598111403315766</v>
      </c>
      <c r="F17" s="351"/>
      <c r="G17" s="278">
        <v>3.7079947040060079</v>
      </c>
      <c r="H17" s="351"/>
      <c r="I17" s="351"/>
      <c r="J17" s="351"/>
      <c r="K17" s="351"/>
      <c r="M17" s="345"/>
      <c r="N17" s="343"/>
    </row>
    <row r="18" spans="1:14">
      <c r="A18" s="257" t="s">
        <v>22</v>
      </c>
      <c r="B18" s="358">
        <f>B36+B53+B70</f>
        <v>1243754.0574023174</v>
      </c>
      <c r="C18" s="631"/>
      <c r="D18" s="257" t="s">
        <v>22</v>
      </c>
      <c r="E18" s="358">
        <v>2347915.3624451561</v>
      </c>
      <c r="F18" s="350"/>
      <c r="G18" s="358">
        <v>1273715.5074023174</v>
      </c>
      <c r="H18" s="350"/>
      <c r="I18" s="350"/>
      <c r="J18" s="350"/>
      <c r="K18" s="350"/>
    </row>
    <row r="19" spans="1:14">
      <c r="A19" s="257" t="s">
        <v>23</v>
      </c>
      <c r="B19" s="282">
        <f>B8/1000*1.43</f>
        <v>3565895.0729712667</v>
      </c>
      <c r="C19" s="632"/>
      <c r="D19" s="257" t="s">
        <v>24</v>
      </c>
      <c r="E19" s="358">
        <v>2000000</v>
      </c>
      <c r="F19" s="350"/>
      <c r="G19" s="282">
        <v>3765419.3979712669</v>
      </c>
      <c r="H19" s="350"/>
      <c r="I19" s="350"/>
      <c r="J19" s="350"/>
      <c r="K19" s="350"/>
    </row>
    <row r="20" spans="1:14">
      <c r="A20" s="257" t="s">
        <v>25</v>
      </c>
      <c r="B20" s="258">
        <f>B15+B18+B19</f>
        <v>97419416.585065588</v>
      </c>
      <c r="C20" s="354"/>
      <c r="D20" s="257" t="s">
        <v>25</v>
      </c>
      <c r="E20" s="358">
        <v>113590522.82000001</v>
      </c>
      <c r="F20" s="352"/>
      <c r="G20" s="358">
        <v>102421089.86006559</v>
      </c>
      <c r="H20" s="352"/>
      <c r="I20" s="346"/>
      <c r="J20" s="352"/>
      <c r="K20" s="352"/>
    </row>
    <row r="21" spans="1:14">
      <c r="A21" s="332"/>
      <c r="B21" s="279"/>
      <c r="C21" s="330"/>
      <c r="D21" s="279"/>
      <c r="E21" s="279"/>
      <c r="F21" s="279"/>
      <c r="G21" s="279"/>
      <c r="H21" s="279"/>
      <c r="I21" s="279"/>
      <c r="J21" s="279"/>
      <c r="K21" s="279"/>
    </row>
    <row r="22" spans="1:14">
      <c r="A22" s="332"/>
      <c r="B22" s="801"/>
      <c r="C22" s="330"/>
      <c r="D22" s="279"/>
      <c r="E22" s="279"/>
      <c r="F22" s="279"/>
      <c r="G22" s="279"/>
      <c r="H22" s="279"/>
      <c r="I22" s="279"/>
      <c r="J22" s="279"/>
      <c r="K22" s="279"/>
    </row>
    <row r="23" spans="1:14">
      <c r="A23" s="332"/>
      <c r="C23" s="330"/>
      <c r="D23" s="279"/>
      <c r="E23" s="279"/>
      <c r="F23" s="279"/>
      <c r="G23" s="279"/>
      <c r="H23" s="279"/>
      <c r="I23" s="279"/>
      <c r="J23" s="279"/>
      <c r="K23" s="279"/>
    </row>
    <row r="24" spans="1:14">
      <c r="A24" s="280"/>
      <c r="B24" s="281" t="s">
        <v>26</v>
      </c>
      <c r="D24" s="665">
        <v>2023</v>
      </c>
      <c r="E24" s="281" t="s">
        <v>27</v>
      </c>
    </row>
    <row r="25" spans="1:14">
      <c r="A25" s="257" t="s">
        <v>28</v>
      </c>
      <c r="B25" s="260"/>
      <c r="D25" s="257" t="s">
        <v>28</v>
      </c>
      <c r="E25" s="260"/>
    </row>
    <row r="26" spans="1:14">
      <c r="A26" s="254" t="s">
        <v>12</v>
      </c>
      <c r="B26" s="255">
        <f>'Media Plan Phase 1'!K70</f>
        <v>139393542.48684427</v>
      </c>
      <c r="C26" s="267"/>
      <c r="D26" s="254" t="s">
        <v>12</v>
      </c>
      <c r="E26" s="255">
        <v>193059113.40000001</v>
      </c>
    </row>
    <row r="27" spans="1:14">
      <c r="A27" s="254" t="s">
        <v>13</v>
      </c>
      <c r="B27" s="275">
        <v>56000000</v>
      </c>
      <c r="D27" s="254" t="s">
        <v>13</v>
      </c>
      <c r="E27" s="276">
        <v>53000000</v>
      </c>
    </row>
    <row r="28" spans="1:14">
      <c r="A28" s="254" t="s">
        <v>14</v>
      </c>
      <c r="B28" s="275">
        <f>'Media Plan Phase 1'!W70</f>
        <v>4441637.2225862946</v>
      </c>
      <c r="D28" s="254" t="s">
        <v>14</v>
      </c>
      <c r="E28" s="275">
        <v>35510000</v>
      </c>
      <c r="F28" s="279"/>
      <c r="G28" s="279"/>
      <c r="H28" s="279"/>
      <c r="I28" s="279"/>
      <c r="J28" s="279"/>
      <c r="K28" s="279"/>
    </row>
    <row r="29" spans="1:14">
      <c r="A29" s="254" t="s">
        <v>15</v>
      </c>
      <c r="B29" s="256">
        <f>B28/B27</f>
        <v>7.9314950403326687E-2</v>
      </c>
      <c r="C29" s="288"/>
      <c r="D29" s="254" t="s">
        <v>15</v>
      </c>
      <c r="E29" s="256">
        <f>E28/E27</f>
        <v>0.67</v>
      </c>
    </row>
    <row r="30" spans="1:14">
      <c r="A30" s="254" t="s">
        <v>16</v>
      </c>
      <c r="B30" s="600">
        <f>B26/B28</f>
        <v>31.383369577778716</v>
      </c>
      <c r="D30" s="254" t="s">
        <v>16</v>
      </c>
      <c r="E30" s="664">
        <f>E26/E28</f>
        <v>5.4367534046747394</v>
      </c>
    </row>
    <row r="31" spans="1:14">
      <c r="A31" s="254" t="s">
        <v>17</v>
      </c>
      <c r="B31" s="275">
        <f>'Media Plan Phase 1'!O70</f>
        <v>55514609.763151884</v>
      </c>
      <c r="C31" s="287"/>
      <c r="D31" s="254" t="s">
        <v>17</v>
      </c>
      <c r="E31" s="275">
        <v>65232389.111976981</v>
      </c>
      <c r="F31" s="628"/>
      <c r="G31" s="628"/>
      <c r="H31" s="628"/>
      <c r="I31" s="628"/>
      <c r="J31" s="628"/>
      <c r="K31" s="628"/>
    </row>
    <row r="32" spans="1:14">
      <c r="A32" s="254" t="s">
        <v>18</v>
      </c>
      <c r="B32" s="276">
        <f>'Media Plan Phase 1'!M70</f>
        <v>1394559.4979827062</v>
      </c>
      <c r="C32" s="277"/>
      <c r="D32" s="254" t="s">
        <v>18</v>
      </c>
      <c r="E32" s="276">
        <v>740365.843592447</v>
      </c>
      <c r="F32" s="627"/>
      <c r="G32" s="627"/>
      <c r="H32" s="627"/>
      <c r="I32" s="627"/>
      <c r="J32" s="627"/>
      <c r="K32" s="627"/>
    </row>
    <row r="33" spans="1:11">
      <c r="A33" s="257" t="s">
        <v>20</v>
      </c>
      <c r="B33" s="278">
        <f>B35*1000/B26</f>
        <v>83.333571241722481</v>
      </c>
      <c r="D33" s="257" t="s">
        <v>20</v>
      </c>
      <c r="E33" s="278">
        <f>E35*1000/E26</f>
        <v>68.207643207980638</v>
      </c>
    </row>
    <row r="34" spans="1:11">
      <c r="A34" s="257" t="s">
        <v>21</v>
      </c>
      <c r="B34" s="278">
        <f>B35/B32</f>
        <v>8.3296279006143603</v>
      </c>
      <c r="C34" s="672"/>
      <c r="D34" s="257" t="s">
        <v>21</v>
      </c>
      <c r="E34" s="278">
        <f>E35/E32</f>
        <v>17.785946284260234</v>
      </c>
    </row>
    <row r="35" spans="1:11">
      <c r="A35" s="257" t="s">
        <v>19</v>
      </c>
      <c r="B35" s="258">
        <f>'Media Plan Phase 1'!S70</f>
        <v>11616161.703463506</v>
      </c>
      <c r="D35" s="257" t="s">
        <v>19</v>
      </c>
      <c r="E35" s="258">
        <v>13168107.124836275</v>
      </c>
      <c r="F35" s="279"/>
      <c r="G35" s="279"/>
      <c r="H35" s="279"/>
      <c r="I35" s="279"/>
      <c r="J35" s="279"/>
      <c r="K35" s="279"/>
    </row>
    <row r="36" spans="1:11">
      <c r="A36" s="257" t="s">
        <v>22</v>
      </c>
      <c r="B36" s="258">
        <f>SUM('Media Plan Phase 1'!K3,'Media Plan Phase 1'!K4,'Media Plan Phase 1'!K7,'Media Plan Phase 1'!K8,'Media Plan Phase 1'!K11,'Media Plan Phase 1'!K12,'Media Plan Phase 1'!K15,'Media Plan Phase 1'!K16,'Media Plan Phase 1'!K19,'Media Plan Phase 1'!K20,'Media Plan Phase 1'!K23,'Media Plan Phase 1'!K24,'Media Plan Phase 1'!K27,'Media Plan Phase 1'!K28,'Media Plan Phase 1'!K31,'Media Plan Phase 1'!K32,'Media Plan Phase 1'!K34,'Media Plan Phase 1'!K35,'Media Plan Phase 1'!K37,'Media Plan Phase 1'!K38,'Media Plan Phase 1'!K40,'Media Plan Phase 1'!K41,'Media Plan Phase 1'!K43,'Media Plan Phase 1'!K44,'Media Plan Phase 1'!K46,'Media Plan Phase 1'!K47,'Media Plan Phase 1'!K49,'Media Plan Phase 1'!K50,'Media Plan Phase 1'!K52,'Media Plan Phase 1'!K53,'Media Plan Phase 1'!K54,'Media Plan Phase 1'!K55)/1000*2.13+SUM('Media Plan Phase 1'!K5,'Media Plan Phase 1'!K9,'Media Plan Phase 1'!K13,'Media Plan Phase 1'!K17,'Media Plan Phase 1'!K21,'Media Plan Phase 1'!K25,'Media Plan Phase 1'!K29,'Media Plan Phase 1'!K56,'Media Plan Phase 1'!K57,'Media Plan Phase 1'!K58,'Media Plan Phase 1'!K59,'Media Plan Phase 1'!K61,'Media Plan Phase 1'!K63)/1000*4.33+SUM('Media Plan Phase 1'!K65,'Media Plan Phase 1'!K66)/1000*1.66+SUM('Media Plan Phase 1'!K68,'Media Plan Phase 1'!K69)/1000*2.78</f>
        <v>322737.71462245408</v>
      </c>
      <c r="C36" s="625"/>
      <c r="D36" s="257" t="s">
        <v>22</v>
      </c>
      <c r="E36" s="258">
        <v>580734.68999999994</v>
      </c>
    </row>
    <row r="37" spans="1:11">
      <c r="A37" s="257" t="s">
        <v>23</v>
      </c>
      <c r="B37" s="258">
        <f>'Media Plan Phase 1'!K70/1000*1.43</f>
        <v>199332.76575618729</v>
      </c>
      <c r="C37" s="279"/>
      <c r="D37" s="257" t="s">
        <v>25</v>
      </c>
      <c r="E37" s="282">
        <v>18570211.690000001</v>
      </c>
    </row>
    <row r="38" spans="1:11">
      <c r="A38" s="257" t="s">
        <v>25</v>
      </c>
      <c r="B38" s="282">
        <f>B35+B36+B37</f>
        <v>12138232.183842149</v>
      </c>
      <c r="C38" s="354"/>
    </row>
    <row r="39" spans="1:11">
      <c r="A39" s="283"/>
      <c r="J39" s="627"/>
      <c r="K39" s="266"/>
    </row>
    <row r="40" spans="1:11">
      <c r="K40" s="266"/>
    </row>
    <row r="41" spans="1:11">
      <c r="A41" s="280"/>
      <c r="B41" s="281" t="s">
        <v>27</v>
      </c>
      <c r="D41" s="665">
        <v>2023</v>
      </c>
      <c r="J41" s="627"/>
      <c r="K41" s="266"/>
    </row>
    <row r="42" spans="1:11">
      <c r="A42" s="257" t="s">
        <v>29</v>
      </c>
      <c r="B42" s="260"/>
      <c r="D42" s="257" t="s">
        <v>29</v>
      </c>
      <c r="E42" s="260"/>
      <c r="K42" s="266"/>
    </row>
    <row r="43" spans="1:11">
      <c r="A43" s="254" t="s">
        <v>12</v>
      </c>
      <c r="B43" s="275">
        <f>'Media Plan Phase 2'!K103</f>
        <v>281046044.44601202</v>
      </c>
      <c r="C43" s="267"/>
      <c r="D43" s="254" t="s">
        <v>12</v>
      </c>
      <c r="E43" s="275">
        <v>292305713.21000004</v>
      </c>
      <c r="K43" s="266"/>
    </row>
    <row r="44" spans="1:11">
      <c r="A44" s="254" t="s">
        <v>13</v>
      </c>
      <c r="B44" s="276">
        <v>72000000</v>
      </c>
      <c r="D44" s="254" t="s">
        <v>13</v>
      </c>
      <c r="E44" s="276">
        <v>53000000</v>
      </c>
      <c r="K44" s="266"/>
    </row>
    <row r="45" spans="1:11">
      <c r="A45" s="254" t="s">
        <v>14</v>
      </c>
      <c r="B45" s="276">
        <f>'Media Plan Phase 2'!X103</f>
        <v>4836367.0881124726</v>
      </c>
      <c r="C45" s="341"/>
      <c r="D45" s="254" t="s">
        <v>14</v>
      </c>
      <c r="E45" s="276">
        <v>36040000</v>
      </c>
    </row>
    <row r="46" spans="1:11">
      <c r="A46" s="254" t="s">
        <v>15</v>
      </c>
      <c r="B46" s="256">
        <f>B45/B44</f>
        <v>6.7171765112673226E-2</v>
      </c>
      <c r="D46" s="254" t="s">
        <v>15</v>
      </c>
      <c r="E46" s="256">
        <f>E45/E44</f>
        <v>0.68</v>
      </c>
    </row>
    <row r="47" spans="1:11">
      <c r="A47" s="254" t="s">
        <v>16</v>
      </c>
      <c r="B47" s="600">
        <f>B43/B45</f>
        <v>58.11098275331662</v>
      </c>
      <c r="D47" s="254" t="s">
        <v>16</v>
      </c>
      <c r="E47" s="667">
        <f>E43/E45</f>
        <v>8.1105913765260826</v>
      </c>
      <c r="J47" s="279"/>
      <c r="K47" s="279"/>
    </row>
    <row r="48" spans="1:11">
      <c r="A48" s="254" t="s">
        <v>17</v>
      </c>
      <c r="B48" s="275">
        <f>'Media Plan Phase 2'!O103</f>
        <v>121291221.10528655</v>
      </c>
      <c r="C48" s="287"/>
      <c r="D48" s="254" t="s">
        <v>17</v>
      </c>
      <c r="E48" s="275">
        <v>71382297.658605769</v>
      </c>
      <c r="F48" s="628"/>
      <c r="G48" s="628"/>
      <c r="H48" s="628"/>
      <c r="I48" s="628"/>
      <c r="J48" s="279"/>
      <c r="K48" s="279"/>
    </row>
    <row r="49" spans="1:9">
      <c r="A49" s="254" t="s">
        <v>18</v>
      </c>
      <c r="B49" s="276">
        <f>'Media Plan Phase 2'!M103</f>
        <v>2809102.7575793937</v>
      </c>
      <c r="C49" s="277"/>
      <c r="D49" s="254" t="s">
        <v>18</v>
      </c>
      <c r="E49" s="276">
        <v>1688394.1605106243</v>
      </c>
      <c r="F49" s="627"/>
      <c r="G49" s="627"/>
      <c r="H49" s="627"/>
      <c r="I49" s="627"/>
    </row>
    <row r="50" spans="1:9">
      <c r="A50" s="257" t="s">
        <v>20</v>
      </c>
      <c r="B50" s="278">
        <f>B52*1000/B43</f>
        <v>96.157791180580503</v>
      </c>
      <c r="D50" s="257" t="s">
        <v>20</v>
      </c>
      <c r="E50" s="278">
        <f>E52*1000/E43</f>
        <v>75.694418638314019</v>
      </c>
      <c r="F50" s="627"/>
      <c r="G50" s="627"/>
      <c r="H50" s="627"/>
      <c r="I50" s="627"/>
    </row>
    <row r="51" spans="1:9">
      <c r="A51" s="257" t="s">
        <v>21</v>
      </c>
      <c r="B51" s="278">
        <f>B52/B49</f>
        <v>9.6204265867636103</v>
      </c>
      <c r="C51" s="672"/>
      <c r="D51" s="257" t="s">
        <v>21</v>
      </c>
      <c r="E51" s="668">
        <f>E52/E49</f>
        <v>13.104707149305183</v>
      </c>
      <c r="F51" s="627"/>
      <c r="G51" s="627"/>
      <c r="H51" s="627"/>
      <c r="I51" s="627"/>
    </row>
    <row r="52" spans="1:9">
      <c r="A52" s="257" t="s">
        <v>19</v>
      </c>
      <c r="B52" s="258">
        <f>'Media Plan Phase 2'!T103</f>
        <v>27024766.853967771</v>
      </c>
      <c r="D52" s="257" t="s">
        <v>19</v>
      </c>
      <c r="E52" s="258">
        <v>22125911.0260887</v>
      </c>
      <c r="F52" s="627"/>
      <c r="G52" s="627"/>
      <c r="H52" s="627"/>
      <c r="I52" s="627"/>
    </row>
    <row r="53" spans="1:9">
      <c r="A53" s="257" t="s">
        <v>22</v>
      </c>
      <c r="B53" s="258">
        <f>SUM('Media Plan Phase 2'!K3,'Media Plan Phase 2'!K4,'Media Plan Phase 2'!K7,'Media Plan Phase 2'!K8,'Media Plan Phase 2'!K11,'Media Plan Phase 2'!K12,'Media Plan Phase 2'!K15,'Media Plan Phase 2'!K16,'Media Plan Phase 2'!K19,'Media Plan Phase 2'!K20,'Media Plan Phase 2'!K23,'Media Plan Phase 2'!K24,'Media Plan Phase 2'!K27,'Media Plan Phase 2'!K28,'Media Plan Phase 2'!K31,'Media Plan Phase 2'!K32,'Media Plan Phase 2'!K34,'Media Plan Phase 2'!K35,'Media Plan Phase 2'!K37,'Media Plan Phase 2'!K38,'Media Plan Phase 2'!K40,'Media Plan Phase 2'!K41,'Media Plan Phase 2'!K43,'Media Plan Phase 2'!K44,'Media Plan Phase 2'!K46,'Media Plan Phase 2'!K47,'Media Plan Phase 2'!K49,'Media Plan Phase 2'!K50,'Media Plan Phase 2'!K52,'Media Plan Phase 2'!K53,'Media Plan Phase 2'!K54,'Media Plan Phase 2'!K55,'Media Plan Phase 2'!K92,'Media Plan Phase 2'!K93,'Media Plan Phase 2'!K95)/1000*2.13+SUM('Media Plan Phase 2'!K5,'Media Plan Phase 2'!K9,'Media Plan Phase 2'!K13,'Media Plan Phase 2'!K17,'Media Plan Phase 2'!K21,'Media Plan Phase 2'!K25,'Media Plan Phase 2'!K29,'Media Plan Phase 2'!K56,'Media Plan Phase 2'!K57,'Media Plan Phase 2'!K58,'Media Plan Phase 2'!K59,'Media Plan Phase 2'!K67,'Media Plan Phase 2'!K96,'Media Plan Phase 2'!K62)/1000*4.33+SUM('Media Plan Phase 2'!K61,'Media Plan Phase 2'!K62,'Media Plan Phase 2'!K69,'Media Plan Phase 2'!K70,'Media Plan Phase 2'!K102)/1000*1.66+SUM('Media Plan Phase 2'!K72,'Media Plan Phase 2'!K73,'Media Plan Phase 2'!K74,'Media Plan Phase 2'!K75,'Media Plan Phase 2'!K76,'Media Plan Phase 2'!K77,'Media Plan Phase 2'!K98,'Media Plan Phase 2'!K99)/1000*2.78</f>
        <v>671728.87063952931</v>
      </c>
      <c r="C53" s="359"/>
      <c r="D53" s="257" t="s">
        <v>22</v>
      </c>
      <c r="E53" s="258">
        <v>975809.68</v>
      </c>
    </row>
    <row r="54" spans="1:9">
      <c r="A54" s="257" t="s">
        <v>23</v>
      </c>
      <c r="B54" s="258">
        <f>'Media Plan Phase 2'!K103/1000*1.43</f>
        <v>401895.84355779714</v>
      </c>
      <c r="D54" s="257" t="s">
        <v>25</v>
      </c>
      <c r="E54" s="282">
        <v>29570496.68</v>
      </c>
    </row>
    <row r="55" spans="1:9">
      <c r="A55" s="257" t="s">
        <v>25</v>
      </c>
      <c r="B55" s="282">
        <f>B52+B53+B54</f>
        <v>28098391.568165097</v>
      </c>
      <c r="C55" s="354"/>
    </row>
    <row r="58" spans="1:9">
      <c r="A58" s="280"/>
      <c r="B58" s="281" t="s">
        <v>30</v>
      </c>
      <c r="D58" s="669">
        <v>2023</v>
      </c>
      <c r="E58" s="281"/>
    </row>
    <row r="59" spans="1:9">
      <c r="A59" s="257" t="s">
        <v>31</v>
      </c>
      <c r="B59" s="260"/>
      <c r="D59" s="257" t="s">
        <v>31</v>
      </c>
      <c r="E59" s="260"/>
      <c r="G59" s="141" t="s">
        <v>11</v>
      </c>
    </row>
    <row r="60" spans="1:9">
      <c r="A60" s="254" t="s">
        <v>12</v>
      </c>
      <c r="B60" s="275">
        <f>'Media Plan Phase3'!L53</f>
        <v>2073193331.2288687</v>
      </c>
      <c r="C60" s="267"/>
      <c r="D60" s="254" t="s">
        <v>12</v>
      </c>
      <c r="E60" s="255">
        <v>2087583626.1900001</v>
      </c>
      <c r="G60" s="275">
        <v>2212720831.2288685</v>
      </c>
    </row>
    <row r="61" spans="1:9">
      <c r="A61" s="254" t="s">
        <v>13</v>
      </c>
      <c r="B61" s="275">
        <v>490000000</v>
      </c>
      <c r="D61" s="254" t="s">
        <v>13</v>
      </c>
      <c r="E61" s="276">
        <v>490000000</v>
      </c>
      <c r="G61" s="275">
        <v>490000000</v>
      </c>
    </row>
    <row r="62" spans="1:9">
      <c r="A62" s="254" t="s">
        <v>14</v>
      </c>
      <c r="B62" s="275">
        <f>'Media Plan Phase3'!Y53</f>
        <v>239679000</v>
      </c>
      <c r="D62" s="254" t="s">
        <v>14</v>
      </c>
      <c r="E62" s="255">
        <v>256675330.43000001</v>
      </c>
      <c r="F62" s="627"/>
      <c r="G62" s="275">
        <v>239679000</v>
      </c>
      <c r="H62" s="627"/>
      <c r="I62" s="627"/>
    </row>
    <row r="63" spans="1:9">
      <c r="A63" s="254" t="s">
        <v>15</v>
      </c>
      <c r="B63" s="256">
        <f>B62/B61</f>
        <v>0.48914081632653061</v>
      </c>
      <c r="D63" s="254" t="s">
        <v>15</v>
      </c>
      <c r="E63" s="256">
        <f>E62/E61</f>
        <v>0.52382720495918367</v>
      </c>
      <c r="G63" s="256">
        <v>0.48914081632653061</v>
      </c>
    </row>
    <row r="64" spans="1:9">
      <c r="A64" s="254" t="s">
        <v>16</v>
      </c>
      <c r="B64" s="600">
        <f>B60/B62</f>
        <v>8.6498747542707903</v>
      </c>
      <c r="D64" s="254" t="s">
        <v>16</v>
      </c>
      <c r="E64" s="664">
        <f>E60/E62</f>
        <v>8.1331681649839034</v>
      </c>
      <c r="F64" s="627"/>
      <c r="G64" s="600">
        <v>9.2320179541339389</v>
      </c>
      <c r="H64" s="627"/>
      <c r="I64" s="627"/>
    </row>
    <row r="65" spans="1:9">
      <c r="A65" s="254" t="s">
        <v>17</v>
      </c>
      <c r="B65" s="275">
        <f>'Media Plan Phase3'!P53</f>
        <v>37426706.018443182</v>
      </c>
      <c r="D65" s="254" t="s">
        <v>17</v>
      </c>
      <c r="E65" s="275">
        <v>16291360.872727273</v>
      </c>
      <c r="G65" s="275">
        <v>37426706.018443182</v>
      </c>
    </row>
    <row r="66" spans="1:9">
      <c r="A66" s="254" t="s">
        <v>18</v>
      </c>
      <c r="B66" s="276">
        <f>'Media Plan Phase3'!N53</f>
        <v>20876963.402959179</v>
      </c>
      <c r="D66" s="254" t="s">
        <v>18</v>
      </c>
      <c r="E66" s="276">
        <v>10410647.92248399</v>
      </c>
      <c r="G66" s="276">
        <v>22059038.402959179</v>
      </c>
    </row>
    <row r="67" spans="1:9">
      <c r="A67" s="257" t="s">
        <v>20</v>
      </c>
      <c r="B67" s="278">
        <f>B69*1000/B60</f>
        <v>26.03174440334087</v>
      </c>
      <c r="D67" s="257" t="s">
        <v>20</v>
      </c>
      <c r="E67" s="278">
        <f>E69*1000/E60</f>
        <v>29.117451802847054</v>
      </c>
      <c r="G67" s="278">
        <v>26.546966778740899</v>
      </c>
    </row>
    <row r="68" spans="1:9">
      <c r="A68" s="257" t="s">
        <v>21</v>
      </c>
      <c r="B68" s="278">
        <f>B69/B66</f>
        <v>2.5850904585870458</v>
      </c>
      <c r="D68" s="257" t="s">
        <v>21</v>
      </c>
      <c r="E68" s="278">
        <f>E69/E66</f>
        <v>5.8387447229602039</v>
      </c>
      <c r="G68" s="278">
        <v>2.6629005908698504</v>
      </c>
    </row>
    <row r="69" spans="1:9">
      <c r="A69" s="257" t="s">
        <v>19</v>
      </c>
      <c r="B69" s="282">
        <f>'Media Plan Phase3'!U53</f>
        <v>53968838.897260718</v>
      </c>
      <c r="C69" s="267"/>
      <c r="D69" s="257" t="s">
        <v>19</v>
      </c>
      <c r="E69" s="282">
        <v>60785115.620000005</v>
      </c>
      <c r="G69" s="282">
        <v>58741026.397260718</v>
      </c>
    </row>
    <row r="70" spans="1:9">
      <c r="A70" s="257" t="s">
        <v>22</v>
      </c>
      <c r="B70" s="258">
        <f>SUM('Media Plan Phase3'!L25:L26,'Media Plan Phase3'!L30:L34,'Media Plan Phase3'!L48)/1000*2.13+SUM('Media Plan Phase3'!L39,'Media Plan Phase3'!L40,'Media Plan Phase3'!L50,'Media Plan Phase3'!L51)/1000*1.66+SUM('Media Plan Phase3'!L42:L46)/1000*2.78+SUM('Media Plan Phase3'!L27,'Media Plan Phase3'!L28)/1000*4.33</f>
        <v>249287.47214033408</v>
      </c>
      <c r="C70" s="330"/>
      <c r="D70" s="257" t="s">
        <v>22</v>
      </c>
      <c r="E70" s="258">
        <v>2539384.4500000002</v>
      </c>
      <c r="F70" s="279"/>
      <c r="G70" s="258">
        <v>279248.92214033409</v>
      </c>
      <c r="H70" s="279"/>
      <c r="I70" s="279"/>
    </row>
    <row r="71" spans="1:9">
      <c r="A71" s="257" t="s">
        <v>23</v>
      </c>
      <c r="B71" s="258">
        <f>'Media Plan Phase3'!L53/1000*1.43</f>
        <v>2964666.4636572823</v>
      </c>
      <c r="C71" s="330"/>
      <c r="D71" s="257" t="s">
        <v>25</v>
      </c>
      <c r="E71" s="282">
        <v>65449814.450000003</v>
      </c>
      <c r="F71" s="279"/>
      <c r="G71" s="258">
        <v>3164190.788657282</v>
      </c>
      <c r="H71" s="279"/>
      <c r="I71" s="279"/>
    </row>
    <row r="72" spans="1:9">
      <c r="A72" s="257" t="s">
        <v>25</v>
      </c>
      <c r="B72" s="282">
        <f>B69+B70+B71</f>
        <v>57182792.833058335</v>
      </c>
      <c r="C72" s="354"/>
      <c r="G72" s="282">
        <v>62184466.108058341</v>
      </c>
    </row>
    <row r="73" spans="1:9">
      <c r="A73" s="322" t="s">
        <v>32</v>
      </c>
    </row>
    <row r="74" spans="1:9">
      <c r="A74" s="325"/>
      <c r="C74" s="622"/>
    </row>
    <row r="75" spans="1:9">
      <c r="C75" s="330"/>
    </row>
    <row r="77" spans="1:9">
      <c r="B77" s="279"/>
      <c r="C77" s="330"/>
    </row>
    <row r="78" spans="1:9">
      <c r="B78" s="522"/>
      <c r="C78" s="287"/>
    </row>
    <row r="80" spans="1:9" ht="12.9" customHeight="1"/>
    <row r="89" ht="12.9" customHeight="1"/>
    <row r="113" spans="10:12">
      <c r="L113" s="259"/>
    </row>
    <row r="114" spans="10:12">
      <c r="L114" s="259"/>
    </row>
    <row r="115" spans="10:12">
      <c r="L115" s="259"/>
    </row>
    <row r="116" spans="10:12">
      <c r="L116" s="259"/>
    </row>
    <row r="117" spans="10:12">
      <c r="L117" s="259"/>
    </row>
    <row r="118" spans="10:12">
      <c r="L118" s="259"/>
    </row>
    <row r="119" spans="10:12">
      <c r="L119" s="259"/>
    </row>
    <row r="120" spans="10:12">
      <c r="L120" s="259"/>
    </row>
    <row r="121" spans="10:12">
      <c r="L121" s="259"/>
    </row>
    <row r="123" spans="10:12">
      <c r="J123" s="674"/>
      <c r="K123" s="674"/>
    </row>
    <row r="124" spans="10:12">
      <c r="J124" s="347"/>
      <c r="K124" s="347"/>
    </row>
    <row r="125" spans="10:12">
      <c r="J125" s="347"/>
      <c r="K125" s="347"/>
    </row>
    <row r="126" spans="10:12">
      <c r="J126" s="347"/>
      <c r="K126" s="347"/>
    </row>
    <row r="127" spans="10:12">
      <c r="J127" s="347"/>
      <c r="K127" s="347"/>
    </row>
    <row r="128" spans="10:12">
      <c r="J128" s="347"/>
      <c r="K128" s="347"/>
    </row>
    <row r="129" spans="10:11">
      <c r="J129" s="347"/>
      <c r="K129" s="347"/>
    </row>
    <row r="130" spans="10:11">
      <c r="J130" s="347"/>
      <c r="K130" s="347"/>
    </row>
    <row r="131" spans="10:11">
      <c r="J131" s="347"/>
      <c r="K131" s="347"/>
    </row>
    <row r="132" spans="10:11">
      <c r="J132" s="347"/>
      <c r="K132" s="347"/>
    </row>
    <row r="136" spans="10:11">
      <c r="J136" s="674"/>
      <c r="K136" s="674"/>
    </row>
    <row r="137" spans="10:11">
      <c r="J137" s="347"/>
      <c r="K137" s="347"/>
    </row>
    <row r="138" spans="10:11">
      <c r="J138" s="347"/>
      <c r="K138" s="347"/>
    </row>
    <row r="139" spans="10:11">
      <c r="J139" s="347"/>
      <c r="K139" s="347"/>
    </row>
    <row r="140" spans="10:11">
      <c r="J140" s="347"/>
      <c r="K140" s="347"/>
    </row>
    <row r="141" spans="10:11">
      <c r="J141" s="347"/>
      <c r="K141" s="347"/>
    </row>
    <row r="142" spans="10:11">
      <c r="J142" s="347"/>
      <c r="K142" s="347"/>
    </row>
    <row r="143" spans="10:11">
      <c r="J143" s="347"/>
      <c r="K143" s="347"/>
    </row>
    <row r="144" spans="10:11">
      <c r="J144" s="347"/>
      <c r="K144" s="347"/>
    </row>
    <row r="145" spans="2:11">
      <c r="J145" s="347"/>
      <c r="K145" s="347"/>
    </row>
    <row r="146" spans="2:11">
      <c r="B146" s="674"/>
      <c r="C146" s="267"/>
      <c r="E146" s="266"/>
      <c r="F146" s="266"/>
      <c r="G146" s="266"/>
      <c r="H146" s="266"/>
      <c r="I146" s="266"/>
      <c r="J146" s="266"/>
      <c r="K146" s="266"/>
    </row>
    <row r="147" spans="2:11">
      <c r="B147" s="347"/>
      <c r="C147" s="267"/>
      <c r="E147" s="266"/>
      <c r="F147" s="266"/>
      <c r="G147" s="266"/>
      <c r="H147" s="266"/>
      <c r="I147" s="266"/>
      <c r="J147" s="266"/>
      <c r="K147" s="266"/>
    </row>
    <row r="148" spans="2:11">
      <c r="B148" s="347"/>
      <c r="C148" s="267"/>
      <c r="E148" s="266"/>
      <c r="F148" s="266"/>
      <c r="G148" s="266"/>
      <c r="H148" s="266"/>
      <c r="I148" s="266"/>
      <c r="J148" s="266"/>
      <c r="K148" s="266"/>
    </row>
    <row r="149" spans="2:11">
      <c r="B149" s="347"/>
      <c r="C149" s="267"/>
      <c r="E149" s="266"/>
      <c r="F149" s="266"/>
      <c r="G149" s="266"/>
      <c r="H149" s="266"/>
      <c r="I149" s="266"/>
      <c r="J149" s="266"/>
      <c r="K149" s="266"/>
    </row>
    <row r="150" spans="2:11">
      <c r="B150" s="347"/>
      <c r="C150" s="267"/>
      <c r="E150" s="266"/>
      <c r="F150" s="266"/>
      <c r="G150" s="266"/>
      <c r="H150" s="266"/>
      <c r="I150" s="266"/>
      <c r="J150" s="266"/>
      <c r="K150" s="266"/>
    </row>
    <row r="151" spans="2:11">
      <c r="B151" s="347"/>
      <c r="C151" s="267"/>
      <c r="E151" s="266"/>
      <c r="F151" s="266"/>
      <c r="G151" s="266"/>
      <c r="H151" s="266"/>
      <c r="I151" s="266"/>
      <c r="J151" s="266"/>
      <c r="K151" s="266"/>
    </row>
    <row r="152" spans="2:11">
      <c r="B152" s="347"/>
      <c r="C152" s="267"/>
      <c r="E152" s="266"/>
      <c r="F152" s="266"/>
      <c r="G152" s="266"/>
      <c r="H152" s="266"/>
      <c r="I152" s="266"/>
      <c r="J152" s="266"/>
      <c r="K152" s="266"/>
    </row>
    <row r="153" spans="2:11">
      <c r="B153" s="347"/>
      <c r="C153" s="267"/>
      <c r="E153" s="266"/>
      <c r="F153" s="266"/>
      <c r="G153" s="266"/>
      <c r="H153" s="266"/>
      <c r="I153" s="266"/>
      <c r="J153" s="266"/>
      <c r="K153" s="266"/>
    </row>
    <row r="154" spans="2:11">
      <c r="B154" s="347"/>
      <c r="C154" s="267"/>
      <c r="E154" s="266"/>
      <c r="F154" s="266"/>
      <c r="G154" s="266"/>
      <c r="H154" s="266"/>
      <c r="I154" s="266"/>
      <c r="J154" s="266"/>
      <c r="K154" s="266"/>
    </row>
    <row r="155" spans="2:11">
      <c r="B155" s="347"/>
      <c r="C155" s="267"/>
      <c r="E155" s="266"/>
      <c r="F155" s="266"/>
      <c r="G155" s="266"/>
      <c r="H155" s="266"/>
      <c r="I155" s="266"/>
      <c r="J155" s="266"/>
      <c r="K155" s="266"/>
    </row>
    <row r="156" spans="2:11">
      <c r="B156" s="286"/>
    </row>
    <row r="159" spans="2:11">
      <c r="B159" s="267"/>
      <c r="C159" s="267"/>
      <c r="D159" s="266"/>
      <c r="E159" s="266"/>
      <c r="F159" s="266"/>
      <c r="G159" s="266"/>
      <c r="H159" s="266"/>
      <c r="I159" s="266"/>
      <c r="J159" s="266"/>
      <c r="K159" s="266"/>
    </row>
    <row r="160" spans="2:11">
      <c r="B160" s="267"/>
      <c r="C160" s="267"/>
      <c r="D160" s="266"/>
      <c r="E160" s="266"/>
      <c r="F160" s="266"/>
      <c r="G160" s="266"/>
      <c r="H160" s="266"/>
      <c r="I160" s="266"/>
      <c r="J160" s="266"/>
      <c r="K160" s="266"/>
    </row>
    <row r="161" spans="2:11">
      <c r="B161" s="267"/>
      <c r="C161" s="267"/>
      <c r="D161" s="266"/>
      <c r="E161" s="266"/>
      <c r="F161" s="266"/>
      <c r="G161" s="266"/>
      <c r="H161" s="266"/>
      <c r="I161" s="266"/>
      <c r="J161" s="266"/>
      <c r="K161" s="266"/>
    </row>
    <row r="162" spans="2:11">
      <c r="B162" s="267"/>
      <c r="C162" s="267"/>
      <c r="D162" s="266"/>
      <c r="E162" s="266"/>
      <c r="F162" s="266"/>
      <c r="G162" s="266"/>
      <c r="H162" s="266"/>
      <c r="I162" s="266"/>
      <c r="J162" s="266"/>
      <c r="K162" s="266"/>
    </row>
    <row r="163" spans="2:11">
      <c r="B163" s="267"/>
      <c r="C163" s="267"/>
      <c r="D163" s="266"/>
      <c r="E163" s="266"/>
      <c r="F163" s="266"/>
      <c r="G163" s="266"/>
      <c r="H163" s="266"/>
      <c r="I163" s="266"/>
      <c r="J163" s="266"/>
      <c r="K163" s="266"/>
    </row>
    <row r="164" spans="2:11">
      <c r="B164" s="267"/>
      <c r="C164" s="267"/>
      <c r="D164" s="266"/>
      <c r="E164" s="266"/>
      <c r="F164" s="266"/>
      <c r="G164" s="266"/>
      <c r="H164" s="266"/>
      <c r="I164" s="266"/>
      <c r="J164" s="266"/>
      <c r="K164" s="266"/>
    </row>
    <row r="165" spans="2:11">
      <c r="B165" s="267"/>
      <c r="C165" s="267"/>
      <c r="D165" s="266"/>
      <c r="E165" s="266"/>
      <c r="F165" s="266"/>
      <c r="G165" s="266"/>
      <c r="H165" s="266"/>
      <c r="I165" s="266"/>
      <c r="J165" s="266"/>
      <c r="K165" s="266"/>
    </row>
    <row r="166" spans="2:11">
      <c r="B166" s="267"/>
      <c r="C166" s="267"/>
      <c r="D166" s="266"/>
      <c r="E166" s="266"/>
      <c r="F166" s="266"/>
      <c r="G166" s="266"/>
      <c r="H166" s="266"/>
      <c r="I166" s="266"/>
      <c r="J166" s="266"/>
      <c r="K166" s="266"/>
    </row>
    <row r="167" spans="2:11">
      <c r="B167" s="267"/>
      <c r="C167" s="267"/>
      <c r="D167" s="266"/>
      <c r="E167" s="266"/>
      <c r="F167" s="266"/>
      <c r="G167" s="266"/>
      <c r="H167" s="266"/>
      <c r="I167" s="266"/>
      <c r="J167" s="266"/>
      <c r="K167" s="266"/>
    </row>
    <row r="182" spans="1:20" hidden="1">
      <c r="A182" s="253" t="s">
        <v>33</v>
      </c>
    </row>
    <row r="183" spans="1:20" hidden="1">
      <c r="A183" s="284" t="s">
        <v>34</v>
      </c>
    </row>
    <row r="184" spans="1:20" s="259" customFormat="1" hidden="1">
      <c r="A184" s="285" t="s">
        <v>35</v>
      </c>
      <c r="B184" s="266"/>
      <c r="C184" s="266"/>
      <c r="D184" s="267"/>
      <c r="E184" s="267"/>
      <c r="F184" s="267"/>
      <c r="G184" s="267"/>
      <c r="H184" s="267"/>
      <c r="I184" s="267"/>
      <c r="J184" s="267"/>
      <c r="K184" s="267"/>
      <c r="L184" s="266"/>
      <c r="O184" s="266"/>
      <c r="P184" s="266"/>
      <c r="Q184" s="266"/>
      <c r="R184" s="266"/>
      <c r="S184" s="266"/>
      <c r="T184" s="266"/>
    </row>
    <row r="185" spans="1:20" s="259" customFormat="1" hidden="1">
      <c r="A185" s="285" t="s">
        <v>36</v>
      </c>
      <c r="B185" s="266"/>
      <c r="C185" s="266"/>
      <c r="D185" s="267"/>
      <c r="E185" s="267"/>
      <c r="F185" s="267"/>
      <c r="G185" s="267"/>
      <c r="H185" s="267"/>
      <c r="I185" s="267"/>
      <c r="J185" s="267"/>
      <c r="K185" s="267"/>
      <c r="L185" s="266"/>
      <c r="O185" s="266"/>
      <c r="P185" s="266"/>
      <c r="Q185" s="266"/>
      <c r="R185" s="266"/>
      <c r="S185" s="266"/>
      <c r="T185" s="266"/>
    </row>
    <row r="186" spans="1:20" s="259" customFormat="1" hidden="1">
      <c r="A186" s="285" t="s">
        <v>37</v>
      </c>
      <c r="B186" s="266"/>
      <c r="C186" s="266"/>
      <c r="D186" s="267"/>
      <c r="E186" s="267"/>
      <c r="F186" s="267"/>
      <c r="G186" s="267"/>
      <c r="H186" s="267"/>
      <c r="I186" s="267"/>
      <c r="J186" s="267"/>
      <c r="K186" s="267"/>
      <c r="L186" s="266"/>
    </row>
    <row r="187" spans="1:20" s="259" customFormat="1" hidden="1">
      <c r="A187" s="285" t="s">
        <v>38</v>
      </c>
      <c r="B187" s="266"/>
      <c r="C187" s="266"/>
      <c r="D187" s="267"/>
      <c r="E187" s="267"/>
      <c r="F187" s="267"/>
      <c r="G187" s="267"/>
      <c r="H187" s="267"/>
      <c r="I187" s="267"/>
      <c r="J187" s="267"/>
      <c r="K187" s="267"/>
      <c r="L187" s="266"/>
    </row>
    <row r="188" spans="1:20" s="259" customFormat="1" hidden="1">
      <c r="A188" s="285" t="s">
        <v>39</v>
      </c>
      <c r="B188" s="266"/>
      <c r="C188" s="266"/>
      <c r="D188" s="267"/>
      <c r="E188" s="267"/>
      <c r="F188" s="267"/>
      <c r="G188" s="267"/>
      <c r="H188" s="267"/>
      <c r="I188" s="267"/>
      <c r="J188" s="267"/>
      <c r="K188" s="267"/>
      <c r="L188" s="266"/>
    </row>
    <row r="189" spans="1:20" s="259" customFormat="1" hidden="1">
      <c r="A189" s="285" t="s">
        <v>40</v>
      </c>
      <c r="B189" s="266"/>
      <c r="C189" s="266"/>
      <c r="D189" s="267"/>
      <c r="E189" s="267"/>
      <c r="F189" s="267"/>
      <c r="G189" s="267"/>
      <c r="H189" s="267"/>
      <c r="I189" s="267"/>
      <c r="J189" s="267"/>
      <c r="K189" s="267"/>
      <c r="L189" s="266"/>
    </row>
    <row r="190" spans="1:20" s="259" customFormat="1" hidden="1">
      <c r="A190" s="285" t="s">
        <v>41</v>
      </c>
      <c r="B190" s="266"/>
      <c r="C190" s="266"/>
      <c r="D190" s="267"/>
      <c r="E190" s="267"/>
      <c r="F190" s="267"/>
      <c r="G190" s="267"/>
      <c r="H190" s="267"/>
      <c r="I190" s="267"/>
      <c r="J190" s="267"/>
      <c r="K190" s="267"/>
      <c r="L190" s="266"/>
    </row>
    <row r="191" spans="1:20" s="259" customFormat="1" hidden="1">
      <c r="A191" s="285" t="s">
        <v>42</v>
      </c>
      <c r="B191" s="266"/>
      <c r="C191" s="266"/>
      <c r="D191" s="267"/>
      <c r="E191" s="267"/>
      <c r="F191" s="267"/>
      <c r="G191" s="267"/>
      <c r="H191" s="267"/>
      <c r="I191" s="267"/>
      <c r="J191" s="267"/>
      <c r="K191" s="267"/>
      <c r="L191" s="266"/>
    </row>
    <row r="192" spans="1:20" s="259" customFormat="1" hidden="1">
      <c r="A192" s="285"/>
      <c r="B192" s="266"/>
      <c r="C192" s="266"/>
      <c r="D192" s="267"/>
      <c r="E192" s="267"/>
      <c r="F192" s="267"/>
      <c r="G192" s="267"/>
      <c r="H192" s="267"/>
      <c r="I192" s="267"/>
      <c r="J192" s="267"/>
      <c r="K192" s="267"/>
      <c r="L192" s="266"/>
    </row>
    <row r="193" spans="1:20" hidden="1">
      <c r="O193" s="259"/>
      <c r="P193" s="259"/>
      <c r="Q193" s="259"/>
      <c r="R193" s="259"/>
      <c r="S193" s="259"/>
      <c r="T193" s="259"/>
    </row>
    <row r="194" spans="1:20" hidden="1">
      <c r="O194" s="259"/>
      <c r="P194" s="259"/>
      <c r="Q194" s="259"/>
      <c r="R194" s="259"/>
      <c r="S194" s="259"/>
      <c r="T194" s="259"/>
    </row>
    <row r="195" spans="1:20" hidden="1">
      <c r="A195" s="253" t="s">
        <v>43</v>
      </c>
    </row>
    <row r="196" spans="1:20" hidden="1">
      <c r="A196" s="284" t="s">
        <v>34</v>
      </c>
    </row>
    <row r="197" spans="1:20" hidden="1">
      <c r="A197" s="285" t="s">
        <v>35</v>
      </c>
    </row>
    <row r="198" spans="1:20" hidden="1">
      <c r="A198" s="285" t="s">
        <v>36</v>
      </c>
    </row>
    <row r="199" spans="1:20" hidden="1">
      <c r="A199" s="285" t="s">
        <v>37</v>
      </c>
    </row>
    <row r="200" spans="1:20" hidden="1">
      <c r="A200" s="285" t="s">
        <v>38</v>
      </c>
    </row>
    <row r="201" spans="1:20" hidden="1">
      <c r="A201" s="285" t="s">
        <v>39</v>
      </c>
    </row>
    <row r="202" spans="1:20" hidden="1">
      <c r="A202" s="285" t="s">
        <v>40</v>
      </c>
    </row>
    <row r="203" spans="1:20" hidden="1">
      <c r="A203" s="285" t="s">
        <v>41</v>
      </c>
    </row>
    <row r="204" spans="1:20" hidden="1">
      <c r="A204" s="285" t="s">
        <v>42</v>
      </c>
    </row>
    <row r="205" spans="1:20" hidden="1">
      <c r="A205" s="285"/>
    </row>
    <row r="206" spans="1:20" hidden="1"/>
    <row r="207" spans="1:20" hidden="1"/>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D93F1-3F9E-41F5-B64D-23ADEF560F5D}">
  <dimension ref="A4:BA4"/>
  <sheetViews>
    <sheetView workbookViewId="0">
      <selection activeCell="H22" sqref="H22"/>
    </sheetView>
  </sheetViews>
  <sheetFormatPr defaultRowHeight="14.4"/>
  <sheetData>
    <row r="4" spans="1:53" s="114" customFormat="1">
      <c r="A4" s="110" t="s">
        <v>399</v>
      </c>
      <c r="B4" s="191" t="s">
        <v>154</v>
      </c>
      <c r="C4" s="191" t="s">
        <v>333</v>
      </c>
      <c r="D4" s="191" t="s">
        <v>164</v>
      </c>
      <c r="E4" s="191" t="s">
        <v>355</v>
      </c>
      <c r="F4" s="228" t="s">
        <v>377</v>
      </c>
      <c r="G4" s="191" t="s">
        <v>294</v>
      </c>
      <c r="H4" s="196" t="s">
        <v>378</v>
      </c>
      <c r="I4" s="183" t="s">
        <v>359</v>
      </c>
      <c r="J4" s="191" t="s">
        <v>360</v>
      </c>
      <c r="K4" s="191" t="s">
        <v>336</v>
      </c>
      <c r="L4" s="123">
        <f t="shared" ref="L4" si="0">AN4*1000/AO4</f>
        <v>13443587.662337661</v>
      </c>
      <c r="M4" s="135">
        <v>0.05</v>
      </c>
      <c r="N4" s="45">
        <f t="shared" ref="N4" si="1">M4*L4</f>
        <v>672179.38311688311</v>
      </c>
      <c r="O4" s="45"/>
      <c r="P4" s="45"/>
      <c r="Q4" s="159">
        <f t="shared" ref="Q4" si="2">T4/(L4/1000)</f>
        <v>98.560000000000016</v>
      </c>
      <c r="R4" s="165">
        <f t="shared" ref="R4" si="3">T4/N4</f>
        <v>1.9712000000000001</v>
      </c>
      <c r="S4" s="195">
        <f t="shared" ref="S4" si="4">Q4</f>
        <v>98.560000000000016</v>
      </c>
      <c r="T4" s="192">
        <f t="shared" ref="T4" si="5">AN4</f>
        <v>1325000</v>
      </c>
      <c r="U4" s="44" t="e">
        <f t="shared" ref="U4" si="6">T4/$T$60</f>
        <v>#DIV/0!</v>
      </c>
      <c r="V4" s="44"/>
      <c r="W4" s="123">
        <f t="shared" ref="W4" si="7">AS4</f>
        <v>4500000</v>
      </c>
      <c r="X4" s="45">
        <f t="shared" ref="X4" si="8">(1-V4)*W4</f>
        <v>4500000</v>
      </c>
      <c r="Y4" s="111"/>
      <c r="Z4" s="112"/>
      <c r="AA4" s="111"/>
      <c r="AB4" s="111"/>
      <c r="AC4" s="47">
        <f t="shared" ref="AC4" si="9">L4/W4</f>
        <v>2.9874639249639245</v>
      </c>
      <c r="AD4" s="202">
        <v>45122</v>
      </c>
      <c r="AE4" s="202">
        <f t="shared" ref="AE4" si="10">AD4</f>
        <v>45122</v>
      </c>
      <c r="AF4" s="374">
        <f t="shared" ref="AF4" si="11">AE4-AD4+1</f>
        <v>1</v>
      </c>
      <c r="AG4" s="396" t="s">
        <v>379</v>
      </c>
      <c r="AH4" s="133"/>
      <c r="AI4" s="133"/>
      <c r="AJ4" s="174">
        <v>1325000</v>
      </c>
      <c r="AK4" s="134"/>
      <c r="AL4" s="194">
        <v>1</v>
      </c>
      <c r="AM4" s="194">
        <v>0</v>
      </c>
      <c r="AN4" s="174">
        <f t="shared" ref="AN4" si="12">AL4*AJ4</f>
        <v>1325000</v>
      </c>
      <c r="AO4" s="178">
        <v>98.560000000000016</v>
      </c>
      <c r="AP4" s="123">
        <v>4500000</v>
      </c>
      <c r="AQ4" s="229">
        <f t="shared" ref="AQ4" si="13">AP4*AL4</f>
        <v>4500000</v>
      </c>
      <c r="AR4" s="174">
        <f t="shared" ref="AR4" si="14">AJ4*AM4</f>
        <v>0</v>
      </c>
      <c r="AS4" s="114">
        <f>AP4*100%</f>
        <v>4500000</v>
      </c>
      <c r="AT4" s="133">
        <v>1</v>
      </c>
      <c r="AU4" s="133"/>
      <c r="AW4" s="114">
        <f t="shared" ref="AW4" si="15">AT4*L4</f>
        <v>13443587.662337661</v>
      </c>
      <c r="AX4" s="114">
        <f t="shared" ref="AX4" si="16">AU4*L4</f>
        <v>0</v>
      </c>
      <c r="AZ4" s="291">
        <f t="shared" ref="AZ4" si="17">AT4*N4</f>
        <v>672179.38311688311</v>
      </c>
      <c r="BA4" s="290">
        <f t="shared" ref="BA4" si="18">AU4*N4</f>
        <v>0</v>
      </c>
    </row>
  </sheetData>
  <conditionalFormatting sqref="R4">
    <cfRule type="colorScale" priority="3">
      <colorScale>
        <cfvo type="min"/>
        <cfvo type="percentile" val="50"/>
        <cfvo type="max"/>
        <color rgb="FF63BE7B"/>
        <color rgb="FFFFEB84"/>
        <color rgb="FFF8696B"/>
      </colorScale>
    </cfRule>
  </conditionalFormatting>
  <conditionalFormatting sqref="U4">
    <cfRule type="colorScale" priority="1">
      <colorScale>
        <cfvo type="min"/>
        <cfvo type="percentile" val="50"/>
        <cfvo type="max"/>
        <color rgb="FFF8696B"/>
        <color rgb="FFFFEB84"/>
        <color rgb="FF63BE7B"/>
      </colorScale>
    </cfRule>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4479-73CB-484F-903E-231CDE512FE6}">
  <dimension ref="B2:S6"/>
  <sheetViews>
    <sheetView showGridLines="0" workbookViewId="0">
      <selection activeCell="A5" sqref="A5"/>
    </sheetView>
  </sheetViews>
  <sheetFormatPr defaultRowHeight="14.4"/>
  <cols>
    <col min="3" max="3" width="11.88671875" customWidth="1"/>
    <col min="10" max="10" width="15.88671875" customWidth="1"/>
    <col min="11" max="11" width="16.109375" customWidth="1"/>
    <col min="12" max="12" width="19.5546875" customWidth="1"/>
    <col min="19" max="19" width="11.33203125" customWidth="1"/>
  </cols>
  <sheetData>
    <row r="2" spans="2:19" ht="15" thickBot="1"/>
    <row r="3" spans="2:19">
      <c r="B3" s="816" t="s">
        <v>448</v>
      </c>
      <c r="C3" s="817"/>
      <c r="D3" s="817"/>
      <c r="E3" s="817"/>
      <c r="F3" s="817"/>
      <c r="G3" s="817"/>
      <c r="H3" s="817"/>
      <c r="I3" s="817"/>
      <c r="J3" s="817"/>
      <c r="K3" s="817"/>
      <c r="L3" s="817"/>
      <c r="M3" s="817"/>
      <c r="N3" s="817"/>
      <c r="O3" s="817"/>
      <c r="P3" s="817"/>
      <c r="Q3" s="817"/>
      <c r="R3" s="817"/>
      <c r="S3" s="818"/>
    </row>
    <row r="4" spans="2:19" ht="41.4">
      <c r="B4" s="663" t="s">
        <v>449</v>
      </c>
      <c r="C4" s="662" t="s">
        <v>450</v>
      </c>
      <c r="D4" s="662" t="s">
        <v>0</v>
      </c>
      <c r="E4" s="662" t="s">
        <v>451</v>
      </c>
      <c r="F4" s="662" t="s">
        <v>240</v>
      </c>
      <c r="G4" s="662" t="s">
        <v>452</v>
      </c>
      <c r="H4" s="662" t="s">
        <v>453</v>
      </c>
      <c r="I4" s="662" t="s">
        <v>97</v>
      </c>
      <c r="J4" s="662" t="s">
        <v>454</v>
      </c>
      <c r="K4" s="661" t="s">
        <v>455</v>
      </c>
      <c r="L4" s="661" t="s">
        <v>12</v>
      </c>
      <c r="M4" s="661" t="s">
        <v>456</v>
      </c>
      <c r="N4" s="661" t="s">
        <v>457</v>
      </c>
      <c r="O4" s="661" t="s">
        <v>458</v>
      </c>
      <c r="P4" s="661" t="s">
        <v>459</v>
      </c>
      <c r="Q4" s="661" t="s">
        <v>460</v>
      </c>
      <c r="R4" s="661" t="s">
        <v>461</v>
      </c>
      <c r="S4" s="660" t="s">
        <v>462</v>
      </c>
    </row>
    <row r="5" spans="2:19">
      <c r="B5" s="659" t="s">
        <v>463</v>
      </c>
      <c r="C5" s="658" t="s">
        <v>464</v>
      </c>
      <c r="D5" s="658" t="s">
        <v>465</v>
      </c>
      <c r="E5" s="657" t="s">
        <v>118</v>
      </c>
      <c r="F5" s="657" t="s">
        <v>466</v>
      </c>
      <c r="G5" s="657" t="s">
        <v>64</v>
      </c>
      <c r="H5" s="657" t="s">
        <v>467</v>
      </c>
      <c r="I5" s="656" t="s">
        <v>468</v>
      </c>
      <c r="J5" s="655" t="s">
        <v>469</v>
      </c>
      <c r="K5" s="654">
        <v>8.5714285714285694</v>
      </c>
      <c r="L5" s="653">
        <f>K5*10^6</f>
        <v>8571428.571428569</v>
      </c>
      <c r="M5" s="139">
        <v>700</v>
      </c>
      <c r="N5" s="139">
        <f>M5*2</f>
        <v>1400</v>
      </c>
      <c r="O5" s="652" t="s">
        <v>470</v>
      </c>
      <c r="P5" s="651">
        <f>K5/4</f>
        <v>2.1428571428571423</v>
      </c>
      <c r="Q5" s="139" t="s">
        <v>471</v>
      </c>
      <c r="R5" s="139" t="s">
        <v>472</v>
      </c>
      <c r="S5" s="650">
        <f>L5*M5/1000</f>
        <v>5999999.9999999981</v>
      </c>
    </row>
    <row r="6" spans="2:19" ht="15" thickBot="1">
      <c r="B6" s="649" t="s">
        <v>84</v>
      </c>
      <c r="C6" s="648"/>
      <c r="D6" s="648"/>
      <c r="E6" s="648"/>
      <c r="F6" s="648"/>
      <c r="G6" s="648"/>
      <c r="H6" s="648"/>
      <c r="I6" s="648"/>
      <c r="J6" s="648"/>
      <c r="K6" s="647">
        <f>SUM(K5:K5)</f>
        <v>8.5714285714285694</v>
      </c>
      <c r="L6" s="646">
        <f>SUM(L5:L5)</f>
        <v>8571428.571428569</v>
      </c>
      <c r="M6" s="645"/>
      <c r="N6" s="645"/>
      <c r="O6" s="644"/>
      <c r="P6" s="644"/>
      <c r="Q6" s="644"/>
      <c r="R6" s="644"/>
      <c r="S6" s="643">
        <f>SUM(S5:S5)</f>
        <v>5999999.9999999981</v>
      </c>
    </row>
  </sheetData>
  <mergeCells count="1">
    <mergeCell ref="B3:S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E6F4-EBEF-4D51-8E5F-12867C7F063D}">
  <dimension ref="A1:BH17"/>
  <sheetViews>
    <sheetView showGridLines="0" zoomScale="90" zoomScaleNormal="90" workbookViewId="0">
      <pane xSplit="6" ySplit="2" topLeftCell="G3" activePane="bottomRight" state="frozen"/>
      <selection pane="topRight" activeCell="F1" sqref="F1"/>
      <selection pane="bottomLeft" activeCell="A3" sqref="A3"/>
      <selection pane="bottomRight" activeCell="F13" sqref="F13"/>
    </sheetView>
  </sheetViews>
  <sheetFormatPr defaultColWidth="28.33203125" defaultRowHeight="14.4"/>
  <cols>
    <col min="1" max="1" width="23.44140625" customWidth="1"/>
    <col min="2" max="2" width="7.6640625" customWidth="1"/>
    <col min="3" max="3" width="10.109375" customWidth="1"/>
    <col min="4" max="4" width="10.109375" bestFit="1" customWidth="1"/>
    <col min="5" max="5" width="14.5546875" bestFit="1" customWidth="1"/>
    <col min="6" max="6" width="25.88671875" bestFit="1" customWidth="1"/>
    <col min="7" max="7" width="12.6640625" bestFit="1" customWidth="1"/>
    <col min="8" max="8" width="30.5546875" customWidth="1"/>
    <col min="9" max="9" width="26.33203125" bestFit="1" customWidth="1"/>
    <col min="10" max="10" width="7.5546875" customWidth="1"/>
    <col min="11" max="11" width="43.5546875" bestFit="1" customWidth="1"/>
    <col min="12" max="12" width="13" customWidth="1"/>
    <col min="13" max="13" width="14.33203125" customWidth="1"/>
    <col min="14" max="14" width="11.109375" customWidth="1"/>
    <col min="15" max="15" width="5.5546875" customWidth="1"/>
    <col min="16" max="16" width="12.88671875" customWidth="1"/>
    <col min="17" max="17" width="6.44140625" customWidth="1"/>
    <col min="18" max="18" width="6.109375" customWidth="1"/>
    <col min="19" max="19" width="11.33203125" style="69" customWidth="1"/>
    <col min="20" max="20" width="12.88671875" style="69" bestFit="1" customWidth="1"/>
    <col min="21" max="21" width="14.88671875" style="69" customWidth="1"/>
    <col min="22" max="23" width="11.88671875" customWidth="1"/>
    <col min="24" max="24" width="14.88671875" customWidth="1"/>
    <col min="25" max="25" width="12.5546875" bestFit="1" customWidth="1"/>
    <col min="26" max="26" width="10.6640625" bestFit="1" customWidth="1"/>
    <col min="27" max="27" width="6.5546875" bestFit="1" customWidth="1"/>
    <col min="28" max="28" width="8.109375" bestFit="1" customWidth="1"/>
    <col min="29" max="29" width="12.109375" bestFit="1" customWidth="1"/>
    <col min="30" max="30" width="6.109375" customWidth="1"/>
    <col min="31" max="32" width="9.44140625" style="114" customWidth="1"/>
    <col min="33" max="33" width="6.5546875" style="114" customWidth="1"/>
    <col min="34" max="34" width="28.33203125" hidden="1" customWidth="1"/>
    <col min="35" max="35" width="28.33203125" customWidth="1"/>
    <col min="36" max="36" width="12.109375" style="231" customWidth="1"/>
    <col min="37" max="37" width="11.33203125" customWidth="1"/>
    <col min="38" max="38" width="11.5546875" bestFit="1" customWidth="1"/>
    <col min="39" max="39" width="10.5546875" customWidth="1"/>
    <col min="40" max="40" width="12" customWidth="1"/>
    <col min="41" max="41" width="11.33203125" bestFit="1" customWidth="1"/>
    <col min="42" max="42" width="11.44140625" customWidth="1"/>
    <col min="43" max="43" width="11.109375" customWidth="1"/>
    <col min="44" max="44" width="12.109375" customWidth="1"/>
    <col min="45" max="45" width="11.5546875" customWidth="1"/>
    <col min="46" max="46" width="28.33203125" customWidth="1"/>
    <col min="47" max="47" width="5" customWidth="1"/>
    <col min="48" max="48" width="4.5546875" customWidth="1"/>
    <col min="49" max="49" width="28.33203125" customWidth="1"/>
    <col min="50" max="50" width="16.109375" customWidth="1"/>
    <col min="51" max="51" width="14.6640625" customWidth="1"/>
    <col min="52" max="52" width="14.109375" customWidth="1"/>
    <col min="53" max="54" width="14.109375" bestFit="1" customWidth="1"/>
    <col min="55" max="55" width="9.5546875" customWidth="1"/>
    <col min="56" max="57" width="14.109375" bestFit="1" customWidth="1"/>
    <col min="58" max="58" width="12.5546875" customWidth="1"/>
    <col min="59" max="59" width="6.44140625" customWidth="1"/>
    <col min="60" max="60" width="9.109375" customWidth="1"/>
    <col min="61" max="61" width="28.33203125" customWidth="1"/>
  </cols>
  <sheetData>
    <row r="1" spans="1:60">
      <c r="A1" s="88" t="s">
        <v>89</v>
      </c>
      <c r="B1" s="89" t="s">
        <v>90</v>
      </c>
      <c r="C1" s="88" t="s">
        <v>34</v>
      </c>
      <c r="D1" s="89" t="s">
        <v>91</v>
      </c>
      <c r="E1" s="89" t="s">
        <v>338</v>
      </c>
      <c r="F1" s="89" t="s">
        <v>92</v>
      </c>
      <c r="G1" s="89" t="s">
        <v>93</v>
      </c>
      <c r="H1" s="89" t="s">
        <v>94</v>
      </c>
      <c r="I1" s="89" t="s">
        <v>95</v>
      </c>
      <c r="J1" s="89" t="s">
        <v>96</v>
      </c>
      <c r="K1" s="90" t="s">
        <v>97</v>
      </c>
      <c r="L1" s="91" t="s">
        <v>98</v>
      </c>
      <c r="M1" s="92" t="s">
        <v>99</v>
      </c>
      <c r="N1" s="93" t="s">
        <v>100</v>
      </c>
      <c r="O1" s="93" t="s">
        <v>101</v>
      </c>
      <c r="P1" s="93" t="s">
        <v>102</v>
      </c>
      <c r="Q1" s="94" t="s">
        <v>103</v>
      </c>
      <c r="R1" s="95" t="s">
        <v>104</v>
      </c>
      <c r="S1" s="124" t="s">
        <v>105</v>
      </c>
      <c r="T1" s="731" t="s">
        <v>265</v>
      </c>
      <c r="U1" s="125" t="s">
        <v>106</v>
      </c>
      <c r="V1" s="89" t="s">
        <v>107</v>
      </c>
      <c r="W1" s="89" t="s">
        <v>108</v>
      </c>
      <c r="X1" s="93" t="s">
        <v>14</v>
      </c>
      <c r="Y1" s="93" t="s">
        <v>109</v>
      </c>
      <c r="Z1" s="96" t="s">
        <v>78</v>
      </c>
      <c r="AA1" s="97" t="s">
        <v>15</v>
      </c>
      <c r="AB1" s="98" t="s">
        <v>13</v>
      </c>
      <c r="AC1" s="99" t="s">
        <v>110</v>
      </c>
      <c r="AD1" s="99" t="s">
        <v>114</v>
      </c>
      <c r="AE1" s="99" t="s">
        <v>112</v>
      </c>
      <c r="AF1" s="130" t="s">
        <v>6</v>
      </c>
      <c r="AG1" s="132" t="s">
        <v>8</v>
      </c>
      <c r="AH1" s="6"/>
      <c r="AI1" s="6"/>
      <c r="AJ1" s="132" t="s">
        <v>339</v>
      </c>
      <c r="AK1" s="132" t="s">
        <v>340</v>
      </c>
      <c r="AL1" s="6"/>
      <c r="AM1" s="175" t="s">
        <v>341</v>
      </c>
      <c r="AN1" s="175" t="s">
        <v>342</v>
      </c>
      <c r="AO1" s="175" t="s">
        <v>344</v>
      </c>
      <c r="AP1" s="175" t="s">
        <v>184</v>
      </c>
      <c r="AQ1" s="180" t="s">
        <v>345</v>
      </c>
      <c r="AR1" s="176" t="s">
        <v>346</v>
      </c>
      <c r="AS1" s="176" t="s">
        <v>347</v>
      </c>
      <c r="AX1" s="814" t="s">
        <v>12</v>
      </c>
      <c r="AY1" s="814"/>
      <c r="BA1" s="814" t="s">
        <v>18</v>
      </c>
      <c r="BB1" s="814"/>
      <c r="BD1" s="815" t="s">
        <v>350</v>
      </c>
      <c r="BE1" s="815"/>
      <c r="BF1" s="146" t="s">
        <v>121</v>
      </c>
      <c r="BG1" s="237" t="s">
        <v>122</v>
      </c>
      <c r="BH1" s="237" t="s">
        <v>123</v>
      </c>
    </row>
    <row r="2" spans="1:60">
      <c r="A2" s="100" t="s">
        <v>351</v>
      </c>
      <c r="B2" s="100"/>
      <c r="C2" s="100"/>
      <c r="D2" s="100"/>
      <c r="E2" s="100"/>
      <c r="F2" s="100"/>
      <c r="G2" s="100"/>
      <c r="H2" s="101"/>
      <c r="I2" s="101"/>
      <c r="J2" s="101"/>
      <c r="K2" s="102"/>
      <c r="L2" s="103"/>
      <c r="M2" s="104"/>
      <c r="N2" s="105"/>
      <c r="O2" s="105"/>
      <c r="P2" s="105"/>
      <c r="Q2" s="106"/>
      <c r="R2" s="106"/>
      <c r="S2" s="126"/>
      <c r="T2" s="126"/>
      <c r="U2" s="127"/>
      <c r="V2" s="107"/>
      <c r="W2" s="108"/>
      <c r="X2" s="105"/>
      <c r="Y2" s="105"/>
      <c r="Z2" s="105"/>
      <c r="AA2" s="105"/>
      <c r="AB2" s="105"/>
      <c r="AC2" s="105"/>
      <c r="AD2" s="109"/>
      <c r="AE2" s="109"/>
      <c r="AF2" s="131"/>
      <c r="AG2" s="109"/>
      <c r="AH2" s="6"/>
      <c r="AI2" s="6"/>
      <c r="AJ2" s="232"/>
      <c r="AK2" s="6"/>
      <c r="AL2" s="6"/>
      <c r="AM2" s="6"/>
      <c r="AN2" s="6"/>
      <c r="AO2" s="6"/>
      <c r="AP2" s="6"/>
      <c r="AU2" s="334" t="s">
        <v>352</v>
      </c>
      <c r="AV2" s="334" t="s">
        <v>353</v>
      </c>
      <c r="AX2" t="s">
        <v>352</v>
      </c>
      <c r="AY2" t="s">
        <v>353</v>
      </c>
      <c r="BA2" t="s">
        <v>352</v>
      </c>
      <c r="BB2" t="s">
        <v>353</v>
      </c>
      <c r="BD2" t="s">
        <v>352</v>
      </c>
      <c r="BE2" t="s">
        <v>353</v>
      </c>
    </row>
    <row r="3" spans="1:60" s="427" customFormat="1">
      <c r="A3" s="475" t="s">
        <v>354</v>
      </c>
      <c r="B3" s="191" t="s">
        <v>154</v>
      </c>
      <c r="C3" s="191" t="s">
        <v>333</v>
      </c>
      <c r="D3" s="191" t="s">
        <v>164</v>
      </c>
      <c r="E3" s="191" t="s">
        <v>355</v>
      </c>
      <c r="F3" s="555" t="s">
        <v>371</v>
      </c>
      <c r="G3" s="191" t="s">
        <v>357</v>
      </c>
      <c r="H3" s="183" t="s">
        <v>372</v>
      </c>
      <c r="I3" s="476" t="s">
        <v>359</v>
      </c>
      <c r="J3" s="191" t="s">
        <v>360</v>
      </c>
      <c r="K3" s="191" t="s">
        <v>336</v>
      </c>
      <c r="L3" s="123">
        <f>U3*1000/S3</f>
        <v>27500000</v>
      </c>
      <c r="M3" s="135">
        <v>3.0000000000000001E-3</v>
      </c>
      <c r="N3" s="185">
        <f t="shared" ref="N3:N6" si="0">M3*L3</f>
        <v>82500</v>
      </c>
      <c r="O3" s="185"/>
      <c r="P3" s="185"/>
      <c r="Q3" s="421">
        <f t="shared" ref="Q3:Q5" si="1">U3/(L3/1000)</f>
        <v>40</v>
      </c>
      <c r="R3" s="422">
        <f t="shared" ref="R3:R6" si="2">U3/N3</f>
        <v>13.333333333333334</v>
      </c>
      <c r="S3" s="635">
        <v>40</v>
      </c>
      <c r="T3" s="635"/>
      <c r="U3" s="576">
        <f>'Media Plan Phase3'!AU7</f>
        <v>1100000</v>
      </c>
      <c r="V3" s="420">
        <f>U3/$U$9</f>
        <v>0.23042077976486608</v>
      </c>
      <c r="W3" s="44">
        <v>0.7</v>
      </c>
      <c r="X3" s="123">
        <f>AT3*50%</f>
        <v>4375000</v>
      </c>
      <c r="Y3" s="185">
        <f>(1-W3)*X3</f>
        <v>1312500.0000000002</v>
      </c>
      <c r="Z3" s="477"/>
      <c r="AA3" s="478"/>
      <c r="AB3" s="477"/>
      <c r="AC3" s="477"/>
      <c r="AD3" s="424">
        <f t="shared" ref="AD3:AD6" si="3">L3/X3</f>
        <v>6.2857142857142856</v>
      </c>
      <c r="AE3" s="202" t="s">
        <v>361</v>
      </c>
      <c r="AF3" s="202" t="str">
        <f t="shared" ref="AF3:AF6" si="4">AE3</f>
        <v>T</v>
      </c>
      <c r="AG3" s="374">
        <v>1</v>
      </c>
      <c r="AH3" s="480" t="s">
        <v>373</v>
      </c>
      <c r="AI3" s="426"/>
      <c r="AJ3" s="744">
        <v>55000000</v>
      </c>
      <c r="AK3" s="174">
        <v>2200000</v>
      </c>
      <c r="AL3" s="481"/>
      <c r="AM3" s="482">
        <v>1</v>
      </c>
      <c r="AN3" s="482">
        <v>0</v>
      </c>
      <c r="AO3" s="174">
        <f>AM3*AK3</f>
        <v>2200000</v>
      </c>
      <c r="AP3" s="178">
        <f t="shared" ref="AP3:AP6" si="5">AK3/AJ3*1000</f>
        <v>40</v>
      </c>
      <c r="AQ3" s="181">
        <v>8750000</v>
      </c>
      <c r="AR3" s="483">
        <f t="shared" ref="AR3:AR6" si="6">AQ3*AM3</f>
        <v>8750000</v>
      </c>
      <c r="AS3" s="174">
        <f t="shared" ref="AS3:AS6" si="7">AK3*AN3</f>
        <v>0</v>
      </c>
      <c r="AT3" s="427">
        <f>AQ3*100%</f>
        <v>8750000</v>
      </c>
      <c r="AU3" s="426">
        <v>1</v>
      </c>
      <c r="AV3" s="426"/>
      <c r="AX3" s="427">
        <f t="shared" ref="AX3:AX6" si="8">AU3*L3</f>
        <v>27500000</v>
      </c>
      <c r="AY3" s="427">
        <f t="shared" ref="AY3:AY6" si="9">AV3*L3</f>
        <v>0</v>
      </c>
      <c r="BA3" s="484">
        <f t="shared" ref="BA3:BA6" si="10">AU3*N3</f>
        <v>82500</v>
      </c>
      <c r="BB3" s="485">
        <f t="shared" ref="BB3:BB6" si="11">AV3*N3</f>
        <v>0</v>
      </c>
      <c r="BD3" s="291">
        <f t="shared" ref="BD3:BD6" si="12">P3*AU3</f>
        <v>0</v>
      </c>
      <c r="BE3" s="485"/>
    </row>
    <row r="4" spans="1:60" s="427" customFormat="1">
      <c r="A4" s="475" t="s">
        <v>204</v>
      </c>
      <c r="B4" s="191" t="s">
        <v>154</v>
      </c>
      <c r="C4" s="191" t="s">
        <v>333</v>
      </c>
      <c r="D4" s="191" t="s">
        <v>164</v>
      </c>
      <c r="E4" s="191" t="s">
        <v>355</v>
      </c>
      <c r="F4" s="331" t="s">
        <v>374</v>
      </c>
      <c r="G4" s="191" t="s">
        <v>294</v>
      </c>
      <c r="H4" s="183" t="s">
        <v>375</v>
      </c>
      <c r="I4" s="183" t="s">
        <v>359</v>
      </c>
      <c r="J4" s="191" t="s">
        <v>360</v>
      </c>
      <c r="K4" s="191" t="s">
        <v>336</v>
      </c>
      <c r="L4" s="123">
        <f t="shared" ref="L4:L6" si="13">U4*1000/S4</f>
        <v>8750000</v>
      </c>
      <c r="M4" s="135">
        <v>3.0000000000000001E-3</v>
      </c>
      <c r="N4" s="185">
        <f t="shared" si="0"/>
        <v>26250</v>
      </c>
      <c r="O4" s="185"/>
      <c r="P4" s="185"/>
      <c r="Q4" s="421">
        <f t="shared" si="1"/>
        <v>62.857142857142854</v>
      </c>
      <c r="R4" s="422">
        <f t="shared" si="2"/>
        <v>20.952380952380953</v>
      </c>
      <c r="S4" s="635">
        <v>62.857142857142861</v>
      </c>
      <c r="T4" s="635"/>
      <c r="U4" s="576">
        <f>'Media Plan Phase3'!AU8</f>
        <v>550000</v>
      </c>
      <c r="V4" s="420">
        <f>U4/$U$9</f>
        <v>0.11521038988243304</v>
      </c>
      <c r="W4" s="44">
        <v>0.7</v>
      </c>
      <c r="X4" s="123">
        <f>AT4*50%</f>
        <v>4900000</v>
      </c>
      <c r="Y4" s="185">
        <f t="shared" ref="Y4:Y6" si="14">(1-W4)*X4</f>
        <v>1470000.0000000002</v>
      </c>
      <c r="Z4" s="477"/>
      <c r="AA4" s="478"/>
      <c r="AB4" s="477"/>
      <c r="AC4" s="477"/>
      <c r="AD4" s="424">
        <f t="shared" si="3"/>
        <v>1.7857142857142858</v>
      </c>
      <c r="AE4" s="202" t="s">
        <v>361</v>
      </c>
      <c r="AF4" s="202" t="str">
        <f t="shared" si="4"/>
        <v>T</v>
      </c>
      <c r="AG4" s="374">
        <v>1</v>
      </c>
      <c r="AH4" s="480" t="s">
        <v>376</v>
      </c>
      <c r="AI4" s="426"/>
      <c r="AJ4" s="744">
        <v>35000000</v>
      </c>
      <c r="AK4" s="174">
        <v>2200000</v>
      </c>
      <c r="AL4" s="726">
        <f>L4*2</f>
        <v>17500000</v>
      </c>
      <c r="AM4" s="482">
        <v>0.5</v>
      </c>
      <c r="AN4" s="482">
        <v>0.5</v>
      </c>
      <c r="AO4" s="174">
        <f t="shared" ref="AO4:AO6" si="15">AM4*AK4</f>
        <v>1100000</v>
      </c>
      <c r="AP4" s="178">
        <f t="shared" si="5"/>
        <v>62.857142857142861</v>
      </c>
      <c r="AQ4" s="181">
        <v>14000000</v>
      </c>
      <c r="AR4" s="483">
        <f t="shared" si="6"/>
        <v>7000000</v>
      </c>
      <c r="AS4" s="174">
        <f t="shared" si="7"/>
        <v>1100000</v>
      </c>
      <c r="AT4" s="427">
        <f t="shared" ref="AT4" si="16">AQ4*70%</f>
        <v>9800000</v>
      </c>
      <c r="AU4" s="426">
        <v>1</v>
      </c>
      <c r="AV4" s="426"/>
      <c r="AX4" s="427">
        <f t="shared" si="8"/>
        <v>8750000</v>
      </c>
      <c r="AY4" s="427">
        <f t="shared" si="9"/>
        <v>0</v>
      </c>
      <c r="BA4" s="484">
        <f t="shared" si="10"/>
        <v>26250</v>
      </c>
      <c r="BB4" s="485">
        <f t="shared" si="11"/>
        <v>0</v>
      </c>
      <c r="BD4" s="291">
        <f t="shared" si="12"/>
        <v>0</v>
      </c>
      <c r="BE4" s="485"/>
    </row>
    <row r="5" spans="1:60" s="114" customFormat="1">
      <c r="A5" s="110" t="s">
        <v>290</v>
      </c>
      <c r="B5" s="233" t="s">
        <v>154</v>
      </c>
      <c r="C5" s="233" t="s">
        <v>333</v>
      </c>
      <c r="D5" s="233" t="s">
        <v>164</v>
      </c>
      <c r="E5" s="191" t="s">
        <v>355</v>
      </c>
      <c r="F5" s="331" t="s">
        <v>380</v>
      </c>
      <c r="G5" s="233" t="s">
        <v>294</v>
      </c>
      <c r="H5" s="198" t="s">
        <v>381</v>
      </c>
      <c r="I5" s="198" t="s">
        <v>359</v>
      </c>
      <c r="J5" s="233" t="s">
        <v>360</v>
      </c>
      <c r="K5" s="233" t="s">
        <v>336</v>
      </c>
      <c r="L5" s="123">
        <f t="shared" si="13"/>
        <v>75000000</v>
      </c>
      <c r="M5" s="189">
        <v>3.0000000000000001E-3</v>
      </c>
      <c r="N5" s="45">
        <f t="shared" si="0"/>
        <v>225000</v>
      </c>
      <c r="O5" s="193"/>
      <c r="P5" s="45"/>
      <c r="Q5" s="159">
        <f t="shared" si="1"/>
        <v>15</v>
      </c>
      <c r="R5" s="165">
        <f t="shared" si="2"/>
        <v>5</v>
      </c>
      <c r="S5" s="598">
        <v>15</v>
      </c>
      <c r="T5" s="598"/>
      <c r="U5" s="573">
        <f>'Media Plan Phase3'!AU11</f>
        <v>1125000</v>
      </c>
      <c r="V5" s="44">
        <f>U5/$U$9</f>
        <v>0.23565761566861301</v>
      </c>
      <c r="W5" s="44">
        <v>0</v>
      </c>
      <c r="X5" s="123">
        <f>AT5*35%</f>
        <v>22049999.999999996</v>
      </c>
      <c r="Y5" s="45">
        <f>(1-W5)*X5</f>
        <v>22049999.999999996</v>
      </c>
      <c r="Z5" s="111"/>
      <c r="AA5" s="112"/>
      <c r="AB5" s="111"/>
      <c r="AC5" s="111"/>
      <c r="AD5" s="47">
        <f t="shared" si="3"/>
        <v>3.4013605442176877</v>
      </c>
      <c r="AE5" s="202" t="s">
        <v>7</v>
      </c>
      <c r="AF5" s="202" t="str">
        <f t="shared" si="4"/>
        <v>T+1</v>
      </c>
      <c r="AG5" s="374">
        <v>1</v>
      </c>
      <c r="AH5" s="396" t="s">
        <v>382</v>
      </c>
      <c r="AI5" s="133"/>
      <c r="AJ5" s="745">
        <v>300000000</v>
      </c>
      <c r="AK5" s="728">
        <v>4500000</v>
      </c>
      <c r="AL5" s="727">
        <v>300000000</v>
      </c>
      <c r="AM5" s="776">
        <v>0.5</v>
      </c>
      <c r="AN5" s="194">
        <v>0.5</v>
      </c>
      <c r="AO5" s="174">
        <f t="shared" si="15"/>
        <v>2250000</v>
      </c>
      <c r="AP5" s="178">
        <f t="shared" si="5"/>
        <v>15</v>
      </c>
      <c r="AQ5" s="122">
        <v>90000000</v>
      </c>
      <c r="AR5" s="236">
        <f t="shared" si="6"/>
        <v>45000000</v>
      </c>
      <c r="AS5" s="174">
        <f t="shared" si="7"/>
        <v>2250000</v>
      </c>
      <c r="AT5" s="114">
        <f>AQ5*70%</f>
        <v>62999999.999999993</v>
      </c>
      <c r="AU5" s="133"/>
      <c r="AV5" s="133">
        <v>1</v>
      </c>
      <c r="AX5" s="114">
        <f>AU5*L5</f>
        <v>0</v>
      </c>
      <c r="AY5" s="114">
        <f t="shared" si="9"/>
        <v>75000000</v>
      </c>
      <c r="BA5" s="291">
        <f t="shared" si="10"/>
        <v>0</v>
      </c>
      <c r="BB5" s="290">
        <f t="shared" si="11"/>
        <v>225000</v>
      </c>
      <c r="BD5" s="291">
        <f t="shared" si="12"/>
        <v>0</v>
      </c>
      <c r="BE5" s="290"/>
    </row>
    <row r="6" spans="1:60" s="114" customFormat="1">
      <c r="A6" s="110" t="s">
        <v>399</v>
      </c>
      <c r="B6" s="191" t="s">
        <v>154</v>
      </c>
      <c r="C6" s="191" t="s">
        <v>333</v>
      </c>
      <c r="D6" s="191" t="s">
        <v>164</v>
      </c>
      <c r="E6" s="191" t="s">
        <v>355</v>
      </c>
      <c r="F6" s="153" t="s">
        <v>209</v>
      </c>
      <c r="G6" s="191" t="s">
        <v>294</v>
      </c>
      <c r="H6" s="196" t="s">
        <v>378</v>
      </c>
      <c r="I6" s="183" t="s">
        <v>359</v>
      </c>
      <c r="J6" s="191" t="s">
        <v>360</v>
      </c>
      <c r="K6" s="191" t="s">
        <v>336</v>
      </c>
      <c r="L6" s="123">
        <f t="shared" si="13"/>
        <v>17500000</v>
      </c>
      <c r="M6" s="135">
        <v>0.03</v>
      </c>
      <c r="N6" s="45">
        <f t="shared" si="0"/>
        <v>525000</v>
      </c>
      <c r="O6" s="45"/>
      <c r="P6" s="45"/>
      <c r="Q6" s="159">
        <v>78.571428571428569</v>
      </c>
      <c r="R6" s="165">
        <f t="shared" si="2"/>
        <v>1.2380952380952381</v>
      </c>
      <c r="S6" s="598">
        <v>37.142857142857146</v>
      </c>
      <c r="T6" s="598"/>
      <c r="U6" s="573">
        <f>'Media Plan Phase3'!AU17</f>
        <v>650000</v>
      </c>
      <c r="V6" s="44">
        <f>U6/$U$9</f>
        <v>0.13615773349742086</v>
      </c>
      <c r="W6" s="44">
        <v>0.7</v>
      </c>
      <c r="X6" s="123">
        <f>AT6*50%</f>
        <v>2000000</v>
      </c>
      <c r="Y6" s="45">
        <f t="shared" si="14"/>
        <v>600000.00000000012</v>
      </c>
      <c r="Z6" s="111"/>
      <c r="AA6" s="112"/>
      <c r="AB6" s="111"/>
      <c r="AC6" s="111"/>
      <c r="AD6" s="47">
        <f t="shared" si="3"/>
        <v>8.75</v>
      </c>
      <c r="AE6" s="202" t="s">
        <v>361</v>
      </c>
      <c r="AF6" s="202" t="str">
        <f t="shared" si="4"/>
        <v>T</v>
      </c>
      <c r="AG6" s="374">
        <v>1</v>
      </c>
      <c r="AH6" s="396" t="s">
        <v>379</v>
      </c>
      <c r="AI6" s="133"/>
      <c r="AJ6" s="742">
        <v>35000000</v>
      </c>
      <c r="AK6" s="174">
        <v>1300000</v>
      </c>
      <c r="AL6" s="134"/>
      <c r="AM6" s="194">
        <v>1</v>
      </c>
      <c r="AN6" s="194">
        <v>0</v>
      </c>
      <c r="AO6" s="174">
        <f t="shared" si="15"/>
        <v>1300000</v>
      </c>
      <c r="AP6" s="178">
        <f t="shared" si="5"/>
        <v>37.142857142857146</v>
      </c>
      <c r="AQ6" s="123">
        <v>4000000</v>
      </c>
      <c r="AR6" s="229">
        <f t="shared" si="6"/>
        <v>4000000</v>
      </c>
      <c r="AS6" s="174">
        <f t="shared" si="7"/>
        <v>0</v>
      </c>
      <c r="AT6" s="114">
        <f>AQ6*100%</f>
        <v>4000000</v>
      </c>
      <c r="AU6" s="133">
        <v>1</v>
      </c>
      <c r="AV6" s="133"/>
      <c r="AX6" s="114">
        <f t="shared" si="8"/>
        <v>17500000</v>
      </c>
      <c r="AY6" s="114">
        <f t="shared" si="9"/>
        <v>0</v>
      </c>
      <c r="BA6" s="291">
        <f t="shared" si="10"/>
        <v>525000</v>
      </c>
      <c r="BB6" s="290">
        <f t="shared" si="11"/>
        <v>0</v>
      </c>
      <c r="BD6" s="291">
        <f t="shared" si="12"/>
        <v>0</v>
      </c>
      <c r="BE6" s="290"/>
    </row>
    <row r="7" spans="1:60" s="114" customFormat="1">
      <c r="A7" s="211" t="s">
        <v>303</v>
      </c>
      <c r="B7" s="211"/>
      <c r="C7" s="211"/>
      <c r="D7" s="211"/>
      <c r="E7" s="211"/>
      <c r="F7" s="211"/>
      <c r="G7" s="211"/>
      <c r="H7" s="211"/>
      <c r="I7" s="211"/>
      <c r="J7" s="211"/>
      <c r="K7" s="212"/>
      <c r="L7" s="213"/>
      <c r="M7" s="214"/>
      <c r="N7" s="210"/>
      <c r="O7" s="210"/>
      <c r="P7" s="210"/>
      <c r="Q7" s="215"/>
      <c r="R7" s="215"/>
      <c r="S7" s="105"/>
      <c r="T7" s="105"/>
      <c r="U7" s="572"/>
      <c r="V7" s="154"/>
      <c r="W7" s="108"/>
      <c r="X7" s="210"/>
      <c r="Y7" s="210"/>
      <c r="Z7" s="210"/>
      <c r="AA7" s="105"/>
      <c r="AB7" s="105"/>
      <c r="AC7" s="105"/>
      <c r="AD7" s="105"/>
      <c r="AE7" s="105"/>
      <c r="AF7" s="105"/>
      <c r="AG7" s="105"/>
      <c r="AH7" s="788"/>
      <c r="AJ7" s="789"/>
      <c r="AK7" s="639"/>
      <c r="AL7" s="790"/>
      <c r="AM7" s="531"/>
      <c r="AN7" s="531"/>
      <c r="AO7" s="639"/>
      <c r="AP7" s="791"/>
      <c r="AQ7" s="642"/>
      <c r="AR7" s="229"/>
      <c r="AS7" s="639"/>
      <c r="BA7" s="291"/>
      <c r="BB7" s="290"/>
      <c r="BD7" s="291"/>
      <c r="BE7" s="290"/>
    </row>
    <row r="8" spans="1:60" s="114" customFormat="1">
      <c r="A8" s="413" t="s">
        <v>432</v>
      </c>
      <c r="B8" s="414" t="s">
        <v>154</v>
      </c>
      <c r="C8" s="414" t="s">
        <v>336</v>
      </c>
      <c r="D8" s="414" t="s">
        <v>164</v>
      </c>
      <c r="E8" s="414" t="s">
        <v>390</v>
      </c>
      <c r="F8" s="505" t="s">
        <v>174</v>
      </c>
      <c r="G8" s="415" t="s">
        <v>70</v>
      </c>
      <c r="H8" s="416" t="s">
        <v>304</v>
      </c>
      <c r="I8" s="506" t="s">
        <v>166</v>
      </c>
      <c r="J8" s="417" t="s">
        <v>118</v>
      </c>
      <c r="K8" s="486" t="s">
        <v>305</v>
      </c>
      <c r="L8" s="185">
        <f>X8*AD8</f>
        <v>10791000</v>
      </c>
      <c r="M8" s="420">
        <v>0.03</v>
      </c>
      <c r="N8" s="419">
        <f>M8*L8</f>
        <v>323730</v>
      </c>
      <c r="O8" s="423">
        <v>0</v>
      </c>
      <c r="P8" s="419">
        <f t="shared" ref="P8" si="17">L8*O8</f>
        <v>0</v>
      </c>
      <c r="Q8" s="487">
        <f t="shared" ref="Q8" si="18">U8/(L8/1000)</f>
        <v>125</v>
      </c>
      <c r="R8" s="488">
        <f t="shared" ref="R8" si="19">U8/N8</f>
        <v>4.166666666666667</v>
      </c>
      <c r="S8" s="499">
        <v>105</v>
      </c>
      <c r="T8" s="729">
        <v>20</v>
      </c>
      <c r="U8" s="570">
        <f>L8/1000*(S8+T8)</f>
        <v>1348875</v>
      </c>
      <c r="V8" s="504" t="e">
        <f t="shared" ref="V8" si="20">U8/$U$47</f>
        <v>#DIV/0!</v>
      </c>
      <c r="W8" s="44">
        <v>0.7</v>
      </c>
      <c r="X8" s="185">
        <f>Z8*AA8</f>
        <v>7194000</v>
      </c>
      <c r="Y8" s="185">
        <f t="shared" ref="Y8" si="21">(1-W8)*X8</f>
        <v>2158200.0000000005</v>
      </c>
      <c r="Z8" s="43">
        <v>16500000</v>
      </c>
      <c r="AA8" s="423">
        <v>0.436</v>
      </c>
      <c r="AB8" s="489"/>
      <c r="AC8" s="420"/>
      <c r="AD8" s="424">
        <v>1.5</v>
      </c>
      <c r="AE8" s="202" t="s">
        <v>361</v>
      </c>
      <c r="AF8" s="202" t="s">
        <v>7</v>
      </c>
      <c r="AG8" s="428">
        <v>2</v>
      </c>
      <c r="AH8" s="788"/>
      <c r="AJ8" s="789"/>
      <c r="AK8" s="639"/>
      <c r="AL8" s="790"/>
      <c r="AM8" s="531"/>
      <c r="AN8" s="531"/>
      <c r="AO8" s="639"/>
      <c r="AP8" s="791"/>
      <c r="AQ8" s="642"/>
      <c r="AR8" s="229"/>
      <c r="AS8" s="639"/>
      <c r="BA8" s="291"/>
      <c r="BB8" s="290"/>
      <c r="BD8" s="291"/>
      <c r="BE8" s="290"/>
    </row>
    <row r="9" spans="1:60">
      <c r="A9" s="170" t="s">
        <v>84</v>
      </c>
      <c r="B9" s="170"/>
      <c r="C9" s="170"/>
      <c r="D9" s="170"/>
      <c r="E9" s="170"/>
      <c r="F9" s="170"/>
      <c r="G9" s="170"/>
      <c r="H9" s="170"/>
      <c r="I9" s="52"/>
      <c r="J9" s="52"/>
      <c r="K9" s="171"/>
      <c r="L9" s="53">
        <f>SUM(L3:L8)</f>
        <v>139541000</v>
      </c>
      <c r="M9" s="54">
        <f>N9/L9</f>
        <v>8.4740685533284121E-3</v>
      </c>
      <c r="N9" s="53">
        <f>SUM(N3:N8)</f>
        <v>1182480</v>
      </c>
      <c r="O9" s="53"/>
      <c r="P9" s="53">
        <f>SUM(P3:P6)</f>
        <v>0</v>
      </c>
      <c r="Q9" s="55">
        <f>U9/(L9/1000)</f>
        <v>34.211271239277345</v>
      </c>
      <c r="R9" s="56">
        <f>U9/N9</f>
        <v>4.0371718760571005</v>
      </c>
      <c r="S9" s="128"/>
      <c r="T9" s="730"/>
      <c r="U9" s="601">
        <f>SUM(U3:U8)</f>
        <v>4773875</v>
      </c>
      <c r="V9" s="57"/>
      <c r="W9" s="60"/>
      <c r="X9" s="58"/>
      <c r="Y9" s="53">
        <f>SUM(Y3:Y8)</f>
        <v>27590699.999999996</v>
      </c>
      <c r="Z9" s="58"/>
      <c r="AA9" s="60"/>
      <c r="AB9" s="59"/>
      <c r="AC9" s="60"/>
      <c r="AD9" s="634">
        <f>L9/Y9</f>
        <v>5.0575375035791055</v>
      </c>
      <c r="AE9" s="61"/>
      <c r="AF9" s="61"/>
      <c r="AG9" s="62"/>
      <c r="AH9" s="329"/>
      <c r="AX9" s="336">
        <f>SUM(AX3:AX6)</f>
        <v>53750000</v>
      </c>
      <c r="AY9" s="336">
        <f>SUM(AY3:AY6)</f>
        <v>75000000</v>
      </c>
      <c r="AZ9" s="335">
        <f>SUM(AX9:AY9)</f>
        <v>128750000</v>
      </c>
      <c r="BA9" s="335">
        <f>SUM(BA3:BA6)</f>
        <v>633750</v>
      </c>
      <c r="BB9" s="335">
        <f>SUM(BB3:BB6)</f>
        <v>225000</v>
      </c>
      <c r="BC9" s="335"/>
      <c r="BD9" s="335">
        <f>SUM(BD3:BD6)</f>
        <v>0</v>
      </c>
      <c r="BE9" s="335">
        <f>SUM(BE3:BE6)</f>
        <v>0</v>
      </c>
    </row>
    <row r="10" spans="1:60" ht="28.8">
      <c r="L10" s="63"/>
      <c r="M10" s="67"/>
      <c r="N10" s="63"/>
      <c r="P10" s="64"/>
      <c r="Q10" s="65"/>
      <c r="T10" s="794" t="s">
        <v>473</v>
      </c>
      <c r="U10" s="9">
        <f>(SUM(L3:L6)*1.5/1000)+(L8*2.78/1000)</f>
        <v>223123.97999999998</v>
      </c>
      <c r="X10" s="8"/>
      <c r="Y10" s="799"/>
      <c r="Z10" s="66"/>
      <c r="AA10" s="67"/>
      <c r="AD10" s="32"/>
      <c r="AZ10" s="5"/>
      <c r="BA10" s="291"/>
      <c r="BB10" s="114"/>
      <c r="BD10" s="291"/>
      <c r="BE10" s="114"/>
    </row>
    <row r="11" spans="1:60" ht="15.6">
      <c r="A11" s="323" t="s">
        <v>447</v>
      </c>
      <c r="T11" s="793" t="s">
        <v>193</v>
      </c>
      <c r="U11" s="800">
        <f>U10+U9</f>
        <v>4996998.9800000004</v>
      </c>
      <c r="V11" s="5"/>
      <c r="X11" s="68"/>
      <c r="BA11" s="291"/>
      <c r="BB11" s="114"/>
      <c r="BD11" s="291"/>
      <c r="BE11" s="114"/>
    </row>
    <row r="12" spans="1:60">
      <c r="A12" s="322"/>
      <c r="L12" s="67"/>
      <c r="M12" s="792"/>
      <c r="X12" s="364"/>
      <c r="AL12" s="364"/>
    </row>
    <row r="14" spans="1:60">
      <c r="G14" s="293"/>
    </row>
    <row r="15" spans="1:60">
      <c r="C15" s="364"/>
      <c r="G15" s="293"/>
    </row>
    <row r="16" spans="1:60">
      <c r="C16" s="364"/>
    </row>
    <row r="17" spans="3:3">
      <c r="C17" s="565"/>
    </row>
  </sheetData>
  <mergeCells count="3">
    <mergeCell ref="AX1:AY1"/>
    <mergeCell ref="BA1:BB1"/>
    <mergeCell ref="BD1:BE1"/>
  </mergeCells>
  <conditionalFormatting sqref="R3:R6">
    <cfRule type="colorScale" priority="882">
      <colorScale>
        <cfvo type="min"/>
        <cfvo type="percentile" val="50"/>
        <cfvo type="max"/>
        <color rgb="FF63BE7B"/>
        <color rgb="FFFFEB84"/>
        <color rgb="FFF8696B"/>
      </colorScale>
    </cfRule>
  </conditionalFormatting>
  <conditionalFormatting sqref="V3:V6">
    <cfRule type="colorScale" priority="884">
      <colorScale>
        <cfvo type="min"/>
        <cfvo type="percentile" val="50"/>
        <cfvo type="max"/>
        <color rgb="FFF8696B"/>
        <color rgb="FFFFEB84"/>
        <color rgb="FF63BE7B"/>
      </colorScale>
    </cfRule>
    <cfRule type="colorScale" priority="885">
      <colorScale>
        <cfvo type="min"/>
        <cfvo type="percentile" val="50"/>
        <cfvo type="max"/>
        <color rgb="FF63BE7B"/>
        <color rgb="FFFFEB84"/>
        <color rgb="FFF8696B"/>
      </colorScale>
    </cfRule>
  </conditionalFormatting>
  <conditionalFormatting sqref="V8">
    <cfRule type="colorScale" priority="2">
      <colorScale>
        <cfvo type="min"/>
        <cfvo type="percentile" val="50"/>
        <cfvo type="max"/>
        <color rgb="FFF8696B"/>
        <color rgb="FFFFEB84"/>
        <color rgb="FF63BE7B"/>
      </colorScale>
    </cfRule>
    <cfRule type="colorScale" priority="3">
      <colorScale>
        <cfvo type="min"/>
        <cfvo type="percentile" val="50"/>
        <cfvo type="max"/>
        <color rgb="FF63BE7B"/>
        <color rgb="FFFFEB84"/>
        <color rgb="FFF8696B"/>
      </colorScale>
    </cfRule>
  </conditionalFormatting>
  <conditionalFormatting sqref="AA2">
    <cfRule type="cellIs" dxfId="2" priority="29" operator="greaterThan">
      <formula>1</formula>
    </cfRule>
  </conditionalFormatting>
  <conditionalFormatting sqref="AA8">
    <cfRule type="cellIs" dxfId="1" priority="1" operator="greaterThan">
      <formula>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84A0-7C12-46CD-9F2B-093B125298C4}">
  <dimension ref="A1:N76"/>
  <sheetViews>
    <sheetView showGridLines="0" workbookViewId="0">
      <selection activeCell="F15" sqref="F15"/>
    </sheetView>
  </sheetViews>
  <sheetFormatPr defaultRowHeight="14.4"/>
  <cols>
    <col min="3" max="3" width="17.44140625" customWidth="1"/>
    <col min="12" max="12" width="28" customWidth="1"/>
  </cols>
  <sheetData>
    <row r="1" spans="1:14" s="146" customFormat="1">
      <c r="C1" s="146" t="s">
        <v>474</v>
      </c>
      <c r="H1" s="146" t="s">
        <v>475</v>
      </c>
      <c r="L1" s="146" t="s">
        <v>475</v>
      </c>
    </row>
    <row r="2" spans="1:14">
      <c r="H2" t="s">
        <v>476</v>
      </c>
      <c r="L2" t="s">
        <v>477</v>
      </c>
    </row>
    <row r="3" spans="1:14">
      <c r="A3" s="89" t="s">
        <v>2</v>
      </c>
      <c r="B3" s="89" t="s">
        <v>478</v>
      </c>
      <c r="C3" s="89" t="s">
        <v>92</v>
      </c>
      <c r="D3" s="94" t="s">
        <v>103</v>
      </c>
      <c r="E3" s="95" t="s">
        <v>104</v>
      </c>
      <c r="H3" s="537" t="s">
        <v>92</v>
      </c>
      <c r="I3" s="539" t="s">
        <v>479</v>
      </c>
      <c r="J3" s="539" t="s">
        <v>480</v>
      </c>
      <c r="L3" s="542" t="s">
        <v>92</v>
      </c>
      <c r="M3" s="545" t="s">
        <v>479</v>
      </c>
      <c r="N3" s="545" t="s">
        <v>480</v>
      </c>
    </row>
    <row r="4" spans="1:14">
      <c r="A4" t="s">
        <v>481</v>
      </c>
      <c r="B4" t="s">
        <v>482</v>
      </c>
      <c r="C4" s="172" t="s">
        <v>363</v>
      </c>
      <c r="D4" s="159">
        <v>25.115151515151517</v>
      </c>
      <c r="E4" s="165">
        <v>8.3717171717171723</v>
      </c>
      <c r="H4" s="538" t="s">
        <v>377</v>
      </c>
      <c r="I4" s="540">
        <v>14.076923076923077</v>
      </c>
      <c r="J4" s="541">
        <v>0.7038461538461539</v>
      </c>
      <c r="L4" s="183" t="s">
        <v>377</v>
      </c>
      <c r="M4" s="546">
        <v>14.076923076923077</v>
      </c>
      <c r="N4" s="546">
        <v>0.7038461538461539</v>
      </c>
    </row>
    <row r="5" spans="1:14">
      <c r="A5" t="s">
        <v>481</v>
      </c>
      <c r="B5" t="s">
        <v>482</v>
      </c>
      <c r="C5" s="172" t="s">
        <v>356</v>
      </c>
      <c r="D5" s="159">
        <v>64.424778761061958</v>
      </c>
      <c r="E5" s="165">
        <v>21.474926253687322</v>
      </c>
      <c r="H5" s="538" t="s">
        <v>377</v>
      </c>
      <c r="I5" s="540">
        <v>14.076923076923077</v>
      </c>
      <c r="J5" s="541">
        <v>0.7038461538461539</v>
      </c>
      <c r="L5" s="183" t="s">
        <v>377</v>
      </c>
      <c r="M5" s="546">
        <v>14.076923076923077</v>
      </c>
      <c r="N5" s="546">
        <v>0.7038461538461539</v>
      </c>
    </row>
    <row r="6" spans="1:14">
      <c r="A6" t="s">
        <v>481</v>
      </c>
      <c r="B6" t="s">
        <v>482</v>
      </c>
      <c r="C6" s="198" t="s">
        <v>483</v>
      </c>
      <c r="D6" s="159">
        <v>66.181818181818187</v>
      </c>
      <c r="E6" s="165">
        <v>26.472727272727276</v>
      </c>
      <c r="H6" s="538" t="s">
        <v>484</v>
      </c>
      <c r="I6" s="540">
        <v>71.428571428571431</v>
      </c>
      <c r="J6" s="541">
        <v>2.0408163265306118</v>
      </c>
      <c r="L6" s="183" t="s">
        <v>209</v>
      </c>
      <c r="M6" s="546">
        <v>80</v>
      </c>
      <c r="N6" s="547">
        <v>1.1428571428571428</v>
      </c>
    </row>
    <row r="7" spans="1:14">
      <c r="A7" t="s">
        <v>481</v>
      </c>
      <c r="B7" t="s">
        <v>482</v>
      </c>
      <c r="C7" s="558" t="s">
        <v>368</v>
      </c>
      <c r="D7" s="159">
        <v>280</v>
      </c>
      <c r="E7" s="165">
        <v>35</v>
      </c>
      <c r="H7" s="538" t="s">
        <v>485</v>
      </c>
      <c r="I7" s="540">
        <v>31.428571428571431</v>
      </c>
      <c r="J7" s="541">
        <v>10.476190476190476</v>
      </c>
      <c r="L7" s="183" t="s">
        <v>209</v>
      </c>
      <c r="M7" s="546">
        <v>80</v>
      </c>
      <c r="N7" s="547">
        <v>1.1428571428571428</v>
      </c>
    </row>
    <row r="8" spans="1:14">
      <c r="A8" t="s">
        <v>481</v>
      </c>
      <c r="B8" t="s">
        <v>482</v>
      </c>
      <c r="C8" s="555" t="s">
        <v>486</v>
      </c>
      <c r="D8" s="421">
        <v>65</v>
      </c>
      <c r="E8" s="422">
        <v>21.666666666666668</v>
      </c>
      <c r="H8" s="538" t="s">
        <v>211</v>
      </c>
      <c r="I8" s="540">
        <v>35</v>
      </c>
      <c r="J8" s="541">
        <v>17.5</v>
      </c>
      <c r="L8" s="538" t="s">
        <v>209</v>
      </c>
      <c r="M8" s="540">
        <v>80</v>
      </c>
      <c r="N8" s="541">
        <v>1.1428571428571428</v>
      </c>
    </row>
    <row r="9" spans="1:14">
      <c r="A9" t="s">
        <v>481</v>
      </c>
      <c r="B9" t="s">
        <v>482</v>
      </c>
      <c r="C9" s="173" t="s">
        <v>377</v>
      </c>
      <c r="D9" s="520">
        <v>27.777777777777779</v>
      </c>
      <c r="E9" s="724">
        <v>0.39682539682539675</v>
      </c>
      <c r="H9" s="538" t="s">
        <v>408</v>
      </c>
      <c r="I9" s="540">
        <v>16</v>
      </c>
      <c r="J9" s="541">
        <v>8.8888888888888893</v>
      </c>
      <c r="L9" s="183" t="s">
        <v>208</v>
      </c>
      <c r="M9" s="546">
        <v>88</v>
      </c>
      <c r="N9" s="547">
        <v>1.76</v>
      </c>
    </row>
    <row r="10" spans="1:14">
      <c r="A10" t="s">
        <v>481</v>
      </c>
      <c r="B10" t="s">
        <v>482</v>
      </c>
      <c r="C10" s="173" t="s">
        <v>487</v>
      </c>
      <c r="D10" s="159">
        <v>57.723076923076924</v>
      </c>
      <c r="E10" s="165">
        <v>19.24102564102564</v>
      </c>
      <c r="H10" s="538" t="s">
        <v>408</v>
      </c>
      <c r="I10" s="540">
        <v>16</v>
      </c>
      <c r="J10" s="541">
        <v>8.8888888888888893</v>
      </c>
      <c r="L10" s="183" t="s">
        <v>208</v>
      </c>
      <c r="M10" s="546">
        <v>88</v>
      </c>
      <c r="N10" s="547">
        <v>1.76</v>
      </c>
    </row>
    <row r="11" spans="1:14">
      <c r="A11" t="s">
        <v>481</v>
      </c>
      <c r="B11" t="s">
        <v>482</v>
      </c>
      <c r="C11" s="331" t="s">
        <v>374</v>
      </c>
      <c r="D11" s="421">
        <v>31.428571428571427</v>
      </c>
      <c r="E11" s="422">
        <v>10.476190476190476</v>
      </c>
      <c r="H11" s="538" t="s">
        <v>488</v>
      </c>
      <c r="I11" s="540">
        <v>33</v>
      </c>
      <c r="J11" s="541">
        <v>11</v>
      </c>
      <c r="L11" s="183" t="s">
        <v>208</v>
      </c>
      <c r="M11" s="546">
        <v>88</v>
      </c>
      <c r="N11" s="547">
        <v>1.76</v>
      </c>
    </row>
    <row r="12" spans="1:14">
      <c r="A12" t="s">
        <v>481</v>
      </c>
      <c r="B12" t="s">
        <v>482</v>
      </c>
      <c r="C12" s="172" t="s">
        <v>387</v>
      </c>
      <c r="D12" s="520">
        <v>50</v>
      </c>
      <c r="E12" s="521">
        <v>16.666666666666668</v>
      </c>
      <c r="H12" s="561"/>
      <c r="I12" s="561"/>
      <c r="J12" s="561"/>
      <c r="L12" s="183" t="s">
        <v>484</v>
      </c>
      <c r="M12" s="546">
        <v>71.428571428571431</v>
      </c>
      <c r="N12" s="547">
        <v>2.0408163265306118</v>
      </c>
    </row>
    <row r="13" spans="1:14">
      <c r="A13" t="s">
        <v>475</v>
      </c>
      <c r="B13" t="s">
        <v>489</v>
      </c>
      <c r="C13" s="556" t="s">
        <v>207</v>
      </c>
      <c r="D13" s="546">
        <v>24.242424242424242</v>
      </c>
      <c r="E13" s="560">
        <v>8.0808080808080813</v>
      </c>
      <c r="H13" s="561"/>
      <c r="I13" s="561"/>
      <c r="J13" s="561"/>
      <c r="L13" s="6"/>
      <c r="M13" s="551">
        <v>33.570356326128994</v>
      </c>
      <c r="N13" s="552">
        <v>3.9413707306978725</v>
      </c>
    </row>
    <row r="14" spans="1:14">
      <c r="A14" t="s">
        <v>481</v>
      </c>
      <c r="B14" t="s">
        <v>482</v>
      </c>
      <c r="C14" s="228" t="s">
        <v>363</v>
      </c>
      <c r="D14" s="159">
        <v>100</v>
      </c>
      <c r="E14" s="165">
        <v>25</v>
      </c>
      <c r="H14" s="538" t="s">
        <v>209</v>
      </c>
      <c r="I14" s="540">
        <v>80</v>
      </c>
      <c r="J14" s="541">
        <v>1.1428571428571428</v>
      </c>
      <c r="L14" s="183" t="s">
        <v>180</v>
      </c>
      <c r="M14" s="546">
        <v>47.999999846400002</v>
      </c>
      <c r="N14" s="546">
        <v>3.9999999872000003</v>
      </c>
    </row>
    <row r="15" spans="1:14">
      <c r="A15" t="s">
        <v>475</v>
      </c>
      <c r="B15" t="s">
        <v>489</v>
      </c>
      <c r="C15" s="183" t="s">
        <v>207</v>
      </c>
      <c r="D15" s="546">
        <v>25</v>
      </c>
      <c r="E15" s="560">
        <v>8.3333333333333339</v>
      </c>
      <c r="L15" s="6"/>
      <c r="M15" s="553">
        <v>41.142841139792658</v>
      </c>
      <c r="N15" s="554">
        <v>4.2003066402437135</v>
      </c>
    </row>
    <row r="16" spans="1:14">
      <c r="A16" t="s">
        <v>481</v>
      </c>
      <c r="B16" t="s">
        <v>482</v>
      </c>
      <c r="C16" s="172" t="s">
        <v>380</v>
      </c>
      <c r="D16" s="159">
        <v>20</v>
      </c>
      <c r="E16" s="165">
        <v>6.666666666666667</v>
      </c>
      <c r="L16" s="538" t="s">
        <v>178</v>
      </c>
      <c r="M16" s="540">
        <v>22</v>
      </c>
      <c r="N16" s="541">
        <v>4.4000000000000004</v>
      </c>
    </row>
    <row r="17" spans="1:14">
      <c r="A17" t="s">
        <v>481</v>
      </c>
      <c r="B17" t="s">
        <v>482</v>
      </c>
      <c r="C17" s="172" t="s">
        <v>490</v>
      </c>
      <c r="D17" s="159">
        <v>78.40000000000002</v>
      </c>
      <c r="E17" s="165">
        <v>5.2266666666666675</v>
      </c>
      <c r="L17" s="183" t="s">
        <v>491</v>
      </c>
      <c r="M17" s="546">
        <v>48.888888888888893</v>
      </c>
      <c r="N17" s="547">
        <v>4.8888888888888893</v>
      </c>
    </row>
    <row r="18" spans="1:14">
      <c r="A18" t="s">
        <v>481</v>
      </c>
      <c r="B18" t="s">
        <v>482</v>
      </c>
      <c r="C18" s="172" t="s">
        <v>391</v>
      </c>
      <c r="D18" s="159">
        <v>141.93548387096774</v>
      </c>
      <c r="E18" s="165">
        <v>28.387096774193548</v>
      </c>
      <c r="L18" s="183" t="s">
        <v>380</v>
      </c>
      <c r="M18" s="546">
        <v>16</v>
      </c>
      <c r="N18" s="547">
        <v>5.333333333333333</v>
      </c>
    </row>
    <row r="19" spans="1:14">
      <c r="A19" t="s">
        <v>481</v>
      </c>
      <c r="B19" t="s">
        <v>482</v>
      </c>
      <c r="C19" s="173" t="s">
        <v>492</v>
      </c>
      <c r="D19" s="159">
        <v>80</v>
      </c>
      <c r="E19" s="165">
        <v>26.666666666666668</v>
      </c>
      <c r="L19" s="183" t="s">
        <v>207</v>
      </c>
      <c r="M19" s="546">
        <v>24.242424242424242</v>
      </c>
      <c r="N19" s="547">
        <v>8.0808080808080813</v>
      </c>
    </row>
    <row r="20" spans="1:14">
      <c r="A20" t="s">
        <v>481</v>
      </c>
      <c r="B20" t="s">
        <v>482</v>
      </c>
      <c r="C20" s="172" t="s">
        <v>400</v>
      </c>
      <c r="D20" s="159">
        <v>45.509999999999991</v>
      </c>
      <c r="E20" s="165">
        <v>13.00285714285714</v>
      </c>
      <c r="L20" s="186" t="s">
        <v>493</v>
      </c>
      <c r="M20" s="548">
        <v>33.325417092333261</v>
      </c>
      <c r="N20" s="548">
        <v>8.3313542730833152</v>
      </c>
    </row>
    <row r="21" spans="1:14">
      <c r="A21" t="s">
        <v>481</v>
      </c>
      <c r="B21" t="s">
        <v>482</v>
      </c>
      <c r="C21" s="172" t="s">
        <v>394</v>
      </c>
      <c r="D21" s="159">
        <v>54</v>
      </c>
      <c r="E21" s="165">
        <v>15.428571428571429</v>
      </c>
      <c r="L21" s="183" t="s">
        <v>207</v>
      </c>
      <c r="M21" s="546">
        <v>25</v>
      </c>
      <c r="N21" s="547">
        <v>8.3333333333333339</v>
      </c>
    </row>
    <row r="22" spans="1:14">
      <c r="A22" t="s">
        <v>475</v>
      </c>
      <c r="B22" t="s">
        <v>494</v>
      </c>
      <c r="C22" s="183" t="s">
        <v>377</v>
      </c>
      <c r="D22" s="546">
        <v>14.076923076923077</v>
      </c>
      <c r="E22" s="560">
        <v>0.7038461538461539</v>
      </c>
      <c r="L22" s="186" t="s">
        <v>495</v>
      </c>
      <c r="M22" s="548">
        <v>45.512820512820511</v>
      </c>
      <c r="N22" s="548">
        <v>9.1025641025641022</v>
      </c>
    </row>
    <row r="23" spans="1:14">
      <c r="A23" t="s">
        <v>481</v>
      </c>
      <c r="B23" t="s">
        <v>482</v>
      </c>
      <c r="C23" s="172" t="s">
        <v>384</v>
      </c>
      <c r="D23" s="159">
        <v>51.022222222222219</v>
      </c>
      <c r="E23" s="165">
        <v>5.1022222222222222</v>
      </c>
      <c r="L23" s="183" t="s">
        <v>207</v>
      </c>
      <c r="M23" s="546">
        <v>28.8</v>
      </c>
      <c r="N23" s="547">
        <v>9.6</v>
      </c>
    </row>
    <row r="24" spans="1:14">
      <c r="A24" t="s">
        <v>481</v>
      </c>
      <c r="B24" t="s">
        <v>482</v>
      </c>
      <c r="C24" s="172" t="s">
        <v>74</v>
      </c>
      <c r="D24" s="159">
        <v>19</v>
      </c>
      <c r="E24" s="165">
        <v>6.333333333333333</v>
      </c>
      <c r="H24" s="293" t="s">
        <v>403</v>
      </c>
      <c r="I24" s="562">
        <v>34.523809523809526</v>
      </c>
      <c r="J24" s="563">
        <v>1.7261904761904763</v>
      </c>
      <c r="L24" s="183" t="s">
        <v>178</v>
      </c>
      <c r="M24" s="546">
        <v>50</v>
      </c>
      <c r="N24" s="546">
        <v>10</v>
      </c>
    </row>
    <row r="25" spans="1:14">
      <c r="A25" t="s">
        <v>475</v>
      </c>
      <c r="B25" t="s">
        <v>494</v>
      </c>
      <c r="C25" s="183" t="s">
        <v>208</v>
      </c>
      <c r="D25" s="546">
        <v>88</v>
      </c>
      <c r="E25" s="560">
        <v>1.76</v>
      </c>
      <c r="L25" s="183" t="s">
        <v>490</v>
      </c>
      <c r="M25" s="546">
        <v>75</v>
      </c>
      <c r="N25" s="546">
        <v>10</v>
      </c>
    </row>
    <row r="26" spans="1:14">
      <c r="A26" t="s">
        <v>475</v>
      </c>
      <c r="B26" t="s">
        <v>494</v>
      </c>
      <c r="C26" s="183" t="s">
        <v>377</v>
      </c>
      <c r="D26" s="546">
        <v>14.076923076923077</v>
      </c>
      <c r="E26" s="560">
        <v>0.7038461538461539</v>
      </c>
      <c r="L26" s="186" t="s">
        <v>496</v>
      </c>
      <c r="M26" s="546">
        <v>49.315068493150683</v>
      </c>
      <c r="N26" s="546">
        <v>16.438356164383563</v>
      </c>
    </row>
    <row r="27" spans="1:14">
      <c r="A27" t="s">
        <v>481</v>
      </c>
      <c r="B27" t="s">
        <v>482</v>
      </c>
      <c r="C27" s="172" t="s">
        <v>76</v>
      </c>
      <c r="D27" s="159">
        <v>45.714285714285715</v>
      </c>
      <c r="E27" s="165">
        <v>11.428571428571429</v>
      </c>
      <c r="H27" s="293" t="s">
        <v>208</v>
      </c>
      <c r="I27" s="562">
        <v>88</v>
      </c>
      <c r="J27" s="563">
        <v>1.76</v>
      </c>
      <c r="L27" s="183" t="s">
        <v>211</v>
      </c>
      <c r="M27" s="546">
        <v>35</v>
      </c>
      <c r="N27" s="547">
        <v>17.5</v>
      </c>
    </row>
    <row r="28" spans="1:14">
      <c r="A28" t="s">
        <v>481</v>
      </c>
      <c r="B28" t="s">
        <v>482</v>
      </c>
      <c r="C28" s="172" t="s">
        <v>497</v>
      </c>
      <c r="D28" s="159">
        <v>143.75</v>
      </c>
      <c r="E28" s="165">
        <v>57.5</v>
      </c>
      <c r="L28" s="183" t="s">
        <v>211</v>
      </c>
      <c r="M28" s="546">
        <v>35</v>
      </c>
      <c r="N28" s="547">
        <v>17.5</v>
      </c>
    </row>
    <row r="29" spans="1:14">
      <c r="A29" t="s">
        <v>475</v>
      </c>
      <c r="B29" t="s">
        <v>494</v>
      </c>
      <c r="C29" s="183" t="s">
        <v>485</v>
      </c>
      <c r="D29" s="546">
        <v>31.428571428571431</v>
      </c>
      <c r="E29" s="560">
        <v>10.476190476190476</v>
      </c>
      <c r="L29" s="183" t="s">
        <v>498</v>
      </c>
      <c r="M29" s="546">
        <v>55</v>
      </c>
      <c r="N29" s="546">
        <v>18.333333333333332</v>
      </c>
    </row>
    <row r="30" spans="1:14">
      <c r="A30" t="s">
        <v>475</v>
      </c>
      <c r="B30" t="s">
        <v>494</v>
      </c>
      <c r="C30" s="538" t="s">
        <v>211</v>
      </c>
      <c r="D30" s="540">
        <v>35</v>
      </c>
      <c r="E30" s="541">
        <v>17.5</v>
      </c>
      <c r="L30" s="183" t="s">
        <v>486</v>
      </c>
      <c r="M30" s="546">
        <v>59.649122807017541</v>
      </c>
      <c r="N30" s="546">
        <v>19.883040935672515</v>
      </c>
    </row>
    <row r="31" spans="1:14">
      <c r="A31" t="s">
        <v>481</v>
      </c>
      <c r="B31" t="s">
        <v>482</v>
      </c>
      <c r="C31" s="557" t="s">
        <v>484</v>
      </c>
      <c r="D31" s="559">
        <v>103.60000000000001</v>
      </c>
      <c r="E31" s="559">
        <v>3.2888888888888892</v>
      </c>
      <c r="L31" s="186" t="s">
        <v>499</v>
      </c>
      <c r="M31" s="548">
        <v>40</v>
      </c>
      <c r="N31" s="548">
        <v>20</v>
      </c>
    </row>
    <row r="32" spans="1:14">
      <c r="A32" t="s">
        <v>481</v>
      </c>
      <c r="B32" t="s">
        <v>482</v>
      </c>
      <c r="C32" s="557" t="s">
        <v>403</v>
      </c>
      <c r="D32" s="559">
        <v>30.90909090909091</v>
      </c>
      <c r="E32" s="559">
        <v>1.5454545454545454</v>
      </c>
      <c r="L32" s="186" t="s">
        <v>500</v>
      </c>
      <c r="M32" s="546">
        <v>58.333333333333336</v>
      </c>
      <c r="N32" s="546">
        <v>23.333333333333332</v>
      </c>
    </row>
    <row r="33" spans="1:14">
      <c r="A33" t="s">
        <v>481</v>
      </c>
      <c r="B33" t="s">
        <v>482</v>
      </c>
      <c r="C33" s="557" t="s">
        <v>209</v>
      </c>
      <c r="D33" s="559">
        <v>93.333333333333343</v>
      </c>
      <c r="E33" s="559">
        <v>1.5555555555555556</v>
      </c>
      <c r="L33" s="183" t="s">
        <v>501</v>
      </c>
      <c r="M33" s="546">
        <v>250</v>
      </c>
      <c r="N33" s="546">
        <v>25</v>
      </c>
    </row>
    <row r="34" spans="1:14">
      <c r="A34" t="s">
        <v>475</v>
      </c>
      <c r="B34" t="s">
        <v>494</v>
      </c>
      <c r="C34" s="538" t="s">
        <v>484</v>
      </c>
      <c r="D34" s="540">
        <v>71.428571428571431</v>
      </c>
      <c r="E34" s="541">
        <v>2.0408163265306118</v>
      </c>
      <c r="L34" s="183" t="s">
        <v>502</v>
      </c>
      <c r="M34" s="546">
        <v>54.347826086956523</v>
      </c>
      <c r="N34" s="546">
        <v>27.173913043478262</v>
      </c>
    </row>
    <row r="35" spans="1:14">
      <c r="A35" t="s">
        <v>475</v>
      </c>
      <c r="B35" t="s">
        <v>494</v>
      </c>
      <c r="C35" s="538" t="s">
        <v>403</v>
      </c>
      <c r="D35" s="540">
        <v>34.523809523809526</v>
      </c>
      <c r="E35" s="541">
        <v>1.7261904761904763</v>
      </c>
      <c r="L35" s="186" t="s">
        <v>503</v>
      </c>
      <c r="M35" s="546">
        <v>55</v>
      </c>
      <c r="N35" s="546">
        <v>27.5</v>
      </c>
    </row>
    <row r="36" spans="1:14">
      <c r="A36" t="s">
        <v>475</v>
      </c>
      <c r="B36" t="s">
        <v>494</v>
      </c>
      <c r="C36" s="538" t="s">
        <v>209</v>
      </c>
      <c r="D36" s="540">
        <v>80</v>
      </c>
      <c r="E36" s="541">
        <v>1.1428571428571428</v>
      </c>
      <c r="L36" s="186" t="s">
        <v>504</v>
      </c>
      <c r="M36" s="546">
        <v>84.000000000000014</v>
      </c>
      <c r="N36" s="546">
        <v>28.000000000000007</v>
      </c>
    </row>
    <row r="37" spans="1:14">
      <c r="A37" t="s">
        <v>481</v>
      </c>
      <c r="B37" t="s">
        <v>482</v>
      </c>
      <c r="C37" s="557" t="s">
        <v>211</v>
      </c>
      <c r="D37" s="559">
        <v>35</v>
      </c>
      <c r="E37" s="559">
        <v>17.5</v>
      </c>
      <c r="L37" s="183" t="s">
        <v>505</v>
      </c>
      <c r="M37" s="546">
        <v>77.838714247154456</v>
      </c>
      <c r="N37" s="546">
        <v>38.919357123577228</v>
      </c>
    </row>
    <row r="38" spans="1:14">
      <c r="A38" t="s">
        <v>481</v>
      </c>
      <c r="B38" t="s">
        <v>482</v>
      </c>
      <c r="C38" s="557" t="s">
        <v>180</v>
      </c>
      <c r="D38" s="559">
        <v>15</v>
      </c>
      <c r="E38" s="559">
        <v>3.75</v>
      </c>
      <c r="L38" s="183" t="s">
        <v>501</v>
      </c>
      <c r="M38" s="546">
        <v>450</v>
      </c>
      <c r="N38" s="546">
        <v>45</v>
      </c>
    </row>
    <row r="39" spans="1:14">
      <c r="A39" t="s">
        <v>475</v>
      </c>
      <c r="B39" t="s">
        <v>494</v>
      </c>
      <c r="C39" s="538" t="s">
        <v>488</v>
      </c>
      <c r="D39" s="540">
        <v>33</v>
      </c>
      <c r="E39" s="541">
        <v>11</v>
      </c>
      <c r="L39" s="183" t="s">
        <v>506</v>
      </c>
      <c r="M39" s="546">
        <v>133.33333333333334</v>
      </c>
      <c r="N39" s="546">
        <v>66.666666666666671</v>
      </c>
    </row>
    <row r="40" spans="1:14">
      <c r="A40" t="s">
        <v>481</v>
      </c>
      <c r="B40" t="s">
        <v>482</v>
      </c>
      <c r="C40" s="557" t="s">
        <v>63</v>
      </c>
      <c r="D40" s="559">
        <v>50</v>
      </c>
      <c r="E40" s="559">
        <v>14.285714285714286</v>
      </c>
      <c r="L40" s="186" t="s">
        <v>368</v>
      </c>
      <c r="M40" s="546">
        <v>87.500000000000014</v>
      </c>
      <c r="N40" s="546">
        <v>87.500000000000014</v>
      </c>
    </row>
    <row r="41" spans="1:14">
      <c r="A41" t="s">
        <v>475</v>
      </c>
      <c r="B41" t="s">
        <v>494</v>
      </c>
      <c r="C41" s="183" t="s">
        <v>408</v>
      </c>
      <c r="D41" s="546">
        <v>16</v>
      </c>
      <c r="E41" s="547">
        <v>8.8888888888888893</v>
      </c>
      <c r="L41" s="183" t="s">
        <v>507</v>
      </c>
      <c r="M41" s="546">
        <v>193.45454545454547</v>
      </c>
      <c r="N41" s="546">
        <v>161.21212121212125</v>
      </c>
    </row>
    <row r="42" spans="1:14">
      <c r="A42" t="s">
        <v>475</v>
      </c>
      <c r="B42" t="s">
        <v>489</v>
      </c>
      <c r="C42" s="183" t="s">
        <v>377</v>
      </c>
      <c r="D42" s="546">
        <v>14.076923076923077</v>
      </c>
      <c r="E42" s="546">
        <v>0.7038461538461539</v>
      </c>
      <c r="L42" s="543" t="s">
        <v>408</v>
      </c>
      <c r="M42" s="549" t="s">
        <v>223</v>
      </c>
      <c r="N42" s="550" t="s">
        <v>223</v>
      </c>
    </row>
    <row r="43" spans="1:14">
      <c r="A43" t="s">
        <v>475</v>
      </c>
      <c r="B43" t="s">
        <v>489</v>
      </c>
      <c r="C43" s="183" t="s">
        <v>377</v>
      </c>
      <c r="D43" s="546">
        <v>14.076923076923077</v>
      </c>
      <c r="E43" s="546">
        <v>0.7038461538461539</v>
      </c>
      <c r="L43" s="183" t="s">
        <v>403</v>
      </c>
      <c r="M43" s="546" t="s">
        <v>223</v>
      </c>
      <c r="N43" s="547" t="s">
        <v>223</v>
      </c>
    </row>
    <row r="44" spans="1:14">
      <c r="A44" t="s">
        <v>475</v>
      </c>
      <c r="B44" t="s">
        <v>489</v>
      </c>
      <c r="C44" s="183" t="s">
        <v>209</v>
      </c>
      <c r="D44" s="546">
        <v>80</v>
      </c>
      <c r="E44" s="547">
        <v>1.1428571428571428</v>
      </c>
      <c r="L44" s="186" t="s">
        <v>499</v>
      </c>
      <c r="M44" s="546" t="s">
        <v>223</v>
      </c>
      <c r="N44" s="547" t="s">
        <v>223</v>
      </c>
    </row>
    <row r="45" spans="1:14">
      <c r="A45" t="s">
        <v>475</v>
      </c>
      <c r="B45" t="s">
        <v>489</v>
      </c>
      <c r="C45" s="538" t="s">
        <v>209</v>
      </c>
      <c r="D45" s="540">
        <v>80</v>
      </c>
      <c r="E45" s="541">
        <v>1.1428571428571428</v>
      </c>
      <c r="L45" s="186" t="s">
        <v>356</v>
      </c>
      <c r="M45" s="546" t="s">
        <v>223</v>
      </c>
      <c r="N45" s="547" t="s">
        <v>223</v>
      </c>
    </row>
    <row r="46" spans="1:14">
      <c r="A46" t="s">
        <v>475</v>
      </c>
      <c r="B46" t="s">
        <v>489</v>
      </c>
      <c r="C46" s="183" t="s">
        <v>209</v>
      </c>
      <c r="D46" s="546">
        <v>80</v>
      </c>
      <c r="E46" s="547">
        <v>1.1428571428571428</v>
      </c>
      <c r="L46" s="186" t="s">
        <v>508</v>
      </c>
      <c r="M46" s="546" t="s">
        <v>223</v>
      </c>
      <c r="N46" s="547" t="s">
        <v>223</v>
      </c>
    </row>
    <row r="47" spans="1:14">
      <c r="A47" t="s">
        <v>475</v>
      </c>
      <c r="B47" t="s">
        <v>489</v>
      </c>
      <c r="C47" s="183" t="s">
        <v>208</v>
      </c>
      <c r="D47" s="546">
        <v>88</v>
      </c>
      <c r="E47" s="547">
        <v>1.76</v>
      </c>
      <c r="L47" s="186" t="s">
        <v>439</v>
      </c>
      <c r="M47" s="546" t="s">
        <v>223</v>
      </c>
      <c r="N47" s="547" t="s">
        <v>223</v>
      </c>
    </row>
    <row r="48" spans="1:14">
      <c r="A48" t="s">
        <v>475</v>
      </c>
      <c r="B48" t="s">
        <v>489</v>
      </c>
      <c r="C48" s="183" t="s">
        <v>208</v>
      </c>
      <c r="D48" s="546">
        <v>88</v>
      </c>
      <c r="E48" s="547">
        <v>1.76</v>
      </c>
      <c r="L48" s="186" t="s">
        <v>76</v>
      </c>
      <c r="M48" s="546" t="s">
        <v>223</v>
      </c>
      <c r="N48" s="547" t="s">
        <v>223</v>
      </c>
    </row>
    <row r="49" spans="1:14">
      <c r="A49" t="s">
        <v>475</v>
      </c>
      <c r="B49" t="s">
        <v>489</v>
      </c>
      <c r="C49" s="183" t="s">
        <v>208</v>
      </c>
      <c r="D49" s="546">
        <v>88</v>
      </c>
      <c r="E49" s="547">
        <v>1.76</v>
      </c>
      <c r="L49" s="186" t="s">
        <v>509</v>
      </c>
      <c r="M49" s="546" t="s">
        <v>223</v>
      </c>
      <c r="N49" s="547" t="s">
        <v>223</v>
      </c>
    </row>
    <row r="50" spans="1:14">
      <c r="A50" t="s">
        <v>475</v>
      </c>
      <c r="B50" t="s">
        <v>489</v>
      </c>
      <c r="C50" s="183" t="s">
        <v>484</v>
      </c>
      <c r="D50" s="546">
        <v>71.428571428571431</v>
      </c>
      <c r="E50" s="547">
        <v>2.0408163265306118</v>
      </c>
      <c r="L50" s="544" t="s">
        <v>510</v>
      </c>
      <c r="M50" s="549" t="s">
        <v>223</v>
      </c>
      <c r="N50" s="550" t="s">
        <v>223</v>
      </c>
    </row>
    <row r="51" spans="1:14">
      <c r="A51" t="s">
        <v>475</v>
      </c>
      <c r="B51" t="s">
        <v>489</v>
      </c>
      <c r="C51" s="183" t="s">
        <v>180</v>
      </c>
      <c r="D51" s="546">
        <v>47.999999846400002</v>
      </c>
      <c r="E51" s="546">
        <v>3.9999999872000003</v>
      </c>
      <c r="L51" s="183" t="s">
        <v>207</v>
      </c>
      <c r="M51" s="546" t="s">
        <v>223</v>
      </c>
      <c r="N51" s="547" t="s">
        <v>223</v>
      </c>
    </row>
    <row r="52" spans="1:14">
      <c r="A52" t="s">
        <v>475</v>
      </c>
      <c r="B52" t="s">
        <v>489</v>
      </c>
      <c r="C52" s="183" t="s">
        <v>178</v>
      </c>
      <c r="D52" s="546">
        <v>22</v>
      </c>
      <c r="E52" s="547">
        <v>4.4000000000000004</v>
      </c>
      <c r="L52" s="186" t="s">
        <v>503</v>
      </c>
      <c r="M52" s="546" t="s">
        <v>223</v>
      </c>
      <c r="N52" s="547" t="s">
        <v>223</v>
      </c>
    </row>
    <row r="53" spans="1:14">
      <c r="A53" t="s">
        <v>475</v>
      </c>
      <c r="B53" t="s">
        <v>489</v>
      </c>
      <c r="C53" s="538" t="s">
        <v>380</v>
      </c>
      <c r="D53" s="540">
        <v>16</v>
      </c>
      <c r="E53" s="541">
        <v>5.333333333333333</v>
      </c>
      <c r="L53" s="186" t="s">
        <v>511</v>
      </c>
      <c r="M53" s="546" t="s">
        <v>223</v>
      </c>
      <c r="N53" s="547" t="s">
        <v>223</v>
      </c>
    </row>
    <row r="54" spans="1:14">
      <c r="A54" t="s">
        <v>475</v>
      </c>
      <c r="B54" t="s">
        <v>494</v>
      </c>
      <c r="C54" s="183" t="s">
        <v>408</v>
      </c>
      <c r="D54" s="546">
        <v>16</v>
      </c>
      <c r="E54" s="547">
        <v>8.8888888888888893</v>
      </c>
      <c r="L54" s="183" t="s">
        <v>74</v>
      </c>
      <c r="M54" s="546" t="s">
        <v>223</v>
      </c>
      <c r="N54" s="547" t="s">
        <v>223</v>
      </c>
    </row>
    <row r="55" spans="1:14">
      <c r="A55" t="s">
        <v>475</v>
      </c>
      <c r="B55" t="s">
        <v>489</v>
      </c>
      <c r="C55" s="183" t="s">
        <v>207</v>
      </c>
      <c r="D55" s="546">
        <v>28.8</v>
      </c>
      <c r="E55" s="547">
        <v>9.6</v>
      </c>
      <c r="L55" s="186" t="s">
        <v>463</v>
      </c>
      <c r="M55" s="546" t="s">
        <v>223</v>
      </c>
      <c r="N55" s="547" t="s">
        <v>223</v>
      </c>
    </row>
    <row r="56" spans="1:14">
      <c r="A56" t="s">
        <v>475</v>
      </c>
      <c r="B56" t="s">
        <v>489</v>
      </c>
      <c r="C56" s="183" t="s">
        <v>178</v>
      </c>
      <c r="D56" s="546">
        <v>50</v>
      </c>
      <c r="E56" s="546">
        <v>10</v>
      </c>
      <c r="L56" s="186" t="s">
        <v>368</v>
      </c>
      <c r="M56" s="546" t="s">
        <v>223</v>
      </c>
      <c r="N56" s="547" t="s">
        <v>223</v>
      </c>
    </row>
    <row r="57" spans="1:14">
      <c r="A57" t="s">
        <v>475</v>
      </c>
      <c r="B57" t="s">
        <v>489</v>
      </c>
      <c r="C57" s="183" t="s">
        <v>211</v>
      </c>
      <c r="D57" s="546">
        <v>35</v>
      </c>
      <c r="E57" s="547">
        <v>17.5</v>
      </c>
      <c r="L57" s="564" t="s">
        <v>493</v>
      </c>
      <c r="M57" s="546" t="s">
        <v>223</v>
      </c>
      <c r="N57" s="547" t="s">
        <v>223</v>
      </c>
    </row>
    <row r="58" spans="1:14">
      <c r="A58" t="s">
        <v>475</v>
      </c>
      <c r="B58" t="s">
        <v>489</v>
      </c>
      <c r="C58" s="183" t="s">
        <v>211</v>
      </c>
      <c r="D58" s="546">
        <v>35</v>
      </c>
      <c r="E58" s="547">
        <v>17.5</v>
      </c>
      <c r="L58" s="564" t="s">
        <v>512</v>
      </c>
      <c r="M58" s="546" t="s">
        <v>223</v>
      </c>
      <c r="N58" s="547" t="s">
        <v>223</v>
      </c>
    </row>
    <row r="59" spans="1:14">
      <c r="A59" t="s">
        <v>475</v>
      </c>
      <c r="B59" t="s">
        <v>489</v>
      </c>
      <c r="C59" s="183" t="s">
        <v>491</v>
      </c>
      <c r="D59" s="546">
        <v>48.888888888888893</v>
      </c>
      <c r="E59" s="547">
        <v>4.8888888888888893</v>
      </c>
    </row>
    <row r="60" spans="1:14">
      <c r="A60" t="s">
        <v>475</v>
      </c>
      <c r="B60" t="s">
        <v>489</v>
      </c>
      <c r="C60" s="186" t="s">
        <v>493</v>
      </c>
      <c r="D60" s="548">
        <v>33.325417092333261</v>
      </c>
      <c r="E60" s="548">
        <v>8.3313542730833152</v>
      </c>
    </row>
    <row r="61" spans="1:14">
      <c r="A61" t="s">
        <v>475</v>
      </c>
      <c r="B61" t="s">
        <v>489</v>
      </c>
      <c r="C61" s="186" t="s">
        <v>495</v>
      </c>
      <c r="D61" s="548">
        <v>45.512820512820511</v>
      </c>
      <c r="E61" s="548">
        <v>9.1025641025641022</v>
      </c>
    </row>
    <row r="62" spans="1:14">
      <c r="A62" t="s">
        <v>475</v>
      </c>
      <c r="B62" t="s">
        <v>489</v>
      </c>
      <c r="C62" s="183" t="s">
        <v>490</v>
      </c>
      <c r="D62" s="546">
        <v>75</v>
      </c>
      <c r="E62" s="546">
        <v>10</v>
      </c>
    </row>
    <row r="63" spans="1:14">
      <c r="A63" t="s">
        <v>475</v>
      </c>
      <c r="B63" t="s">
        <v>489</v>
      </c>
      <c r="C63" s="186" t="s">
        <v>496</v>
      </c>
      <c r="D63" s="546">
        <v>49.315068493150683</v>
      </c>
      <c r="E63" s="546">
        <v>16.438356164383563</v>
      </c>
    </row>
    <row r="64" spans="1:14">
      <c r="A64" t="s">
        <v>475</v>
      </c>
      <c r="B64" t="s">
        <v>489</v>
      </c>
      <c r="C64" s="183" t="s">
        <v>498</v>
      </c>
      <c r="D64" s="546">
        <v>55</v>
      </c>
      <c r="E64" s="546">
        <v>18.333333333333332</v>
      </c>
    </row>
    <row r="65" spans="1:5">
      <c r="A65" t="s">
        <v>475</v>
      </c>
      <c r="B65" t="s">
        <v>489</v>
      </c>
      <c r="C65" s="183" t="s">
        <v>486</v>
      </c>
      <c r="D65" s="546">
        <v>59.649122807017541</v>
      </c>
      <c r="E65" s="546">
        <v>19.883040935672515</v>
      </c>
    </row>
    <row r="66" spans="1:5">
      <c r="A66" t="s">
        <v>475</v>
      </c>
      <c r="B66" t="s">
        <v>489</v>
      </c>
      <c r="C66" s="186" t="s">
        <v>499</v>
      </c>
      <c r="D66" s="548">
        <v>40</v>
      </c>
      <c r="E66" s="548">
        <v>20</v>
      </c>
    </row>
    <row r="67" spans="1:5">
      <c r="A67" t="s">
        <v>475</v>
      </c>
      <c r="B67" t="s">
        <v>489</v>
      </c>
      <c r="C67" s="186" t="s">
        <v>500</v>
      </c>
      <c r="D67" s="546">
        <v>58.333333333333336</v>
      </c>
      <c r="E67" s="546">
        <v>23.333333333333332</v>
      </c>
    </row>
    <row r="68" spans="1:5">
      <c r="A68" t="s">
        <v>475</v>
      </c>
      <c r="B68" t="s">
        <v>489</v>
      </c>
      <c r="C68" s="183" t="s">
        <v>501</v>
      </c>
      <c r="D68" s="546">
        <v>250</v>
      </c>
      <c r="E68" s="546">
        <v>25</v>
      </c>
    </row>
    <row r="69" spans="1:5">
      <c r="A69" t="s">
        <v>475</v>
      </c>
      <c r="B69" t="s">
        <v>489</v>
      </c>
      <c r="C69" s="183" t="s">
        <v>502</v>
      </c>
      <c r="D69" s="546">
        <v>54.347826086956523</v>
      </c>
      <c r="E69" s="546">
        <v>27.173913043478262</v>
      </c>
    </row>
    <row r="70" spans="1:5">
      <c r="A70" t="s">
        <v>475</v>
      </c>
      <c r="B70" t="s">
        <v>489</v>
      </c>
      <c r="C70" s="186" t="s">
        <v>503</v>
      </c>
      <c r="D70" s="546">
        <v>55</v>
      </c>
      <c r="E70" s="546">
        <v>27.5</v>
      </c>
    </row>
    <row r="71" spans="1:5">
      <c r="A71" t="s">
        <v>475</v>
      </c>
      <c r="B71" t="s">
        <v>489</v>
      </c>
      <c r="C71" s="186" t="s">
        <v>504</v>
      </c>
      <c r="D71" s="546">
        <v>84.000000000000014</v>
      </c>
      <c r="E71" s="546">
        <v>28.000000000000007</v>
      </c>
    </row>
    <row r="72" spans="1:5">
      <c r="A72" t="s">
        <v>475</v>
      </c>
      <c r="B72" t="s">
        <v>489</v>
      </c>
      <c r="C72" s="183" t="s">
        <v>505</v>
      </c>
      <c r="D72" s="546">
        <v>77.838714247154456</v>
      </c>
      <c r="E72" s="546">
        <v>38.919357123577228</v>
      </c>
    </row>
    <row r="73" spans="1:5">
      <c r="A73" t="s">
        <v>475</v>
      </c>
      <c r="B73" t="s">
        <v>489</v>
      </c>
      <c r="C73" s="183" t="s">
        <v>501</v>
      </c>
      <c r="D73" s="546">
        <v>450</v>
      </c>
      <c r="E73" s="546">
        <v>45</v>
      </c>
    </row>
    <row r="74" spans="1:5">
      <c r="A74" t="s">
        <v>475</v>
      </c>
      <c r="B74" t="s">
        <v>489</v>
      </c>
      <c r="C74" s="183" t="s">
        <v>506</v>
      </c>
      <c r="D74" s="546">
        <v>133.33333333333334</v>
      </c>
      <c r="E74" s="546">
        <v>66.666666666666671</v>
      </c>
    </row>
    <row r="75" spans="1:5">
      <c r="A75" t="s">
        <v>475</v>
      </c>
      <c r="B75" t="s">
        <v>489</v>
      </c>
      <c r="C75" s="186" t="s">
        <v>368</v>
      </c>
      <c r="D75" s="546">
        <v>87.500000000000014</v>
      </c>
      <c r="E75" s="546">
        <v>87.500000000000014</v>
      </c>
    </row>
    <row r="76" spans="1:5">
      <c r="A76" t="s">
        <v>475</v>
      </c>
      <c r="B76" t="s">
        <v>489</v>
      </c>
      <c r="C76" s="183" t="s">
        <v>507</v>
      </c>
      <c r="D76" s="546">
        <v>193.45454545454547</v>
      </c>
      <c r="E76" s="546">
        <v>161.21212121212125</v>
      </c>
    </row>
  </sheetData>
  <autoFilter ref="A3:N3" xr:uid="{EF4384A0-7C12-46CD-9F2B-093B125298C4}">
    <sortState xmlns:xlrd2="http://schemas.microsoft.com/office/spreadsheetml/2017/richdata2" ref="A4:N76">
      <sortCondition ref="N3"/>
    </sortState>
  </autoFilter>
  <phoneticPr fontId="13" type="noConversion"/>
  <conditionalFormatting sqref="E4:E2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D440-3193-46F8-990C-9DCAF35625B4}">
  <dimension ref="A2:AL15"/>
  <sheetViews>
    <sheetView showGridLines="0" topLeftCell="G1" workbookViewId="0">
      <selection activeCell="K4" sqref="K4:K14"/>
    </sheetView>
  </sheetViews>
  <sheetFormatPr defaultRowHeight="14.4"/>
  <cols>
    <col min="1" max="1" width="15" customWidth="1"/>
    <col min="5" max="5" width="21.5546875" bestFit="1" customWidth="1"/>
    <col min="6" max="6" width="12.6640625" bestFit="1" customWidth="1"/>
    <col min="8" max="8" width="16.33203125" bestFit="1" customWidth="1"/>
    <col min="10" max="10" width="29" customWidth="1"/>
    <col min="15" max="15" width="12.88671875" bestFit="1" customWidth="1"/>
    <col min="19" max="19" width="10.109375" bestFit="1" customWidth="1"/>
    <col min="20" max="21" width="0" hidden="1" customWidth="1"/>
    <col min="22" max="22" width="11.88671875" hidden="1" customWidth="1"/>
    <col min="23" max="23" width="11.6640625" hidden="1" customWidth="1"/>
    <col min="24" max="26" width="0" hidden="1" customWidth="1"/>
    <col min="28" max="29" width="8.88671875" bestFit="1" customWidth="1"/>
  </cols>
  <sheetData>
    <row r="2" spans="1:38">
      <c r="A2" s="493" t="s">
        <v>513</v>
      </c>
      <c r="B2" s="492"/>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row>
    <row r="3" spans="1:38">
      <c r="A3" s="88" t="s">
        <v>89</v>
      </c>
      <c r="B3" s="89" t="s">
        <v>90</v>
      </c>
      <c r="C3" s="88" t="s">
        <v>34</v>
      </c>
      <c r="D3" s="89" t="s">
        <v>91</v>
      </c>
      <c r="E3" s="89" t="s">
        <v>92</v>
      </c>
      <c r="F3" s="89" t="s">
        <v>93</v>
      </c>
      <c r="G3" s="89" t="s">
        <v>94</v>
      </c>
      <c r="H3" s="89" t="s">
        <v>95</v>
      </c>
      <c r="I3" s="89" t="s">
        <v>96</v>
      </c>
      <c r="J3" s="90" t="s">
        <v>97</v>
      </c>
      <c r="K3" s="91" t="s">
        <v>98</v>
      </c>
      <c r="L3" s="92" t="s">
        <v>99</v>
      </c>
      <c r="M3" s="93" t="s">
        <v>100</v>
      </c>
      <c r="N3" s="93" t="s">
        <v>101</v>
      </c>
      <c r="O3" s="93" t="s">
        <v>102</v>
      </c>
      <c r="P3" s="94" t="s">
        <v>103</v>
      </c>
      <c r="Q3" s="95" t="s">
        <v>104</v>
      </c>
      <c r="R3" s="124" t="s">
        <v>105</v>
      </c>
      <c r="S3" s="125" t="s">
        <v>106</v>
      </c>
      <c r="T3" s="89" t="s">
        <v>108</v>
      </c>
      <c r="U3" s="93" t="s">
        <v>14</v>
      </c>
      <c r="V3" s="93" t="s">
        <v>109</v>
      </c>
      <c r="W3" s="96" t="s">
        <v>78</v>
      </c>
      <c r="X3" s="97" t="s">
        <v>15</v>
      </c>
      <c r="Y3" s="98" t="s">
        <v>13</v>
      </c>
      <c r="Z3" s="99" t="s">
        <v>110</v>
      </c>
      <c r="AA3" s="99" t="s">
        <v>114</v>
      </c>
      <c r="AB3" s="99" t="s">
        <v>112</v>
      </c>
      <c r="AC3" s="130" t="s">
        <v>6</v>
      </c>
      <c r="AD3" s="132" t="s">
        <v>8</v>
      </c>
      <c r="AE3" s="6"/>
    </row>
    <row r="4" spans="1:38" s="177" customFormat="1" ht="12.6" customHeight="1">
      <c r="A4" s="155" t="s">
        <v>61</v>
      </c>
      <c r="B4" s="156" t="s">
        <v>127</v>
      </c>
      <c r="C4" s="156" t="s">
        <v>36</v>
      </c>
      <c r="D4" s="156" t="s">
        <v>128</v>
      </c>
      <c r="E4" s="155" t="s">
        <v>63</v>
      </c>
      <c r="F4" s="48" t="s">
        <v>70</v>
      </c>
      <c r="G4" s="157" t="s">
        <v>155</v>
      </c>
      <c r="H4" s="155" t="s">
        <v>266</v>
      </c>
      <c r="I4" s="48" t="s">
        <v>118</v>
      </c>
      <c r="J4" s="164" t="s">
        <v>270</v>
      </c>
      <c r="K4" s="45">
        <f>S4/R4*1000</f>
        <v>4761904.7619047612</v>
      </c>
      <c r="L4" s="42">
        <v>2.5000000000000001E-3</v>
      </c>
      <c r="M4" s="43">
        <f>K4*L4</f>
        <v>11904.761904761903</v>
      </c>
      <c r="N4" s="46">
        <v>0.75</v>
      </c>
      <c r="O4" s="43">
        <f>N4*K4</f>
        <v>3571428.5714285709</v>
      </c>
      <c r="P4" s="158">
        <f>S4/K4*1000</f>
        <v>105.00000000000001</v>
      </c>
      <c r="Q4" s="158">
        <f t="shared" ref="Q4:Q7" si="0">S4/M4</f>
        <v>42.000000000000007</v>
      </c>
      <c r="R4" s="166">
        <v>105</v>
      </c>
      <c r="S4" s="145">
        <v>500000</v>
      </c>
      <c r="T4" s="46">
        <v>0.98</v>
      </c>
      <c r="U4" s="45">
        <f>K4/AA4</f>
        <v>2380952.3809523806</v>
      </c>
      <c r="V4" s="45">
        <f>(1-T4)*U4</f>
        <v>47619.047619047655</v>
      </c>
      <c r="W4" s="45">
        <v>8600000</v>
      </c>
      <c r="X4" s="46">
        <f>U4/W4</f>
        <v>0.27685492801771866</v>
      </c>
      <c r="Y4" s="51"/>
      <c r="Z4" s="46" t="e">
        <f>V4/Y4</f>
        <v>#DIV/0!</v>
      </c>
      <c r="AA4" s="47">
        <v>2</v>
      </c>
      <c r="AB4" s="202">
        <v>45115</v>
      </c>
      <c r="AC4" s="202">
        <f t="shared" ref="AC4" si="1">AB4+6</f>
        <v>45121</v>
      </c>
      <c r="AD4" s="321">
        <f t="shared" ref="AD4" si="2">AC4-AB4+1</f>
        <v>7</v>
      </c>
      <c r="AJ4" s="371"/>
      <c r="AK4" s="239"/>
      <c r="AL4" s="372"/>
    </row>
    <row r="5" spans="1:38" s="177" customFormat="1" ht="12.6" customHeight="1">
      <c r="A5" s="155" t="s">
        <v>61</v>
      </c>
      <c r="B5" s="156" t="s">
        <v>127</v>
      </c>
      <c r="C5" s="156" t="s">
        <v>36</v>
      </c>
      <c r="D5" s="156" t="s">
        <v>128</v>
      </c>
      <c r="E5" s="155" t="s">
        <v>63</v>
      </c>
      <c r="F5" s="48" t="s">
        <v>64</v>
      </c>
      <c r="G5" s="157" t="s">
        <v>411</v>
      </c>
      <c r="H5" s="155" t="s">
        <v>514</v>
      </c>
      <c r="I5" s="48" t="s">
        <v>118</v>
      </c>
      <c r="J5" s="164" t="s">
        <v>36</v>
      </c>
      <c r="K5" s="45">
        <f>S5/R5*1000</f>
        <v>2142857.1428571427</v>
      </c>
      <c r="L5" s="42">
        <v>2.0000000000000001E-4</v>
      </c>
      <c r="M5" s="43">
        <f>K5*L5</f>
        <v>428.57142857142856</v>
      </c>
      <c r="N5" s="46">
        <v>0.4</v>
      </c>
      <c r="O5" s="43">
        <f>N5*K5</f>
        <v>857142.85714285716</v>
      </c>
      <c r="P5" s="158">
        <f>S5/K5*1000</f>
        <v>70</v>
      </c>
      <c r="Q5" s="158">
        <f t="shared" si="0"/>
        <v>350</v>
      </c>
      <c r="R5" s="158">
        <v>70</v>
      </c>
      <c r="S5" s="145">
        <v>150000</v>
      </c>
      <c r="T5" s="46">
        <v>1</v>
      </c>
      <c r="U5" s="45">
        <f>K5/AA5</f>
        <v>714285.7142857142</v>
      </c>
      <c r="V5" s="45">
        <f>(1-T5)*U5</f>
        <v>0</v>
      </c>
      <c r="W5" s="45"/>
      <c r="X5" s="46" t="e">
        <f>U5/W5</f>
        <v>#DIV/0!</v>
      </c>
      <c r="Y5" s="51"/>
      <c r="Z5" s="46"/>
      <c r="AA5" s="47">
        <v>3</v>
      </c>
      <c r="AB5" s="202">
        <v>45115</v>
      </c>
      <c r="AC5" s="202">
        <f>AB5+6</f>
        <v>45121</v>
      </c>
      <c r="AD5" s="321">
        <f>AC5-AB5+1</f>
        <v>7</v>
      </c>
      <c r="AJ5" s="371"/>
      <c r="AK5" s="239"/>
      <c r="AL5" s="372"/>
    </row>
    <row r="6" spans="1:38" s="177" customFormat="1" ht="12.6" customHeight="1">
      <c r="A6" s="155" t="s">
        <v>354</v>
      </c>
      <c r="B6" s="156" t="s">
        <v>127</v>
      </c>
      <c r="C6" s="156" t="s">
        <v>36</v>
      </c>
      <c r="D6" s="156" t="s">
        <v>164</v>
      </c>
      <c r="E6" s="155" t="s">
        <v>207</v>
      </c>
      <c r="F6" s="48" t="s">
        <v>294</v>
      </c>
      <c r="G6" s="157" t="s">
        <v>155</v>
      </c>
      <c r="H6" s="155" t="s">
        <v>515</v>
      </c>
      <c r="I6" s="48" t="s">
        <v>118</v>
      </c>
      <c r="J6" s="164" t="s">
        <v>516</v>
      </c>
      <c r="K6" s="45">
        <f>S6/R6*1000</f>
        <v>1500000</v>
      </c>
      <c r="L6" s="42">
        <v>5.0000000000000001E-3</v>
      </c>
      <c r="M6" s="43">
        <f>L6*K6</f>
        <v>7500</v>
      </c>
      <c r="N6" s="46" t="s">
        <v>223</v>
      </c>
      <c r="O6" s="43" t="s">
        <v>223</v>
      </c>
      <c r="P6" s="158">
        <f>S6/K6*1000</f>
        <v>100</v>
      </c>
      <c r="Q6" s="158">
        <f>S6/M6</f>
        <v>20</v>
      </c>
      <c r="R6" s="160">
        <v>100</v>
      </c>
      <c r="S6" s="145">
        <v>150000</v>
      </c>
      <c r="T6" s="46">
        <v>1</v>
      </c>
      <c r="U6" s="45">
        <f>K6/AA6</f>
        <v>500000</v>
      </c>
      <c r="V6" s="45">
        <f>(1-T6)*U6</f>
        <v>0</v>
      </c>
      <c r="W6" s="45">
        <f>W5*50%</f>
        <v>0</v>
      </c>
      <c r="X6" s="46"/>
      <c r="Y6" s="51"/>
      <c r="Z6" s="46"/>
      <c r="AA6" s="47">
        <v>3</v>
      </c>
      <c r="AB6" s="202">
        <v>45115</v>
      </c>
      <c r="AC6" s="202">
        <f>AB6+6</f>
        <v>45121</v>
      </c>
      <c r="AD6" s="321">
        <f>AC6-AB6+1</f>
        <v>7</v>
      </c>
      <c r="AJ6" s="495"/>
      <c r="AK6" s="239"/>
      <c r="AL6" s="372"/>
    </row>
    <row r="7" spans="1:38" s="177" customFormat="1" ht="12.6" customHeight="1">
      <c r="A7" s="155" t="s">
        <v>354</v>
      </c>
      <c r="B7" s="156" t="s">
        <v>127</v>
      </c>
      <c r="C7" s="156" t="s">
        <v>36</v>
      </c>
      <c r="D7" s="156" t="s">
        <v>164</v>
      </c>
      <c r="E7" s="155" t="s">
        <v>517</v>
      </c>
      <c r="F7" s="48" t="s">
        <v>70</v>
      </c>
      <c r="G7" s="157" t="s">
        <v>155</v>
      </c>
      <c r="H7" s="155" t="s">
        <v>317</v>
      </c>
      <c r="I7" s="48" t="s">
        <v>118</v>
      </c>
      <c r="J7" s="164" t="s">
        <v>518</v>
      </c>
      <c r="K7" s="45">
        <f>S7/R7*1000</f>
        <v>1875000</v>
      </c>
      <c r="L7" s="42">
        <v>2E-3</v>
      </c>
      <c r="M7" s="43">
        <f>K7*L7</f>
        <v>3750</v>
      </c>
      <c r="N7" s="46" t="s">
        <v>223</v>
      </c>
      <c r="O7" s="43" t="s">
        <v>223</v>
      </c>
      <c r="P7" s="158">
        <f>S7/K7*1000</f>
        <v>80</v>
      </c>
      <c r="Q7" s="158">
        <f t="shared" si="0"/>
        <v>40</v>
      </c>
      <c r="R7" s="166">
        <v>80</v>
      </c>
      <c r="S7" s="145">
        <v>150000</v>
      </c>
      <c r="T7" s="46">
        <v>1</v>
      </c>
      <c r="U7" s="45">
        <f>K7/AA7</f>
        <v>625000</v>
      </c>
      <c r="V7" s="45">
        <f>(1-T7)*U7</f>
        <v>0</v>
      </c>
      <c r="W7" s="45">
        <f>W6*50%</f>
        <v>0</v>
      </c>
      <c r="X7" s="46"/>
      <c r="Y7" s="51"/>
      <c r="Z7" s="46"/>
      <c r="AA7" s="47">
        <v>3</v>
      </c>
      <c r="AB7" s="202">
        <v>45115</v>
      </c>
      <c r="AC7" s="202">
        <f>AB7+6</f>
        <v>45121</v>
      </c>
      <c r="AD7" s="321">
        <f>AC7-AB7+1</f>
        <v>7</v>
      </c>
      <c r="AJ7" s="371"/>
      <c r="AK7" s="239"/>
      <c r="AL7" s="372"/>
    </row>
    <row r="8" spans="1:38" s="177" customFormat="1" ht="12.6" customHeight="1">
      <c r="A8" s="155" t="s">
        <v>354</v>
      </c>
      <c r="B8" s="156" t="s">
        <v>127</v>
      </c>
      <c r="C8" s="156" t="s">
        <v>36</v>
      </c>
      <c r="D8" s="156" t="s">
        <v>164</v>
      </c>
      <c r="E8" s="155" t="s">
        <v>519</v>
      </c>
      <c r="F8" s="48" t="s">
        <v>70</v>
      </c>
      <c r="G8" s="157" t="s">
        <v>155</v>
      </c>
      <c r="H8" s="155" t="s">
        <v>317</v>
      </c>
      <c r="I8" s="48" t="s">
        <v>118</v>
      </c>
      <c r="J8" s="164" t="s">
        <v>520</v>
      </c>
      <c r="K8" s="45">
        <f>S8/R8*1000</f>
        <v>1363636.3636363638</v>
      </c>
      <c r="L8" s="42">
        <v>2E-3</v>
      </c>
      <c r="M8" s="43">
        <f>K8*L8</f>
        <v>2727.2727272727275</v>
      </c>
      <c r="N8" s="46" t="s">
        <v>223</v>
      </c>
      <c r="O8" s="43" t="s">
        <v>223</v>
      </c>
      <c r="P8" s="158">
        <f>S8/K8*1000</f>
        <v>109.99999999999999</v>
      </c>
      <c r="Q8" s="158">
        <f>S8/M8</f>
        <v>54.999999999999993</v>
      </c>
      <c r="R8" s="166">
        <v>110</v>
      </c>
      <c r="S8" s="145">
        <v>150000</v>
      </c>
      <c r="T8" s="46">
        <v>1</v>
      </c>
      <c r="U8" s="45">
        <f>K8/AA8</f>
        <v>454545.45454545459</v>
      </c>
      <c r="V8" s="45">
        <f>(1-T8)*U8</f>
        <v>0</v>
      </c>
      <c r="W8" s="45">
        <f>W7*50%</f>
        <v>0</v>
      </c>
      <c r="X8" s="46"/>
      <c r="Y8" s="51"/>
      <c r="Z8" s="46"/>
      <c r="AA8" s="47">
        <v>3</v>
      </c>
      <c r="AB8" s="202">
        <v>45115</v>
      </c>
      <c r="AC8" s="202">
        <f>AB8+6</f>
        <v>45121</v>
      </c>
      <c r="AD8" s="321">
        <f>AC8-AB8+1</f>
        <v>7</v>
      </c>
      <c r="AJ8" s="371"/>
      <c r="AK8" s="239"/>
      <c r="AL8" s="372"/>
    </row>
    <row r="9" spans="1:38">
      <c r="A9" s="493" t="s">
        <v>521</v>
      </c>
      <c r="B9" s="492"/>
      <c r="C9" s="492"/>
      <c r="D9" s="492"/>
      <c r="E9" s="492"/>
      <c r="F9" s="492"/>
      <c r="G9" s="492"/>
      <c r="H9" s="492"/>
      <c r="I9" s="492"/>
      <c r="J9" s="492"/>
      <c r="K9" s="492"/>
      <c r="L9" s="492"/>
      <c r="M9" s="492"/>
      <c r="N9" s="492"/>
      <c r="O9" s="492"/>
      <c r="P9" s="492"/>
      <c r="Q9" s="492"/>
      <c r="R9" s="492"/>
      <c r="S9" s="492"/>
      <c r="T9" s="492"/>
      <c r="U9" s="492"/>
      <c r="V9" s="492"/>
      <c r="W9" s="492"/>
      <c r="X9" s="492"/>
      <c r="Y9" s="492"/>
      <c r="Z9" s="492"/>
      <c r="AA9" s="492"/>
      <c r="AB9" s="492"/>
      <c r="AC9" s="492"/>
      <c r="AD9" s="492"/>
    </row>
    <row r="10" spans="1:38" s="177" customFormat="1" ht="12.6" customHeight="1">
      <c r="A10" s="155" t="s">
        <v>61</v>
      </c>
      <c r="B10" s="156" t="s">
        <v>127</v>
      </c>
      <c r="C10" s="156" t="s">
        <v>521</v>
      </c>
      <c r="D10" s="156" t="s">
        <v>128</v>
      </c>
      <c r="E10" s="155" t="s">
        <v>63</v>
      </c>
      <c r="F10" s="48" t="s">
        <v>70</v>
      </c>
      <c r="G10" s="157" t="s">
        <v>155</v>
      </c>
      <c r="H10" s="155" t="s">
        <v>266</v>
      </c>
      <c r="I10" s="48" t="s">
        <v>118</v>
      </c>
      <c r="J10" s="164" t="s">
        <v>522</v>
      </c>
      <c r="K10" s="45">
        <f>S10/R10*1000</f>
        <v>1904761.9047619049</v>
      </c>
      <c r="L10" s="42">
        <v>2.5000000000000001E-3</v>
      </c>
      <c r="M10" s="43">
        <f>K10*L10</f>
        <v>4761.9047619047624</v>
      </c>
      <c r="N10" s="46">
        <v>0.75</v>
      </c>
      <c r="O10" s="43">
        <f>N10*K10</f>
        <v>1428571.4285714286</v>
      </c>
      <c r="P10" s="158">
        <f>S10/K10*1000</f>
        <v>105</v>
      </c>
      <c r="Q10" s="158">
        <f t="shared" ref="Q10:Q12" si="3">S10/M10</f>
        <v>41.999999999999993</v>
      </c>
      <c r="R10" s="166">
        <v>105</v>
      </c>
      <c r="S10" s="145">
        <v>200000</v>
      </c>
      <c r="T10" s="46">
        <v>0.98</v>
      </c>
      <c r="U10" s="45">
        <f>K10/AA10</f>
        <v>952380.95238095243</v>
      </c>
      <c r="V10" s="45">
        <f>(1-T10)*U10</f>
        <v>19047.619047619064</v>
      </c>
      <c r="W10" s="45">
        <v>1300000</v>
      </c>
      <c r="X10" s="46">
        <f>U10/W10</f>
        <v>0.73260073260073266</v>
      </c>
      <c r="Y10" s="51"/>
      <c r="Z10" s="46" t="e">
        <f>V10/Y10</f>
        <v>#DIV/0!</v>
      </c>
      <c r="AA10" s="47">
        <v>2</v>
      </c>
      <c r="AB10" s="202">
        <v>45115</v>
      </c>
      <c r="AC10" s="202">
        <f t="shared" ref="AC10:AC12" si="4">AB10+6</f>
        <v>45121</v>
      </c>
      <c r="AD10" s="321">
        <f t="shared" ref="AD10:AD12" si="5">AC10-AB10+1</f>
        <v>7</v>
      </c>
      <c r="AJ10" s="371"/>
      <c r="AK10" s="239"/>
      <c r="AL10" s="372"/>
    </row>
    <row r="11" spans="1:38" s="177" customFormat="1" ht="12.6" customHeight="1">
      <c r="A11" s="155" t="s">
        <v>354</v>
      </c>
      <c r="B11" s="156" t="s">
        <v>127</v>
      </c>
      <c r="C11" s="156" t="s">
        <v>36</v>
      </c>
      <c r="D11" s="156" t="s">
        <v>164</v>
      </c>
      <c r="E11" s="155" t="s">
        <v>207</v>
      </c>
      <c r="F11" s="48" t="s">
        <v>294</v>
      </c>
      <c r="G11" s="157" t="s">
        <v>155</v>
      </c>
      <c r="H11" s="155" t="s">
        <v>515</v>
      </c>
      <c r="I11" s="48" t="s">
        <v>118</v>
      </c>
      <c r="J11" s="164" t="s">
        <v>523</v>
      </c>
      <c r="K11" s="45">
        <f>S11/R11*1000</f>
        <v>2000000</v>
      </c>
      <c r="L11" s="42">
        <v>5.0000000000000001E-3</v>
      </c>
      <c r="M11" s="43">
        <f>L11*K11</f>
        <v>10000</v>
      </c>
      <c r="N11" s="46" t="s">
        <v>223</v>
      </c>
      <c r="O11" s="43" t="s">
        <v>223</v>
      </c>
      <c r="P11" s="158">
        <f>S11/K11*1000</f>
        <v>100</v>
      </c>
      <c r="Q11" s="158">
        <f>S11/M11</f>
        <v>20</v>
      </c>
      <c r="R11" s="166">
        <v>100</v>
      </c>
      <c r="S11" s="145">
        <v>200000</v>
      </c>
      <c r="T11" s="46">
        <v>1</v>
      </c>
      <c r="U11" s="45">
        <f>K11/AA11</f>
        <v>666666.66666666663</v>
      </c>
      <c r="V11" s="45"/>
      <c r="W11" s="45">
        <f>W10*50%</f>
        <v>650000</v>
      </c>
      <c r="X11" s="46"/>
      <c r="Y11" s="51"/>
      <c r="Z11" s="46"/>
      <c r="AA11" s="47">
        <v>3</v>
      </c>
      <c r="AB11" s="202">
        <v>45115</v>
      </c>
      <c r="AC11" s="202">
        <f>AB11+6</f>
        <v>45121</v>
      </c>
      <c r="AD11" s="321">
        <f>AC11-AB11+1</f>
        <v>7</v>
      </c>
      <c r="AJ11" s="495"/>
      <c r="AK11" s="239"/>
      <c r="AL11" s="372"/>
    </row>
    <row r="12" spans="1:38" s="177" customFormat="1" ht="12.6" customHeight="1">
      <c r="A12" s="155" t="s">
        <v>354</v>
      </c>
      <c r="B12" s="156" t="s">
        <v>127</v>
      </c>
      <c r="C12" s="156" t="s">
        <v>521</v>
      </c>
      <c r="D12" s="156" t="s">
        <v>164</v>
      </c>
      <c r="E12" s="155" t="s">
        <v>517</v>
      </c>
      <c r="F12" s="48" t="s">
        <v>70</v>
      </c>
      <c r="G12" s="157" t="s">
        <v>155</v>
      </c>
      <c r="H12" s="155" t="s">
        <v>317</v>
      </c>
      <c r="I12" s="48" t="s">
        <v>118</v>
      </c>
      <c r="J12" s="164" t="s">
        <v>524</v>
      </c>
      <c r="K12" s="45">
        <f>S12/R12*1000</f>
        <v>1250000</v>
      </c>
      <c r="L12" s="42">
        <v>2E-3</v>
      </c>
      <c r="M12" s="43">
        <f>K12*L12</f>
        <v>2500</v>
      </c>
      <c r="N12" s="46" t="s">
        <v>223</v>
      </c>
      <c r="O12" s="43" t="s">
        <v>223</v>
      </c>
      <c r="P12" s="158">
        <f>S12/K12*1000</f>
        <v>80</v>
      </c>
      <c r="Q12" s="158">
        <f t="shared" si="3"/>
        <v>40</v>
      </c>
      <c r="R12" s="166">
        <v>80</v>
      </c>
      <c r="S12" s="145">
        <v>100000</v>
      </c>
      <c r="T12" s="46">
        <v>1</v>
      </c>
      <c r="U12" s="45">
        <f>K12/AA12</f>
        <v>416666.66666666669</v>
      </c>
      <c r="V12" s="45">
        <f>(1-T12)*U12</f>
        <v>0</v>
      </c>
      <c r="W12" s="45">
        <v>1300000</v>
      </c>
      <c r="X12" s="46">
        <f>U12/W12</f>
        <v>0.32051282051282054</v>
      </c>
      <c r="Y12" s="51"/>
      <c r="Z12" s="46"/>
      <c r="AA12" s="47">
        <v>3</v>
      </c>
      <c r="AB12" s="202">
        <v>45115</v>
      </c>
      <c r="AC12" s="202">
        <f t="shared" si="4"/>
        <v>45121</v>
      </c>
      <c r="AD12" s="321">
        <f t="shared" si="5"/>
        <v>7</v>
      </c>
      <c r="AJ12" s="371"/>
      <c r="AK12" s="239"/>
      <c r="AL12" s="372"/>
    </row>
    <row r="13" spans="1:38" s="177" customFormat="1" ht="12.6" customHeight="1">
      <c r="A13" s="155" t="s">
        <v>354</v>
      </c>
      <c r="B13" s="156" t="s">
        <v>127</v>
      </c>
      <c r="C13" s="156" t="s">
        <v>36</v>
      </c>
      <c r="D13" s="156" t="s">
        <v>164</v>
      </c>
      <c r="E13" s="494" t="s">
        <v>519</v>
      </c>
      <c r="F13" s="48" t="s">
        <v>70</v>
      </c>
      <c r="G13" s="157" t="s">
        <v>155</v>
      </c>
      <c r="H13" s="155" t="s">
        <v>317</v>
      </c>
      <c r="I13" s="48" t="s">
        <v>118</v>
      </c>
      <c r="J13" s="164" t="s">
        <v>525</v>
      </c>
      <c r="K13" s="45">
        <f>S13/R13*1000</f>
        <v>1818181.8181818184</v>
      </c>
      <c r="L13" s="42">
        <v>2E-3</v>
      </c>
      <c r="M13" s="43">
        <f>K13*L13</f>
        <v>3636.3636363636369</v>
      </c>
      <c r="N13" s="46" t="s">
        <v>223</v>
      </c>
      <c r="O13" s="43" t="s">
        <v>223</v>
      </c>
      <c r="P13" s="158">
        <f>S13/K13*1000</f>
        <v>109.99999999999999</v>
      </c>
      <c r="Q13" s="158">
        <f>S13/M13</f>
        <v>54.999999999999993</v>
      </c>
      <c r="R13" s="160">
        <v>110</v>
      </c>
      <c r="S13" s="145">
        <v>200000</v>
      </c>
      <c r="T13" s="46">
        <v>1</v>
      </c>
      <c r="U13" s="45">
        <f>K13/AA13</f>
        <v>606060.60606060608</v>
      </c>
      <c r="V13" s="45"/>
      <c r="W13" s="45">
        <f>W12*50%</f>
        <v>650000</v>
      </c>
      <c r="X13" s="46"/>
      <c r="Y13" s="51"/>
      <c r="Z13" s="46"/>
      <c r="AA13" s="47">
        <v>3</v>
      </c>
      <c r="AB13" s="202">
        <v>45115</v>
      </c>
      <c r="AC13" s="202">
        <f>AB13+6</f>
        <v>45121</v>
      </c>
      <c r="AD13" s="321">
        <f>AC13-AB13+1</f>
        <v>7</v>
      </c>
      <c r="AJ13" s="495"/>
      <c r="AK13" s="239"/>
      <c r="AL13" s="372"/>
    </row>
    <row r="14" spans="1:38" s="177" customFormat="1" ht="12.6" customHeight="1">
      <c r="A14" s="155" t="s">
        <v>354</v>
      </c>
      <c r="B14" s="156" t="s">
        <v>127</v>
      </c>
      <c r="C14" s="156" t="s">
        <v>521</v>
      </c>
      <c r="D14" s="156" t="s">
        <v>164</v>
      </c>
      <c r="E14" s="155" t="s">
        <v>502</v>
      </c>
      <c r="F14" s="48" t="s">
        <v>70</v>
      </c>
      <c r="G14" s="157" t="s">
        <v>155</v>
      </c>
      <c r="H14" s="155" t="s">
        <v>317</v>
      </c>
      <c r="I14" s="48" t="s">
        <v>118</v>
      </c>
      <c r="J14" s="164" t="s">
        <v>526</v>
      </c>
      <c r="K14" s="45">
        <f>S14/R14*1000</f>
        <v>2500000</v>
      </c>
      <c r="L14" s="42">
        <v>2E-3</v>
      </c>
      <c r="M14" s="43">
        <f>K14*L14</f>
        <v>5000</v>
      </c>
      <c r="N14" s="46" t="s">
        <v>223</v>
      </c>
      <c r="O14" s="43" t="s">
        <v>223</v>
      </c>
      <c r="P14" s="158">
        <f>S14/K14*1000</f>
        <v>80</v>
      </c>
      <c r="Q14" s="158">
        <f t="shared" ref="Q14" si="6">S14/M14</f>
        <v>40</v>
      </c>
      <c r="R14" s="166">
        <v>80</v>
      </c>
      <c r="S14" s="145">
        <v>200000</v>
      </c>
      <c r="T14" s="46">
        <v>1</v>
      </c>
      <c r="U14" s="45">
        <f>X14*W14</f>
        <v>520000</v>
      </c>
      <c r="V14" s="45">
        <f>(1-T14)*U14</f>
        <v>0</v>
      </c>
      <c r="W14" s="45">
        <v>1300000</v>
      </c>
      <c r="X14" s="46">
        <v>0.4</v>
      </c>
      <c r="Y14" s="51"/>
      <c r="Z14" s="46" t="e">
        <f>V14/Y14</f>
        <v>#DIV/0!</v>
      </c>
      <c r="AA14" s="47">
        <v>3</v>
      </c>
      <c r="AB14" s="202">
        <v>45115</v>
      </c>
      <c r="AC14" s="202">
        <f t="shared" ref="AC14" si="7">AB14+6</f>
        <v>45121</v>
      </c>
      <c r="AD14" s="321">
        <f t="shared" ref="AD14" si="8">AC14-AB14+1</f>
        <v>7</v>
      </c>
      <c r="AJ14" s="371"/>
      <c r="AK14" s="239"/>
      <c r="AL14" s="372"/>
    </row>
    <row r="15" spans="1:38">
      <c r="S15" s="67"/>
    </row>
  </sheetData>
  <conditionalFormatting sqref="X4:X8 X10:X14">
    <cfRule type="cellIs" dxfId="0" priority="1" operator="greaterThan">
      <formul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733D-8584-4420-9EB0-C321B88F5B3B}">
  <dimension ref="A1"/>
  <sheetViews>
    <sheetView topLeftCell="A4" workbookViewId="0">
      <selection activeCell="L10" sqref="L10"/>
    </sheetView>
  </sheetViews>
  <sheetFormatPr defaultRowHeight="14.4"/>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3D4C8-7CA7-469C-8B83-FAFF604822AD}">
  <dimension ref="A1:X35"/>
  <sheetViews>
    <sheetView showGridLines="0" zoomScale="90" zoomScaleNormal="90" workbookViewId="0">
      <selection activeCell="D1" sqref="D1:J6"/>
    </sheetView>
  </sheetViews>
  <sheetFormatPr defaultColWidth="8.6640625" defaultRowHeight="13.8"/>
  <cols>
    <col min="1" max="1" width="42.33203125" style="266" bestFit="1" customWidth="1"/>
    <col min="2" max="2" width="8.6640625" style="266"/>
    <col min="3" max="3" width="15.88671875" style="266" bestFit="1" customWidth="1"/>
    <col min="4" max="23" width="9.44140625" style="266" bestFit="1" customWidth="1"/>
    <col min="24" max="24" width="15" style="266" bestFit="1" customWidth="1"/>
    <col min="25" max="16384" width="8.6640625" style="266"/>
  </cols>
  <sheetData>
    <row r="1" spans="3:24" ht="14.4" customHeight="1">
      <c r="D1" s="821" t="s">
        <v>527</v>
      </c>
      <c r="E1" s="821"/>
      <c r="F1" s="821"/>
      <c r="G1" s="821"/>
      <c r="H1" s="821"/>
      <c r="I1" s="821"/>
      <c r="J1" s="821"/>
      <c r="K1" s="751"/>
      <c r="L1" s="820" t="s">
        <v>191</v>
      </c>
      <c r="M1" s="820"/>
      <c r="N1" s="820"/>
      <c r="O1" s="820"/>
      <c r="P1" s="820"/>
      <c r="Q1" s="820"/>
      <c r="R1" s="820"/>
      <c r="S1" s="820"/>
      <c r="T1" s="820"/>
      <c r="U1" s="820"/>
      <c r="V1" s="819" t="s">
        <v>528</v>
      </c>
      <c r="W1" s="819"/>
    </row>
    <row r="2" spans="3:24">
      <c r="C2" s="138"/>
      <c r="D2" s="337" t="s">
        <v>172</v>
      </c>
      <c r="E2" s="337" t="s">
        <v>529</v>
      </c>
      <c r="F2" s="337" t="s">
        <v>530</v>
      </c>
      <c r="G2" s="337" t="s">
        <v>531</v>
      </c>
      <c r="H2" s="337" t="s">
        <v>532</v>
      </c>
      <c r="I2" s="337" t="s">
        <v>533</v>
      </c>
      <c r="J2" s="337" t="s">
        <v>534</v>
      </c>
      <c r="K2" s="337" t="s">
        <v>535</v>
      </c>
      <c r="L2" s="337" t="s">
        <v>536</v>
      </c>
      <c r="M2" s="337" t="s">
        <v>537</v>
      </c>
      <c r="N2" s="337" t="s">
        <v>538</v>
      </c>
      <c r="O2" s="337" t="s">
        <v>539</v>
      </c>
      <c r="P2" s="337" t="s">
        <v>540</v>
      </c>
      <c r="Q2" s="337" t="s">
        <v>541</v>
      </c>
      <c r="R2" s="337" t="s">
        <v>542</v>
      </c>
      <c r="S2" s="337" t="s">
        <v>543</v>
      </c>
      <c r="T2" s="337" t="s">
        <v>544</v>
      </c>
      <c r="U2" s="337" t="s">
        <v>545</v>
      </c>
      <c r="V2" s="337" t="s">
        <v>546</v>
      </c>
      <c r="W2" s="337" t="s">
        <v>547</v>
      </c>
    </row>
    <row r="3" spans="3:24">
      <c r="C3" s="338" t="s">
        <v>12</v>
      </c>
      <c r="D3" s="738">
        <f>'Media Plan Phase 1'!AY71</f>
        <v>6969677.1243422143</v>
      </c>
      <c r="E3" s="738">
        <f>'Media Plan Phase 1'!AY74</f>
        <v>18917695.051786009</v>
      </c>
      <c r="F3" s="738">
        <f>'Media Plan Phase 1'!AY74</f>
        <v>18917695.051786009</v>
      </c>
      <c r="G3" s="738">
        <f>'Media Plan Phase 1'!AY74</f>
        <v>18917695.051786009</v>
      </c>
      <c r="H3" s="738">
        <f>'Media Plan Phase 1'!AY74</f>
        <v>18917695.051786009</v>
      </c>
      <c r="I3" s="738">
        <f>'Media Plan Phase 1'!AY74</f>
        <v>18917695.051786009</v>
      </c>
      <c r="J3" s="738">
        <f>'Media Plan Phase 1'!AY74</f>
        <v>18917695.051786009</v>
      </c>
      <c r="K3" s="738">
        <f>'Media Plan Phase 1'!AY74</f>
        <v>18917695.051786009</v>
      </c>
      <c r="L3" s="738">
        <f>'Media Plan Phase 2'!AI103</f>
        <v>28104604.444601201</v>
      </c>
      <c r="M3" s="738">
        <f>'Media Plan Phase 2'!AI103</f>
        <v>28104604.444601201</v>
      </c>
      <c r="N3" s="738">
        <f>'Media Plan Phase 2'!AI103</f>
        <v>28104604.444601201</v>
      </c>
      <c r="O3" s="738">
        <f>'Media Plan Phase 2'!AI103</f>
        <v>28104604.444601201</v>
      </c>
      <c r="P3" s="738">
        <f>'Media Plan Phase 2'!AI103</f>
        <v>28104604.444601201</v>
      </c>
      <c r="Q3" s="738">
        <f>'Media Plan Phase 2'!AI103</f>
        <v>28104604.444601201</v>
      </c>
      <c r="R3" s="738">
        <f>'Media Plan Phase 2'!AI103</f>
        <v>28104604.444601201</v>
      </c>
      <c r="S3" s="738">
        <f>'Media Plan Phase 2'!AI103</f>
        <v>28104604.444601201</v>
      </c>
      <c r="T3" s="738">
        <f>'Media Plan Phase 2'!AI103</f>
        <v>28104604.444601201</v>
      </c>
      <c r="U3" s="738">
        <f>'Media Plan Phase 2'!AI103</f>
        <v>28104604.444601201</v>
      </c>
      <c r="V3" s="738">
        <f>'Media Plan Phase3'!BB53</f>
        <v>1608562800.3776841</v>
      </c>
      <c r="W3" s="738">
        <f>'Media Plan Phase3'!BC53</f>
        <v>464630530.85118508</v>
      </c>
      <c r="X3" s="339"/>
    </row>
    <row r="4" spans="3:24">
      <c r="C4" s="338" t="s">
        <v>350</v>
      </c>
      <c r="D4" s="741">
        <f>'Media Plan Phase 1'!BA71</f>
        <v>2775730.4881575946</v>
      </c>
      <c r="E4" s="741">
        <f>'Media Plan Phase 1'!BA74</f>
        <v>7534125.6107134698</v>
      </c>
      <c r="F4" s="741">
        <f>'Media Plan Phase 1'!BA74</f>
        <v>7534125.6107134698</v>
      </c>
      <c r="G4" s="741">
        <f>'Media Plan Phase 1'!BA74</f>
        <v>7534125.6107134698</v>
      </c>
      <c r="H4" s="741">
        <f>'Media Plan Phase 1'!BA74</f>
        <v>7534125.6107134698</v>
      </c>
      <c r="I4" s="741">
        <f>'Media Plan Phase 1'!BA74</f>
        <v>7534125.6107134698</v>
      </c>
      <c r="J4" s="741">
        <f>'Media Plan Phase 1'!BA74</f>
        <v>7534125.6107134698</v>
      </c>
      <c r="K4" s="741">
        <f>'Media Plan Phase 1'!BA74</f>
        <v>7534125.6107134698</v>
      </c>
      <c r="L4" s="737">
        <f>'Media Plan Phase 2'!AK103</f>
        <v>12129122.110528655</v>
      </c>
      <c r="M4" s="737">
        <f>'Media Plan Phase 2'!AK103</f>
        <v>12129122.110528655</v>
      </c>
      <c r="N4" s="737">
        <f>'Media Plan Phase 2'!AK103</f>
        <v>12129122.110528655</v>
      </c>
      <c r="O4" s="737">
        <f>'Media Plan Phase 2'!AK103</f>
        <v>12129122.110528655</v>
      </c>
      <c r="P4" s="737">
        <f>'Media Plan Phase 2'!AK103</f>
        <v>12129122.110528655</v>
      </c>
      <c r="Q4" s="737">
        <f>'Media Plan Phase 2'!AK103</f>
        <v>12129122.110528655</v>
      </c>
      <c r="R4" s="737">
        <f>'Media Plan Phase 2'!AK103</f>
        <v>12129122.110528655</v>
      </c>
      <c r="S4" s="737">
        <f>'Media Plan Phase 2'!AK103</f>
        <v>12129122.110528655</v>
      </c>
      <c r="T4" s="737">
        <f>'Media Plan Phase 2'!AK103</f>
        <v>12129122.110528655</v>
      </c>
      <c r="U4" s="737">
        <f>'Media Plan Phase 2'!AK103</f>
        <v>12129122.110528655</v>
      </c>
      <c r="V4" s="738">
        <f>'Media Plan Phase3'!BH53</f>
        <v>18713353.009221591</v>
      </c>
      <c r="W4" s="738">
        <f>'Media Plan Phase3'!BI53</f>
        <v>18713353.009221591</v>
      </c>
      <c r="X4" s="339"/>
    </row>
    <row r="5" spans="3:24">
      <c r="C5" s="338" t="s">
        <v>18</v>
      </c>
      <c r="D5" s="741">
        <f>'Media Plan Phase 1'!AZ71</f>
        <v>69727.974899135312</v>
      </c>
      <c r="E5" s="741">
        <f>'Media Plan Phase 1'!AZ74</f>
        <v>189261.64615479583</v>
      </c>
      <c r="F5" s="741">
        <f>'Media Plan Phase 1'!AZ74</f>
        <v>189261.64615479583</v>
      </c>
      <c r="G5" s="741">
        <f>'Media Plan Phase 1'!AZ74</f>
        <v>189261.64615479583</v>
      </c>
      <c r="H5" s="741">
        <f>'Media Plan Phase 1'!AZ74</f>
        <v>189261.64615479583</v>
      </c>
      <c r="I5" s="741">
        <f>'Media Plan Phase 1'!AZ74</f>
        <v>189261.64615479583</v>
      </c>
      <c r="J5" s="741">
        <f>'Media Plan Phase 1'!AZ74</f>
        <v>189261.64615479583</v>
      </c>
      <c r="K5" s="741">
        <f>'Media Plan Phase 1'!AZ74</f>
        <v>189261.64615479583</v>
      </c>
      <c r="L5" s="737">
        <f>'Media Plan Phase 2'!AJ103</f>
        <v>280910.27575793938</v>
      </c>
      <c r="M5" s="737">
        <f>'Media Plan Phase 2'!AJ103</f>
        <v>280910.27575793938</v>
      </c>
      <c r="N5" s="737">
        <f>'Media Plan Phase 2'!AJ103</f>
        <v>280910.27575793938</v>
      </c>
      <c r="O5" s="737">
        <f>'Media Plan Phase 2'!AJ103</f>
        <v>280910.27575793938</v>
      </c>
      <c r="P5" s="737">
        <f>'Media Plan Phase 2'!AJ103</f>
        <v>280910.27575793938</v>
      </c>
      <c r="Q5" s="737">
        <f>'Media Plan Phase 2'!AJ103</f>
        <v>280910.27575793938</v>
      </c>
      <c r="R5" s="737">
        <f>'Media Plan Phase 2'!AJ103</f>
        <v>280910.27575793938</v>
      </c>
      <c r="S5" s="737">
        <f>'Media Plan Phase 2'!AJ103</f>
        <v>280910.27575793938</v>
      </c>
      <c r="T5" s="737">
        <f>'Media Plan Phase 2'!AJ103</f>
        <v>280910.27575793938</v>
      </c>
      <c r="U5" s="737">
        <f>'Media Plan Phase 2'!AJ103</f>
        <v>280910.27575793938</v>
      </c>
      <c r="V5" s="738">
        <f>'Media Plan Phase3'!BE53</f>
        <v>15143031.747115022</v>
      </c>
      <c r="W5" s="738">
        <f>'Media Plan Phase3'!BF53</f>
        <v>5717860.2272727275</v>
      </c>
      <c r="X5" s="287"/>
    </row>
    <row r="6" spans="3:24">
      <c r="D6" s="802">
        <v>45475</v>
      </c>
      <c r="E6" s="802">
        <v>45476</v>
      </c>
      <c r="F6" s="802">
        <v>45477</v>
      </c>
      <c r="G6" s="802">
        <v>45478</v>
      </c>
      <c r="H6" s="802">
        <v>45479</v>
      </c>
      <c r="I6" s="802">
        <v>45480</v>
      </c>
      <c r="J6" s="802">
        <v>45481</v>
      </c>
      <c r="K6" s="802">
        <v>45482</v>
      </c>
      <c r="L6" s="802">
        <v>45483</v>
      </c>
      <c r="M6" s="802">
        <v>45484</v>
      </c>
      <c r="N6" s="802">
        <v>45485</v>
      </c>
      <c r="O6" s="802">
        <v>45486</v>
      </c>
      <c r="P6" s="802">
        <v>45487</v>
      </c>
      <c r="Q6" s="802">
        <v>45488</v>
      </c>
      <c r="R6" s="802">
        <v>45489</v>
      </c>
      <c r="S6" s="802">
        <v>45490</v>
      </c>
      <c r="T6" s="802">
        <v>45491</v>
      </c>
      <c r="U6" s="802">
        <v>45492</v>
      </c>
      <c r="V6" s="802">
        <v>45493</v>
      </c>
      <c r="W6" s="802">
        <v>45494</v>
      </c>
    </row>
    <row r="8" spans="3:24">
      <c r="U8" s="739">
        <v>2023</v>
      </c>
      <c r="V8" s="282">
        <v>1535508951.2335107</v>
      </c>
      <c r="W8" s="282">
        <v>417951371.33580703</v>
      </c>
    </row>
    <row r="9" spans="3:24">
      <c r="C9" s="141" t="s">
        <v>548</v>
      </c>
      <c r="D9" s="141" t="s">
        <v>172</v>
      </c>
      <c r="E9" s="141" t="s">
        <v>529</v>
      </c>
    </row>
    <row r="10" spans="3:24">
      <c r="C10" s="679" t="s">
        <v>356</v>
      </c>
      <c r="D10" s="340"/>
      <c r="E10" s="138"/>
    </row>
    <row r="11" spans="3:24">
      <c r="C11" s="679" t="s">
        <v>363</v>
      </c>
      <c r="D11" s="340"/>
      <c r="E11" s="138"/>
      <c r="M11" s="266" t="s">
        <v>549</v>
      </c>
      <c r="N11" s="266" t="s">
        <v>268</v>
      </c>
      <c r="O11" s="266" t="e">
        <f>M11-N11+1</f>
        <v>#VALUE!</v>
      </c>
    </row>
    <row r="12" spans="3:24">
      <c r="C12" s="413" t="s">
        <v>74</v>
      </c>
      <c r="D12" s="138"/>
      <c r="E12" s="340"/>
    </row>
    <row r="13" spans="3:24">
      <c r="C13" s="680" t="s">
        <v>76</v>
      </c>
      <c r="D13" s="340"/>
      <c r="E13" s="138"/>
    </row>
    <row r="14" spans="3:24">
      <c r="C14" s="681" t="s">
        <v>368</v>
      </c>
      <c r="D14" s="340"/>
      <c r="E14" s="138"/>
    </row>
    <row r="15" spans="3:24">
      <c r="C15" s="677" t="s">
        <v>371</v>
      </c>
      <c r="D15" s="340"/>
      <c r="E15" s="138"/>
    </row>
    <row r="16" spans="3:24">
      <c r="C16" s="679" t="s">
        <v>374</v>
      </c>
      <c r="D16" s="340"/>
      <c r="E16" s="138"/>
    </row>
    <row r="17" spans="3:24">
      <c r="C17" s="678" t="s">
        <v>377</v>
      </c>
      <c r="E17" s="340"/>
    </row>
    <row r="18" spans="3:24">
      <c r="C18" s="679" t="s">
        <v>380</v>
      </c>
      <c r="D18" s="340"/>
      <c r="E18" s="138"/>
    </row>
    <row r="19" spans="3:24">
      <c r="C19" s="679" t="s">
        <v>380</v>
      </c>
      <c r="E19" s="340"/>
    </row>
    <row r="20" spans="3:24">
      <c r="C20" s="679" t="s">
        <v>384</v>
      </c>
      <c r="D20" s="340"/>
      <c r="E20" s="138"/>
      <c r="X20" s="259"/>
    </row>
    <row r="21" spans="3:24">
      <c r="C21" s="153" t="s">
        <v>387</v>
      </c>
      <c r="D21" s="138"/>
      <c r="E21" s="340"/>
    </row>
    <row r="22" spans="3:24">
      <c r="C22" s="680" t="s">
        <v>391</v>
      </c>
      <c r="D22" s="340"/>
      <c r="E22" s="138"/>
    </row>
    <row r="23" spans="3:24">
      <c r="C23" s="679" t="s">
        <v>394</v>
      </c>
      <c r="D23" s="340"/>
      <c r="E23" s="138"/>
    </row>
    <row r="24" spans="3:24">
      <c r="C24" s="679" t="s">
        <v>180</v>
      </c>
      <c r="D24" s="340"/>
      <c r="E24" s="138"/>
    </row>
    <row r="25" spans="3:24">
      <c r="C25" s="153" t="s">
        <v>209</v>
      </c>
      <c r="D25" s="340"/>
      <c r="E25" s="138"/>
    </row>
    <row r="26" spans="3:24">
      <c r="C26" s="153" t="s">
        <v>550</v>
      </c>
      <c r="D26" s="340"/>
      <c r="E26" s="138"/>
    </row>
    <row r="27" spans="3:24">
      <c r="C27" s="153" t="s">
        <v>551</v>
      </c>
      <c r="D27" s="340"/>
      <c r="E27" s="138"/>
    </row>
    <row r="28" spans="3:24">
      <c r="C28" s="679" t="s">
        <v>484</v>
      </c>
      <c r="D28" s="340"/>
      <c r="E28" s="138"/>
    </row>
    <row r="29" spans="3:24">
      <c r="C29" s="679" t="s">
        <v>400</v>
      </c>
      <c r="D29" s="340"/>
      <c r="E29" s="138"/>
    </row>
    <row r="30" spans="3:24">
      <c r="C30" s="682" t="s">
        <v>403</v>
      </c>
      <c r="D30" s="340"/>
      <c r="E30" s="138"/>
    </row>
    <row r="31" spans="3:24">
      <c r="C31" s="153" t="s">
        <v>552</v>
      </c>
      <c r="D31" s="138"/>
      <c r="E31" s="340"/>
    </row>
    <row r="32" spans="3:24">
      <c r="C32" s="153" t="s">
        <v>408</v>
      </c>
      <c r="E32" s="340"/>
    </row>
    <row r="33" spans="1:5">
      <c r="C33" s="413" t="s">
        <v>410</v>
      </c>
      <c r="D33" s="340"/>
      <c r="E33" s="138"/>
    </row>
    <row r="35" spans="1:5">
      <c r="A35" s="332" t="s">
        <v>553</v>
      </c>
    </row>
  </sheetData>
  <mergeCells count="3">
    <mergeCell ref="V1:W1"/>
    <mergeCell ref="L1:U1"/>
    <mergeCell ref="D1:J1"/>
  </mergeCells>
  <phoneticPr fontId="13"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B885-A9D7-453F-948B-142EBABD0062}">
  <dimension ref="A2:H29"/>
  <sheetViews>
    <sheetView showGridLines="0" zoomScale="80" zoomScaleNormal="80" workbookViewId="0">
      <selection activeCell="I19" sqref="I19"/>
    </sheetView>
  </sheetViews>
  <sheetFormatPr defaultRowHeight="14.4"/>
  <cols>
    <col min="1" max="1" width="17.109375" bestFit="1" customWidth="1"/>
    <col min="2" max="2" width="7.6640625" bestFit="1" customWidth="1"/>
    <col min="3" max="3" width="7.44140625" bestFit="1" customWidth="1"/>
    <col min="4" max="4" width="7.88671875" bestFit="1" customWidth="1"/>
    <col min="5" max="5" width="11.44140625" bestFit="1" customWidth="1"/>
    <col min="6" max="6" width="12.5546875" bestFit="1" customWidth="1"/>
    <col min="7" max="7" width="9.6640625" customWidth="1"/>
    <col min="8" max="8" width="8.109375" customWidth="1"/>
  </cols>
  <sheetData>
    <row r="2" spans="1:8">
      <c r="A2" s="431" t="s">
        <v>554</v>
      </c>
      <c r="B2" s="432"/>
      <c r="C2" s="432"/>
      <c r="D2" s="432"/>
      <c r="E2" s="362">
        <v>0.6</v>
      </c>
      <c r="F2" s="362">
        <v>0.3</v>
      </c>
      <c r="G2" s="362">
        <v>0.1</v>
      </c>
    </row>
    <row r="3" spans="1:8" ht="43.2">
      <c r="A3" s="433" t="s">
        <v>555</v>
      </c>
      <c r="B3" s="433" t="s">
        <v>15</v>
      </c>
      <c r="C3" s="433" t="s">
        <v>556</v>
      </c>
      <c r="D3" s="433" t="s">
        <v>557</v>
      </c>
      <c r="E3" s="434" t="s">
        <v>558</v>
      </c>
      <c r="F3" s="435" t="s">
        <v>559</v>
      </c>
      <c r="G3" s="435" t="s">
        <v>560</v>
      </c>
      <c r="H3" s="435" t="s">
        <v>561</v>
      </c>
    </row>
    <row r="4" spans="1:8">
      <c r="A4" s="436" t="s">
        <v>562</v>
      </c>
      <c r="B4" s="437">
        <v>25.555</v>
      </c>
      <c r="C4" s="438">
        <v>1045.367</v>
      </c>
      <c r="D4" s="439">
        <v>8.673</v>
      </c>
      <c r="E4" s="440">
        <f>B4/MAX(B$4:B9)%</f>
        <v>100</v>
      </c>
      <c r="F4" s="440">
        <f t="shared" ref="F4:G9" si="0">C4/MAX(C$4:C$9)%</f>
        <v>97.697850467289726</v>
      </c>
      <c r="G4" s="440">
        <f t="shared" si="0"/>
        <v>43.615790797083221</v>
      </c>
      <c r="H4" s="440">
        <f t="shared" ref="H4:H9" si="1">(E4*$E$2)+(F4*$F$2)+(G4*$G$2)</f>
        <v>93.67093421989523</v>
      </c>
    </row>
    <row r="5" spans="1:8">
      <c r="A5" s="463" t="s">
        <v>563</v>
      </c>
      <c r="B5" s="459">
        <v>19.2</v>
      </c>
      <c r="C5" s="460">
        <v>1070</v>
      </c>
      <c r="D5" s="461">
        <v>8</v>
      </c>
      <c r="E5" s="441">
        <f>B5/MAX(B$4:B10)%</f>
        <v>75.132068088436696</v>
      </c>
      <c r="F5" s="441">
        <f t="shared" si="0"/>
        <v>100</v>
      </c>
      <c r="G5" s="441">
        <f t="shared" si="0"/>
        <v>40.231330148353024</v>
      </c>
      <c r="H5" s="441">
        <f t="shared" si="1"/>
        <v>79.102373867897313</v>
      </c>
    </row>
    <row r="6" spans="1:8">
      <c r="A6" s="458" t="s">
        <v>507</v>
      </c>
      <c r="B6" s="459">
        <v>16.916</v>
      </c>
      <c r="C6" s="460">
        <v>999.26599999999996</v>
      </c>
      <c r="D6" s="461">
        <v>19.885000000000002</v>
      </c>
      <c r="E6" s="441">
        <f>B6/MAX(B$4:B12)%</f>
        <v>66.194482488749756</v>
      </c>
      <c r="F6" s="441">
        <f t="shared" si="0"/>
        <v>93.389345794392526</v>
      </c>
      <c r="G6" s="441">
        <f t="shared" si="0"/>
        <v>100</v>
      </c>
      <c r="H6" s="441">
        <f t="shared" si="1"/>
        <v>77.733493231567607</v>
      </c>
    </row>
    <row r="7" spans="1:8">
      <c r="A7" s="442" t="s">
        <v>564</v>
      </c>
      <c r="B7" s="443">
        <v>14.4</v>
      </c>
      <c r="C7" s="444">
        <v>1039</v>
      </c>
      <c r="D7" s="445">
        <v>16.3</v>
      </c>
      <c r="E7" s="441">
        <f>B7/MAX(B$4:B13)%</f>
        <v>56.349051066327533</v>
      </c>
      <c r="F7" s="441">
        <f t="shared" si="0"/>
        <v>97.10280373831776</v>
      </c>
      <c r="G7" s="441">
        <f t="shared" si="0"/>
        <v>81.971335177269296</v>
      </c>
      <c r="H7" s="441">
        <f t="shared" si="1"/>
        <v>71.137405279018765</v>
      </c>
    </row>
    <row r="8" spans="1:8">
      <c r="A8" s="453" t="s">
        <v>565</v>
      </c>
      <c r="B8" s="454">
        <v>18.600000000000001</v>
      </c>
      <c r="C8" s="455">
        <v>960</v>
      </c>
      <c r="D8" s="456">
        <v>5.5</v>
      </c>
      <c r="E8" s="440">
        <f>B8/MAX(B$4:B14)%</f>
        <v>57.139346276726478</v>
      </c>
      <c r="F8" s="440">
        <f t="shared" si="0"/>
        <v>89.719626168224309</v>
      </c>
      <c r="G8" s="440">
        <f t="shared" si="0"/>
        <v>27.659039476992703</v>
      </c>
      <c r="H8" s="440">
        <f t="shared" si="1"/>
        <v>63.96539956420245</v>
      </c>
    </row>
    <row r="9" spans="1:8">
      <c r="A9" s="446" t="s">
        <v>566</v>
      </c>
      <c r="B9" s="447">
        <v>14.3</v>
      </c>
      <c r="C9" s="448">
        <v>1000</v>
      </c>
      <c r="D9" s="449">
        <v>5.5</v>
      </c>
      <c r="E9" s="441">
        <f>B9/MAX(B$4:B14)%</f>
        <v>43.929712460063904</v>
      </c>
      <c r="F9" s="441">
        <f t="shared" si="0"/>
        <v>93.45794392523365</v>
      </c>
      <c r="G9" s="441">
        <f t="shared" si="0"/>
        <v>27.659039476992703</v>
      </c>
      <c r="H9" s="441">
        <f t="shared" si="1"/>
        <v>57.161114601307709</v>
      </c>
    </row>
    <row r="12" spans="1:8">
      <c r="A12" s="431" t="s">
        <v>567</v>
      </c>
      <c r="B12" s="432"/>
      <c r="C12" s="432"/>
      <c r="D12" s="432"/>
      <c r="E12" s="362">
        <v>0.6</v>
      </c>
      <c r="F12" s="362">
        <v>0.3</v>
      </c>
      <c r="G12" s="362">
        <v>0.1</v>
      </c>
    </row>
    <row r="13" spans="1:8" ht="43.2">
      <c r="A13" s="433" t="s">
        <v>555</v>
      </c>
      <c r="B13" s="433" t="s">
        <v>15</v>
      </c>
      <c r="C13" s="433" t="s">
        <v>556</v>
      </c>
      <c r="D13" s="433" t="s">
        <v>557</v>
      </c>
      <c r="E13" s="434" t="s">
        <v>558</v>
      </c>
      <c r="F13" s="435" t="s">
        <v>559</v>
      </c>
      <c r="G13" s="435" t="s">
        <v>560</v>
      </c>
      <c r="H13" s="435" t="s">
        <v>561</v>
      </c>
    </row>
    <row r="14" spans="1:8">
      <c r="A14" s="436" t="s">
        <v>568</v>
      </c>
      <c r="B14" s="437">
        <v>32.552</v>
      </c>
      <c r="C14" s="438">
        <v>1323.123</v>
      </c>
      <c r="D14" s="439">
        <v>13.583</v>
      </c>
      <c r="E14" s="440">
        <f>B14/MAX(B$14:B18)%</f>
        <v>100</v>
      </c>
      <c r="F14" s="440">
        <f t="shared" ref="F14:G18" si="2">C14/MAX(C$14:C$18)%</f>
        <v>100</v>
      </c>
      <c r="G14" s="440">
        <f t="shared" si="2"/>
        <v>100</v>
      </c>
      <c r="H14" s="440">
        <f>(E14*$E$12)+(F14*$F$12)+(G14*$G$12)</f>
        <v>100</v>
      </c>
    </row>
    <row r="15" spans="1:8">
      <c r="A15" s="463" t="s">
        <v>569</v>
      </c>
      <c r="B15" s="459">
        <v>15.888999999999999</v>
      </c>
      <c r="C15" s="460">
        <v>1184.222</v>
      </c>
      <c r="D15" s="461">
        <v>3.4430000000000001</v>
      </c>
      <c r="E15" s="441">
        <f>B15/MAX(B$14:B20)%</f>
        <v>48.811132956500373</v>
      </c>
      <c r="F15" s="441">
        <f t="shared" si="2"/>
        <v>89.502034202413526</v>
      </c>
      <c r="G15" s="441">
        <f t="shared" si="2"/>
        <v>25.347861297209747</v>
      </c>
      <c r="H15" s="441">
        <f t="shared" ref="H15:H18" si="3">(E15*$E$12)+(F15*$F$12)+(G15*$G$12)</f>
        <v>58.672076164345256</v>
      </c>
    </row>
    <row r="16" spans="1:8">
      <c r="A16" s="465" t="s">
        <v>570</v>
      </c>
      <c r="B16" s="466">
        <v>14.884</v>
      </c>
      <c r="C16" s="467">
        <v>1210.5989999999999</v>
      </c>
      <c r="D16" s="468">
        <v>6.3470000000000004</v>
      </c>
      <c r="E16" s="469">
        <f>B16/MAX(B$14:B21)%</f>
        <v>45.723765052838537</v>
      </c>
      <c r="F16" s="469">
        <f t="shared" si="2"/>
        <v>91.495575241304095</v>
      </c>
      <c r="G16" s="469">
        <f t="shared" si="2"/>
        <v>46.727527055878674</v>
      </c>
      <c r="H16" s="440">
        <f t="shared" si="3"/>
        <v>59.555684309682221</v>
      </c>
    </row>
    <row r="17" spans="1:8">
      <c r="A17" s="446" t="s">
        <v>571</v>
      </c>
      <c r="B17" s="447">
        <v>13.754</v>
      </c>
      <c r="C17" s="448">
        <v>1254.6030000000001</v>
      </c>
      <c r="D17" s="449">
        <v>3.3210000000000002</v>
      </c>
      <c r="E17" s="4">
        <f>B17/MAX(B$14:B22)%</f>
        <v>42.25239616613419</v>
      </c>
      <c r="F17" s="4">
        <f t="shared" si="2"/>
        <v>94.821343140433655</v>
      </c>
      <c r="G17" s="4">
        <f t="shared" si="2"/>
        <v>24.449679746742252</v>
      </c>
      <c r="H17" s="440">
        <f t="shared" si="3"/>
        <v>56.242808616484837</v>
      </c>
    </row>
    <row r="18" spans="1:8">
      <c r="A18" s="470" t="s">
        <v>182</v>
      </c>
      <c r="B18" s="471">
        <v>10.792999999999999</v>
      </c>
      <c r="C18" s="472">
        <v>1205.8530000000001</v>
      </c>
      <c r="D18" s="473">
        <v>2.4969999999999999</v>
      </c>
      <c r="E18" s="474">
        <f>B18/MAX(B$14:B23)%</f>
        <v>33.156180879823054</v>
      </c>
      <c r="F18" s="474">
        <f t="shared" si="2"/>
        <v>91.136878430803492</v>
      </c>
      <c r="G18" s="474">
        <f t="shared" si="2"/>
        <v>18.383273209158506</v>
      </c>
      <c r="H18" s="464">
        <f t="shared" si="3"/>
        <v>49.073099378050728</v>
      </c>
    </row>
    <row r="22" spans="1:8">
      <c r="A22" s="431" t="s">
        <v>572</v>
      </c>
      <c r="B22" s="432"/>
      <c r="C22" s="432"/>
      <c r="D22" s="432"/>
      <c r="E22" s="362">
        <v>0.45</v>
      </c>
      <c r="F22" s="362">
        <v>0.45</v>
      </c>
      <c r="G22" s="362">
        <v>0.1</v>
      </c>
    </row>
    <row r="23" spans="1:8" ht="43.2">
      <c r="A23" s="450" t="s">
        <v>555</v>
      </c>
      <c r="B23" s="450" t="s">
        <v>15</v>
      </c>
      <c r="C23" s="450" t="s">
        <v>556</v>
      </c>
      <c r="D23" s="450" t="s">
        <v>557</v>
      </c>
      <c r="E23" s="451" t="s">
        <v>558</v>
      </c>
      <c r="F23" s="452" t="s">
        <v>559</v>
      </c>
      <c r="G23" s="452" t="s">
        <v>560</v>
      </c>
      <c r="H23" s="452" t="s">
        <v>561</v>
      </c>
    </row>
    <row r="24" spans="1:8">
      <c r="A24" s="446" t="s">
        <v>506</v>
      </c>
      <c r="B24" s="447">
        <v>17.838999999999999</v>
      </c>
      <c r="C24" s="448">
        <v>539.94799999999998</v>
      </c>
      <c r="D24" s="449">
        <v>6.5229999999999997</v>
      </c>
      <c r="E24" s="4">
        <f>B24/MAX(B$24:B29)%</f>
        <v>100</v>
      </c>
      <c r="F24" s="4">
        <f>C24/MAX(C$24:C$29)%</f>
        <v>75.878661146665081</v>
      </c>
      <c r="G24" s="4">
        <f>D24/MAX(D$24:D$30)%</f>
        <v>63.713615940613401</v>
      </c>
      <c r="H24" s="4">
        <f>(E24*$E$22)+(F24*$F$22)+(G24*$G$22)</f>
        <v>85.516759110060633</v>
      </c>
    </row>
    <row r="25" spans="1:8">
      <c r="A25" s="453" t="s">
        <v>175</v>
      </c>
      <c r="B25" s="454">
        <v>10.763</v>
      </c>
      <c r="C25" s="455">
        <v>672.01700000000005</v>
      </c>
      <c r="D25" s="456">
        <v>10.238</v>
      </c>
      <c r="E25" s="457">
        <f>B25/MAX(B$24:B30)%</f>
        <v>60.334099445036159</v>
      </c>
      <c r="F25" s="457">
        <f t="shared" ref="F25:F29" si="4">C25/MAX(C$24:C$29)%</f>
        <v>94.438261143292394</v>
      </c>
      <c r="G25" s="457">
        <f t="shared" ref="G25:G29" si="5">D25/MAX(D$24:D$30)%</f>
        <v>100</v>
      </c>
      <c r="H25" s="4">
        <f t="shared" ref="H25:H29" si="6">(E25*$E$22)+(F25*$F$22)+(G25*$G$22)</f>
        <v>79.647562264747847</v>
      </c>
    </row>
    <row r="26" spans="1:8">
      <c r="A26" s="453" t="s">
        <v>573</v>
      </c>
      <c r="B26" s="454">
        <v>10.760999999999999</v>
      </c>
      <c r="C26" s="455">
        <v>693.94500000000005</v>
      </c>
      <c r="D26" s="456">
        <v>6.3369999999999997</v>
      </c>
      <c r="E26" s="457">
        <f>B26/MAX(B$24:B31)%</f>
        <v>60.322888054263132</v>
      </c>
      <c r="F26" s="457">
        <f t="shared" si="4"/>
        <v>97.519793590165179</v>
      </c>
      <c r="G26" s="457">
        <f t="shared" si="5"/>
        <v>61.896854854463761</v>
      </c>
      <c r="H26" s="4">
        <f t="shared" si="6"/>
        <v>77.21889222543912</v>
      </c>
    </row>
    <row r="27" spans="1:8">
      <c r="A27" s="462" t="s">
        <v>574</v>
      </c>
      <c r="B27" s="447">
        <v>10.294</v>
      </c>
      <c r="C27" s="448">
        <v>673.92899999999997</v>
      </c>
      <c r="D27" s="449">
        <v>3.395</v>
      </c>
      <c r="E27" s="4">
        <f>B27/MAX(B$24:B32)%</f>
        <v>57.705028308761705</v>
      </c>
      <c r="F27" s="4">
        <f t="shared" si="4"/>
        <v>94.70695368426378</v>
      </c>
      <c r="G27" s="4">
        <f t="shared" si="5"/>
        <v>33.160773588591525</v>
      </c>
      <c r="H27" s="4">
        <f t="shared" si="6"/>
        <v>71.901469255720613</v>
      </c>
    </row>
    <row r="28" spans="1:8">
      <c r="A28" s="446" t="s">
        <v>575</v>
      </c>
      <c r="B28" s="447">
        <v>8.8179999999999996</v>
      </c>
      <c r="C28" s="448">
        <v>711.59400000000005</v>
      </c>
      <c r="D28" s="449">
        <v>4.2750000000000004</v>
      </c>
      <c r="E28" s="4">
        <f>B28/MAX(B$24:B33)%</f>
        <v>49.431021918268961</v>
      </c>
      <c r="F28" s="4">
        <f t="shared" si="4"/>
        <v>100</v>
      </c>
      <c r="G28" s="4">
        <f t="shared" si="5"/>
        <v>41.756202383277987</v>
      </c>
      <c r="H28" s="4">
        <f t="shared" si="6"/>
        <v>71.419580101548831</v>
      </c>
    </row>
    <row r="29" spans="1:8">
      <c r="A29" s="446" t="s">
        <v>576</v>
      </c>
      <c r="B29" s="447">
        <v>7.085</v>
      </c>
      <c r="C29" s="448">
        <v>705.50900000000001</v>
      </c>
      <c r="D29" s="449">
        <v>6.3789999999999996</v>
      </c>
      <c r="E29" s="4">
        <f>B29/MAX(B$24:B34)%</f>
        <v>39.716351813442458</v>
      </c>
      <c r="F29" s="4">
        <f t="shared" si="4"/>
        <v>99.144877556584234</v>
      </c>
      <c r="G29" s="4">
        <f t="shared" si="5"/>
        <v>62.30709122875561</v>
      </c>
      <c r="H29" s="4">
        <f t="shared" si="6"/>
        <v>68.718262339387579</v>
      </c>
    </row>
  </sheetData>
  <conditionalFormatting sqref="H4:H9">
    <cfRule type="colorScale" priority="249">
      <colorScale>
        <cfvo type="min"/>
        <cfvo type="percentile" val="50"/>
        <cfvo type="max"/>
        <color rgb="FFF8696B"/>
        <color rgb="FFFFEB84"/>
        <color rgb="FF63BE7B"/>
      </colorScale>
    </cfRule>
  </conditionalFormatting>
  <conditionalFormatting sqref="H14:H18">
    <cfRule type="colorScale" priority="250">
      <colorScale>
        <cfvo type="min"/>
        <cfvo type="percentile" val="50"/>
        <cfvo type="max"/>
        <color rgb="FFF8696B"/>
        <color rgb="FFFFEB84"/>
        <color rgb="FF63BE7B"/>
      </colorScale>
    </cfRule>
  </conditionalFormatting>
  <conditionalFormatting sqref="H24:H29">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9B8B6-7FF4-4991-BFF6-11236C4E5043}">
  <dimension ref="A1:P47"/>
  <sheetViews>
    <sheetView showGridLines="0" workbookViewId="0">
      <selection activeCell="B12" sqref="B12"/>
    </sheetView>
  </sheetViews>
  <sheetFormatPr defaultRowHeight="14.4"/>
  <cols>
    <col min="1" max="1" width="8.44140625" bestFit="1" customWidth="1"/>
    <col min="2" max="2" width="23.88671875" bestFit="1" customWidth="1"/>
    <col min="3" max="3" width="11.6640625" bestFit="1" customWidth="1"/>
    <col min="4" max="4" width="9.44140625" bestFit="1" customWidth="1"/>
    <col min="5" max="5" width="11.6640625" bestFit="1" customWidth="1"/>
    <col min="6" max="6" width="9.44140625" bestFit="1" customWidth="1"/>
    <col min="7" max="7" width="8.109375" bestFit="1" customWidth="1"/>
    <col min="8" max="8" width="4.44140625" bestFit="1" customWidth="1"/>
    <col min="9" max="9" width="6.109375" bestFit="1" customWidth="1"/>
    <col min="10" max="10" width="3.88671875" bestFit="1" customWidth="1"/>
    <col min="11" max="11" width="3.5546875" bestFit="1" customWidth="1"/>
    <col min="12" max="12" width="4.88671875" bestFit="1" customWidth="1"/>
    <col min="13" max="13" width="10" bestFit="1" customWidth="1"/>
    <col min="14" max="14" width="8.33203125" bestFit="1" customWidth="1"/>
    <col min="15" max="15" width="9" bestFit="1" customWidth="1"/>
    <col min="16" max="16" width="12.88671875" bestFit="1" customWidth="1"/>
  </cols>
  <sheetData>
    <row r="1" spans="1:16">
      <c r="A1" s="231"/>
      <c r="B1" s="231"/>
      <c r="C1" s="231"/>
      <c r="D1" s="231"/>
      <c r="E1" s="231"/>
      <c r="F1" s="231"/>
      <c r="G1" s="292"/>
      <c r="H1" s="231"/>
      <c r="I1" s="293"/>
      <c r="J1" s="294"/>
      <c r="K1" s="294"/>
      <c r="L1" s="293"/>
      <c r="M1" s="295">
        <v>0.5</v>
      </c>
      <c r="N1" s="295">
        <v>0.3</v>
      </c>
      <c r="O1" s="295">
        <v>0.2</v>
      </c>
      <c r="P1" s="293"/>
    </row>
    <row r="2" spans="1:16">
      <c r="A2" s="296" t="s">
        <v>2</v>
      </c>
      <c r="B2" s="296" t="s">
        <v>93</v>
      </c>
      <c r="C2" s="296" t="s">
        <v>12</v>
      </c>
      <c r="D2" s="296" t="s">
        <v>14</v>
      </c>
      <c r="E2" s="296" t="s">
        <v>261</v>
      </c>
      <c r="F2" s="296" t="s">
        <v>18</v>
      </c>
      <c r="G2" s="297" t="s">
        <v>577</v>
      </c>
      <c r="H2" s="296" t="s">
        <v>118</v>
      </c>
      <c r="I2" s="296" t="s">
        <v>99</v>
      </c>
      <c r="J2" s="298" t="s">
        <v>167</v>
      </c>
      <c r="K2" s="298" t="s">
        <v>578</v>
      </c>
      <c r="L2" s="296" t="s">
        <v>579</v>
      </c>
      <c r="M2" s="296" t="s">
        <v>580</v>
      </c>
      <c r="N2" s="296" t="s">
        <v>581</v>
      </c>
      <c r="O2" s="296" t="s">
        <v>582</v>
      </c>
      <c r="P2" s="299" t="s">
        <v>583</v>
      </c>
    </row>
    <row r="3" spans="1:16">
      <c r="A3" s="232" t="s">
        <v>475</v>
      </c>
      <c r="B3" s="300" t="s">
        <v>180</v>
      </c>
      <c r="C3" s="181">
        <v>1000000000</v>
      </c>
      <c r="D3" s="301">
        <v>75000000</v>
      </c>
      <c r="E3" s="309">
        <v>17500000</v>
      </c>
      <c r="F3" s="181">
        <f>C3*I3</f>
        <v>13700000</v>
      </c>
      <c r="G3" s="303">
        <v>6046598</v>
      </c>
      <c r="H3" s="304">
        <f t="shared" ref="H3:H47" si="0">E3/C3*1000</f>
        <v>17.5</v>
      </c>
      <c r="I3" s="179">
        <v>1.37E-2</v>
      </c>
      <c r="J3" s="305">
        <f t="shared" ref="J3:J47" si="1">E3/F3</f>
        <v>1.2773722627737227</v>
      </c>
      <c r="K3" s="305">
        <f t="shared" ref="K3:K47" si="2">E3/G3</f>
        <v>2.8941894268479564</v>
      </c>
      <c r="L3" s="306">
        <f t="shared" ref="L3:L47" si="3">G3/F3</f>
        <v>0.44135751824817521</v>
      </c>
      <c r="M3" s="307">
        <f t="shared" ref="M3:M47" si="4">D3/MAX(D$3:D$47)*100</f>
        <v>100</v>
      </c>
      <c r="N3" s="307">
        <f t="shared" ref="N3:N47" si="5">MIN(K$3:K$47)/K3*100</f>
        <v>23.903735661458541</v>
      </c>
      <c r="O3" s="307">
        <f t="shared" ref="O3:O47" si="6">MIN(H$3:H$47)/H3*100</f>
        <v>82.707692307692312</v>
      </c>
      <c r="P3" s="308">
        <f t="shared" ref="P3:P47" si="7">SUMPRODUCT(M$1:O$1,M3:O3)</f>
        <v>73.712659159976027</v>
      </c>
    </row>
    <row r="4" spans="1:16">
      <c r="A4" s="232" t="s">
        <v>475</v>
      </c>
      <c r="B4" s="300" t="s">
        <v>377</v>
      </c>
      <c r="C4" s="181">
        <v>130000000</v>
      </c>
      <c r="D4" s="301">
        <v>23000000</v>
      </c>
      <c r="E4" s="302">
        <v>1881600.0000000002</v>
      </c>
      <c r="F4" s="181">
        <v>4896688</v>
      </c>
      <c r="G4" s="303">
        <v>2719785</v>
      </c>
      <c r="H4" s="304">
        <f t="shared" si="0"/>
        <v>14.473846153846155</v>
      </c>
      <c r="I4" s="179">
        <f t="shared" ref="I4:I47" si="8">F4/C4</f>
        <v>3.7666830769230768E-2</v>
      </c>
      <c r="J4" s="305">
        <f t="shared" si="1"/>
        <v>0.38425972820812765</v>
      </c>
      <c r="K4" s="305">
        <f t="shared" si="2"/>
        <v>0.69181939013561744</v>
      </c>
      <c r="L4" s="306">
        <f t="shared" si="3"/>
        <v>0.55543359103132561</v>
      </c>
      <c r="M4" s="307">
        <f t="shared" si="4"/>
        <v>30.666666666666664</v>
      </c>
      <c r="N4" s="307">
        <f t="shared" si="5"/>
        <v>100</v>
      </c>
      <c r="O4" s="307">
        <f t="shared" si="6"/>
        <v>100</v>
      </c>
      <c r="P4" s="308">
        <f t="shared" si="7"/>
        <v>65.333333333333329</v>
      </c>
    </row>
    <row r="5" spans="1:16">
      <c r="A5" s="232" t="s">
        <v>475</v>
      </c>
      <c r="B5" s="300" t="s">
        <v>74</v>
      </c>
      <c r="C5" s="181">
        <v>180000000</v>
      </c>
      <c r="D5" s="301">
        <v>60000000</v>
      </c>
      <c r="E5" s="310">
        <v>3500000</v>
      </c>
      <c r="F5" s="181">
        <v>1888681</v>
      </c>
      <c r="G5" s="303">
        <v>1120986</v>
      </c>
      <c r="H5" s="304">
        <f t="shared" si="0"/>
        <v>19.444444444444446</v>
      </c>
      <c r="I5" s="179">
        <f t="shared" si="8"/>
        <v>1.0492672222222223E-2</v>
      </c>
      <c r="J5" s="305">
        <f t="shared" si="1"/>
        <v>1.8531451314435843</v>
      </c>
      <c r="K5" s="305">
        <f t="shared" si="2"/>
        <v>3.1222513037629374</v>
      </c>
      <c r="L5" s="306">
        <f t="shared" si="3"/>
        <v>0.59352849951897646</v>
      </c>
      <c r="M5" s="307">
        <f t="shared" si="4"/>
        <v>80</v>
      </c>
      <c r="N5" s="307">
        <f t="shared" si="5"/>
        <v>22.157710024873293</v>
      </c>
      <c r="O5" s="307">
        <f t="shared" si="6"/>
        <v>74.43692307692308</v>
      </c>
      <c r="P5" s="308">
        <f t="shared" si="7"/>
        <v>61.534697622846608</v>
      </c>
    </row>
    <row r="6" spans="1:16">
      <c r="A6" s="232" t="s">
        <v>475</v>
      </c>
      <c r="B6" s="155" t="s">
        <v>584</v>
      </c>
      <c r="C6" s="181">
        <v>250000000</v>
      </c>
      <c r="D6" s="301">
        <v>52000000</v>
      </c>
      <c r="E6" s="309">
        <v>7000000</v>
      </c>
      <c r="F6" s="181">
        <v>2103185</v>
      </c>
      <c r="G6" s="303">
        <v>837463</v>
      </c>
      <c r="H6" s="304">
        <f t="shared" si="0"/>
        <v>28</v>
      </c>
      <c r="I6" s="179">
        <f t="shared" si="8"/>
        <v>8.4127400000000001E-3</v>
      </c>
      <c r="J6" s="305">
        <f t="shared" si="1"/>
        <v>3.3282854337587993</v>
      </c>
      <c r="K6" s="305">
        <f t="shared" si="2"/>
        <v>8.3585782297247757</v>
      </c>
      <c r="L6" s="306">
        <f t="shared" si="3"/>
        <v>0.39818798631599217</v>
      </c>
      <c r="M6" s="307">
        <f t="shared" si="4"/>
        <v>69.333333333333343</v>
      </c>
      <c r="N6" s="307">
        <f t="shared" si="5"/>
        <v>8.276759170302066</v>
      </c>
      <c r="O6" s="307">
        <f t="shared" si="6"/>
        <v>51.692307692307693</v>
      </c>
      <c r="P6" s="308">
        <f t="shared" si="7"/>
        <v>47.488155956218826</v>
      </c>
    </row>
    <row r="7" spans="1:16">
      <c r="A7" s="232" t="s">
        <v>475</v>
      </c>
      <c r="B7" s="300" t="s">
        <v>403</v>
      </c>
      <c r="C7" s="181">
        <v>55000000</v>
      </c>
      <c r="D7" s="301">
        <v>13000000</v>
      </c>
      <c r="E7" s="302">
        <v>1730000</v>
      </c>
      <c r="F7" s="181">
        <v>2331120</v>
      </c>
      <c r="G7" s="181">
        <v>1826581</v>
      </c>
      <c r="H7" s="304">
        <f t="shared" si="0"/>
        <v>31.454545454545457</v>
      </c>
      <c r="I7" s="179">
        <f t="shared" si="8"/>
        <v>4.2383999999999998E-2</v>
      </c>
      <c r="J7" s="305">
        <f t="shared" si="1"/>
        <v>0.74213253714952465</v>
      </c>
      <c r="K7" s="305">
        <f t="shared" si="2"/>
        <v>0.94712471004570831</v>
      </c>
      <c r="L7" s="306">
        <f t="shared" si="3"/>
        <v>0.78356369470469134</v>
      </c>
      <c r="M7" s="307">
        <f t="shared" si="4"/>
        <v>17.333333333333336</v>
      </c>
      <c r="N7" s="307">
        <f t="shared" si="5"/>
        <v>73.044170719844288</v>
      </c>
      <c r="O7" s="307">
        <f t="shared" si="6"/>
        <v>46.015117830146735</v>
      </c>
      <c r="P7" s="308">
        <f t="shared" si="7"/>
        <v>39.782941448649296</v>
      </c>
    </row>
    <row r="8" spans="1:16">
      <c r="A8" s="232" t="s">
        <v>475</v>
      </c>
      <c r="B8" s="300" t="s">
        <v>76</v>
      </c>
      <c r="C8" s="181">
        <v>30000000</v>
      </c>
      <c r="D8" s="301">
        <v>9000000</v>
      </c>
      <c r="E8" s="302">
        <v>2250000</v>
      </c>
      <c r="F8" s="181">
        <v>3393590</v>
      </c>
      <c r="G8" s="181">
        <v>2079955</v>
      </c>
      <c r="H8" s="304">
        <f t="shared" si="0"/>
        <v>75</v>
      </c>
      <c r="I8" s="179">
        <f t="shared" si="8"/>
        <v>0.11311966666666666</v>
      </c>
      <c r="J8" s="305">
        <f t="shared" si="1"/>
        <v>0.663014683565192</v>
      </c>
      <c r="K8" s="305">
        <f t="shared" si="2"/>
        <v>1.0817541725662334</v>
      </c>
      <c r="L8" s="306">
        <f t="shared" si="3"/>
        <v>0.61290698051326176</v>
      </c>
      <c r="M8" s="307">
        <f t="shared" si="4"/>
        <v>12</v>
      </c>
      <c r="N8" s="307">
        <f t="shared" si="5"/>
        <v>63.953475538201253</v>
      </c>
      <c r="O8" s="307">
        <f t="shared" si="6"/>
        <v>19.298461538461538</v>
      </c>
      <c r="P8" s="308">
        <f t="shared" si="7"/>
        <v>29.045734969152683</v>
      </c>
    </row>
    <row r="9" spans="1:16">
      <c r="A9" s="232" t="s">
        <v>475</v>
      </c>
      <c r="B9" s="300" t="s">
        <v>76</v>
      </c>
      <c r="C9" s="181">
        <v>70000000</v>
      </c>
      <c r="D9" s="301">
        <v>20000000</v>
      </c>
      <c r="E9" s="302">
        <v>3200000</v>
      </c>
      <c r="F9" s="181">
        <v>1800360</v>
      </c>
      <c r="G9" s="181">
        <v>941136</v>
      </c>
      <c r="H9" s="304">
        <f t="shared" si="0"/>
        <v>45.714285714285715</v>
      </c>
      <c r="I9" s="179">
        <f t="shared" si="8"/>
        <v>2.571942857142857E-2</v>
      </c>
      <c r="J9" s="305">
        <f t="shared" si="1"/>
        <v>1.7774222933191139</v>
      </c>
      <c r="K9" s="305">
        <f t="shared" si="2"/>
        <v>3.4001462062868701</v>
      </c>
      <c r="L9" s="306">
        <f t="shared" si="3"/>
        <v>0.52274878357661803</v>
      </c>
      <c r="M9" s="307">
        <f t="shared" si="4"/>
        <v>26.666666666666668</v>
      </c>
      <c r="N9" s="307">
        <f t="shared" si="5"/>
        <v>20.346754173583577</v>
      </c>
      <c r="O9" s="307">
        <f t="shared" si="6"/>
        <v>31.661538461538463</v>
      </c>
      <c r="P9" s="308">
        <f t="shared" si="7"/>
        <v>25.769667277716103</v>
      </c>
    </row>
    <row r="10" spans="1:16">
      <c r="A10" s="232" t="s">
        <v>475</v>
      </c>
      <c r="B10" s="300" t="s">
        <v>485</v>
      </c>
      <c r="C10" s="181">
        <v>100000000</v>
      </c>
      <c r="D10" s="301">
        <v>15000000</v>
      </c>
      <c r="E10" s="302">
        <v>2250000</v>
      </c>
      <c r="F10" s="181">
        <v>467699</v>
      </c>
      <c r="G10" s="181">
        <v>251679</v>
      </c>
      <c r="H10" s="304">
        <f t="shared" si="0"/>
        <v>22.5</v>
      </c>
      <c r="I10" s="179">
        <f t="shared" si="8"/>
        <v>4.6769899999999998E-3</v>
      </c>
      <c r="J10" s="305">
        <f t="shared" si="1"/>
        <v>4.8107864246021483</v>
      </c>
      <c r="K10" s="305">
        <f t="shared" si="2"/>
        <v>8.9399592337858937</v>
      </c>
      <c r="L10" s="306">
        <f t="shared" si="3"/>
        <v>0.53812174069219731</v>
      </c>
      <c r="M10" s="307">
        <f t="shared" si="4"/>
        <v>20</v>
      </c>
      <c r="N10" s="307">
        <f t="shared" si="5"/>
        <v>7.7385072128863142</v>
      </c>
      <c r="O10" s="307">
        <f t="shared" si="6"/>
        <v>64.328205128205141</v>
      </c>
      <c r="P10" s="308">
        <f t="shared" si="7"/>
        <v>25.187193189506921</v>
      </c>
    </row>
    <row r="11" spans="1:16">
      <c r="A11" s="232" t="s">
        <v>475</v>
      </c>
      <c r="B11" s="300" t="s">
        <v>207</v>
      </c>
      <c r="C11" s="181">
        <v>165000000</v>
      </c>
      <c r="D11" s="301">
        <v>15000000</v>
      </c>
      <c r="E11" s="302">
        <v>4144000</v>
      </c>
      <c r="F11" s="181">
        <v>900448</v>
      </c>
      <c r="G11" s="181">
        <v>599415</v>
      </c>
      <c r="H11" s="304">
        <f t="shared" si="0"/>
        <v>25.115151515151513</v>
      </c>
      <c r="I11" s="179">
        <f t="shared" si="8"/>
        <v>5.4572606060606065E-3</v>
      </c>
      <c r="J11" s="305">
        <f t="shared" si="1"/>
        <v>4.6021535946551051</v>
      </c>
      <c r="K11" s="305">
        <f t="shared" si="2"/>
        <v>6.9134072387244228</v>
      </c>
      <c r="L11" s="306">
        <f t="shared" si="3"/>
        <v>0.66568530331568287</v>
      </c>
      <c r="M11" s="307">
        <f t="shared" si="4"/>
        <v>20</v>
      </c>
      <c r="N11" s="307">
        <f t="shared" si="5"/>
        <v>10.006923738854757</v>
      </c>
      <c r="O11" s="307">
        <f t="shared" si="6"/>
        <v>57.629937629937643</v>
      </c>
      <c r="P11" s="308">
        <f t="shared" si="7"/>
        <v>24.528064647643959</v>
      </c>
    </row>
    <row r="12" spans="1:16">
      <c r="A12" s="232" t="s">
        <v>475</v>
      </c>
      <c r="B12" s="155" t="s">
        <v>211</v>
      </c>
      <c r="C12" s="181">
        <v>50000000</v>
      </c>
      <c r="D12" s="301">
        <v>25000000</v>
      </c>
      <c r="E12" s="302">
        <v>2800000</v>
      </c>
      <c r="F12" s="181">
        <v>196962</v>
      </c>
      <c r="G12" s="181">
        <v>138871</v>
      </c>
      <c r="H12" s="304">
        <f t="shared" si="0"/>
        <v>56</v>
      </c>
      <c r="I12" s="179">
        <f t="shared" si="8"/>
        <v>3.9392400000000001E-3</v>
      </c>
      <c r="J12" s="305">
        <f t="shared" si="1"/>
        <v>14.215940130583565</v>
      </c>
      <c r="K12" s="305">
        <f t="shared" si="2"/>
        <v>20.162596942486193</v>
      </c>
      <c r="L12" s="306">
        <f t="shared" si="3"/>
        <v>0.70506493638366796</v>
      </c>
      <c r="M12" s="307">
        <f t="shared" si="4"/>
        <v>33.333333333333329</v>
      </c>
      <c r="N12" s="307">
        <f t="shared" si="5"/>
        <v>3.4312018045544046</v>
      </c>
      <c r="O12" s="307">
        <f t="shared" si="6"/>
        <v>25.846153846153847</v>
      </c>
      <c r="P12" s="308">
        <f t="shared" si="7"/>
        <v>22.865257977263756</v>
      </c>
    </row>
    <row r="13" spans="1:16">
      <c r="A13" s="232" t="s">
        <v>475</v>
      </c>
      <c r="B13" s="300" t="s">
        <v>493</v>
      </c>
      <c r="C13" s="181">
        <v>72000000</v>
      </c>
      <c r="D13" s="301">
        <v>19440000</v>
      </c>
      <c r="E13" s="302">
        <v>2520000</v>
      </c>
      <c r="F13" s="181">
        <v>334925</v>
      </c>
      <c r="G13" s="181">
        <v>176904</v>
      </c>
      <c r="H13" s="304">
        <f t="shared" si="0"/>
        <v>35</v>
      </c>
      <c r="I13" s="179">
        <f t="shared" si="8"/>
        <v>4.6517361111111108E-3</v>
      </c>
      <c r="J13" s="305">
        <f t="shared" si="1"/>
        <v>7.5240725535567661</v>
      </c>
      <c r="K13" s="305">
        <f t="shared" si="2"/>
        <v>14.245014245014245</v>
      </c>
      <c r="L13" s="306">
        <f t="shared" si="3"/>
        <v>0.52818989325968502</v>
      </c>
      <c r="M13" s="307">
        <f t="shared" si="4"/>
        <v>25.919999999999998</v>
      </c>
      <c r="N13" s="307">
        <f t="shared" si="5"/>
        <v>4.8565721187520348</v>
      </c>
      <c r="O13" s="307">
        <f t="shared" si="6"/>
        <v>41.353846153846156</v>
      </c>
      <c r="P13" s="308">
        <f t="shared" si="7"/>
        <v>22.68774086639484</v>
      </c>
    </row>
    <row r="14" spans="1:16">
      <c r="A14" s="232" t="s">
        <v>475</v>
      </c>
      <c r="B14" s="300" t="s">
        <v>209</v>
      </c>
      <c r="C14" s="230">
        <v>12000000</v>
      </c>
      <c r="D14" s="301">
        <v>4000000</v>
      </c>
      <c r="E14" s="302">
        <v>1120000</v>
      </c>
      <c r="F14" s="181">
        <v>840000.00000000012</v>
      </c>
      <c r="G14" s="181">
        <v>888643</v>
      </c>
      <c r="H14" s="304">
        <f t="shared" si="0"/>
        <v>93.333333333333343</v>
      </c>
      <c r="I14" s="179">
        <f t="shared" si="8"/>
        <v>7.0000000000000007E-2</v>
      </c>
      <c r="J14" s="305">
        <f t="shared" si="1"/>
        <v>1.3333333333333333</v>
      </c>
      <c r="K14" s="305">
        <f t="shared" si="2"/>
        <v>1.2603486439436309</v>
      </c>
      <c r="L14" s="306">
        <f t="shared" si="3"/>
        <v>1.0579083333333332</v>
      </c>
      <c r="M14" s="307">
        <f t="shared" si="4"/>
        <v>5.3333333333333339</v>
      </c>
      <c r="N14" s="307">
        <f t="shared" si="5"/>
        <v>54.89111234895406</v>
      </c>
      <c r="O14" s="307">
        <f t="shared" si="6"/>
        <v>15.507692307692308</v>
      </c>
      <c r="P14" s="308">
        <f t="shared" si="7"/>
        <v>22.235538832891347</v>
      </c>
    </row>
    <row r="15" spans="1:16">
      <c r="A15" s="232" t="s">
        <v>475</v>
      </c>
      <c r="B15" s="155" t="s">
        <v>178</v>
      </c>
      <c r="C15" s="181">
        <v>50000000</v>
      </c>
      <c r="D15" s="301">
        <v>18000000</v>
      </c>
      <c r="E15" s="302">
        <v>2800000.0000000005</v>
      </c>
      <c r="F15" s="181">
        <v>1033792</v>
      </c>
      <c r="G15" s="181">
        <v>542339</v>
      </c>
      <c r="H15" s="304">
        <f t="shared" si="0"/>
        <v>56.000000000000007</v>
      </c>
      <c r="I15" s="179">
        <f t="shared" si="8"/>
        <v>2.0675840000000001E-2</v>
      </c>
      <c r="J15" s="305">
        <f t="shared" si="1"/>
        <v>2.7084752058441159</v>
      </c>
      <c r="K15" s="305">
        <f t="shared" si="2"/>
        <v>5.1628225150689895</v>
      </c>
      <c r="L15" s="306">
        <f t="shared" si="3"/>
        <v>0.52461133380796132</v>
      </c>
      <c r="M15" s="307">
        <f t="shared" si="4"/>
        <v>24</v>
      </c>
      <c r="N15" s="307">
        <f t="shared" si="5"/>
        <v>13.400022722384305</v>
      </c>
      <c r="O15" s="307">
        <f t="shared" si="6"/>
        <v>25.846153846153847</v>
      </c>
      <c r="P15" s="308">
        <f t="shared" si="7"/>
        <v>21.18923758594606</v>
      </c>
    </row>
    <row r="16" spans="1:16">
      <c r="A16" s="232" t="s">
        <v>475</v>
      </c>
      <c r="B16" s="300" t="s">
        <v>408</v>
      </c>
      <c r="C16" s="181">
        <v>100000000</v>
      </c>
      <c r="D16" s="301">
        <v>3000000</v>
      </c>
      <c r="E16" s="302">
        <v>1652000</v>
      </c>
      <c r="F16" s="181">
        <v>234958</v>
      </c>
      <c r="G16" s="303">
        <v>71885</v>
      </c>
      <c r="H16" s="304">
        <f t="shared" si="0"/>
        <v>16.52</v>
      </c>
      <c r="I16" s="179">
        <f t="shared" si="8"/>
        <v>2.34958E-3</v>
      </c>
      <c r="J16" s="305">
        <f t="shared" si="1"/>
        <v>7.0310438461342031</v>
      </c>
      <c r="K16" s="305">
        <f t="shared" si="2"/>
        <v>22.981150448633233</v>
      </c>
      <c r="L16" s="306">
        <f t="shared" si="3"/>
        <v>0.30594829714246802</v>
      </c>
      <c r="M16" s="307">
        <f t="shared" si="4"/>
        <v>4</v>
      </c>
      <c r="N16" s="307">
        <f t="shared" si="5"/>
        <v>3.0103775338921825</v>
      </c>
      <c r="O16" s="307">
        <f t="shared" si="6"/>
        <v>87.614080834419823</v>
      </c>
      <c r="P16" s="308">
        <f t="shared" si="7"/>
        <v>20.425929427051621</v>
      </c>
    </row>
    <row r="17" spans="1:16">
      <c r="A17" s="232" t="s">
        <v>475</v>
      </c>
      <c r="B17" s="300" t="s">
        <v>496</v>
      </c>
      <c r="C17" s="181">
        <v>33699782</v>
      </c>
      <c r="D17" s="301">
        <v>18000000</v>
      </c>
      <c r="E17" s="302">
        <v>1853488</v>
      </c>
      <c r="F17" s="181">
        <v>195560</v>
      </c>
      <c r="G17" s="181">
        <v>163825</v>
      </c>
      <c r="H17" s="304">
        <f t="shared" si="0"/>
        <v>54.999999703262176</v>
      </c>
      <c r="I17" s="179">
        <f t="shared" si="8"/>
        <v>5.8030048977764899E-3</v>
      </c>
      <c r="J17" s="305">
        <f t="shared" si="1"/>
        <v>9.4778482307220298</v>
      </c>
      <c r="K17" s="305">
        <f t="shared" si="2"/>
        <v>11.313828780711125</v>
      </c>
      <c r="L17" s="306">
        <f t="shared" si="3"/>
        <v>0.83772243812640623</v>
      </c>
      <c r="M17" s="307">
        <f t="shared" si="4"/>
        <v>24</v>
      </c>
      <c r="N17" s="307">
        <f t="shared" si="5"/>
        <v>6.1148122668702207</v>
      </c>
      <c r="O17" s="307">
        <f t="shared" si="6"/>
        <v>26.316084058065325</v>
      </c>
      <c r="P17" s="308">
        <f t="shared" si="7"/>
        <v>19.09766049167413</v>
      </c>
    </row>
    <row r="18" spans="1:16">
      <c r="A18" s="232" t="s">
        <v>475</v>
      </c>
      <c r="B18" s="300" t="s">
        <v>499</v>
      </c>
      <c r="C18" s="181">
        <v>65000000</v>
      </c>
      <c r="D18" s="301">
        <v>13650000</v>
      </c>
      <c r="E18" s="302">
        <v>2548000</v>
      </c>
      <c r="F18" s="181">
        <v>127229</v>
      </c>
      <c r="G18" s="181">
        <v>82075</v>
      </c>
      <c r="H18" s="304">
        <f t="shared" si="0"/>
        <v>39.199999999999996</v>
      </c>
      <c r="I18" s="179">
        <f t="shared" si="8"/>
        <v>1.9573692307692306E-3</v>
      </c>
      <c r="J18" s="305">
        <f t="shared" si="1"/>
        <v>20.02688066399956</v>
      </c>
      <c r="K18" s="305">
        <f t="shared" si="2"/>
        <v>31.044776119402986</v>
      </c>
      <c r="L18" s="306">
        <f t="shared" si="3"/>
        <v>0.64509663677306273</v>
      </c>
      <c r="M18" s="307">
        <f t="shared" si="4"/>
        <v>18.2</v>
      </c>
      <c r="N18" s="307">
        <f t="shared" si="5"/>
        <v>2.2284566893791524</v>
      </c>
      <c r="O18" s="307">
        <f t="shared" si="6"/>
        <v>36.923076923076934</v>
      </c>
      <c r="P18" s="308">
        <f t="shared" si="7"/>
        <v>17.153152391429131</v>
      </c>
    </row>
    <row r="19" spans="1:16">
      <c r="A19" s="232" t="s">
        <v>475</v>
      </c>
      <c r="B19" s="300" t="s">
        <v>550</v>
      </c>
      <c r="C19" s="230">
        <v>14000000</v>
      </c>
      <c r="D19" s="301">
        <v>4500000</v>
      </c>
      <c r="E19" s="302">
        <v>1379840.0000000002</v>
      </c>
      <c r="F19" s="181">
        <v>700000</v>
      </c>
      <c r="G19" s="181">
        <v>712005</v>
      </c>
      <c r="H19" s="304">
        <f t="shared" si="0"/>
        <v>98.560000000000016</v>
      </c>
      <c r="I19" s="179">
        <f t="shared" si="8"/>
        <v>0.05</v>
      </c>
      <c r="J19" s="305">
        <f t="shared" si="1"/>
        <v>1.9712000000000003</v>
      </c>
      <c r="K19" s="305">
        <f t="shared" si="2"/>
        <v>1.9379639187927054</v>
      </c>
      <c r="L19" s="306">
        <f t="shared" si="3"/>
        <v>1.01715</v>
      </c>
      <c r="M19" s="307">
        <f t="shared" si="4"/>
        <v>6</v>
      </c>
      <c r="N19" s="307">
        <f t="shared" si="5"/>
        <v>35.698259571653978</v>
      </c>
      <c r="O19" s="307">
        <f t="shared" si="6"/>
        <v>14.685314685314685</v>
      </c>
      <c r="P19" s="308">
        <f t="shared" si="7"/>
        <v>16.646540808559131</v>
      </c>
    </row>
    <row r="20" spans="1:16">
      <c r="A20" s="232" t="s">
        <v>475</v>
      </c>
      <c r="B20" s="155" t="s">
        <v>495</v>
      </c>
      <c r="C20" s="181">
        <v>39000000</v>
      </c>
      <c r="D20" s="301">
        <v>11700000</v>
      </c>
      <c r="E20" s="302">
        <v>1802206</v>
      </c>
      <c r="F20" s="181">
        <v>186327</v>
      </c>
      <c r="G20" s="303">
        <v>147611</v>
      </c>
      <c r="H20" s="304">
        <f t="shared" si="0"/>
        <v>46.210410256410256</v>
      </c>
      <c r="I20" s="179">
        <f t="shared" si="8"/>
        <v>4.7776153846153845E-3</v>
      </c>
      <c r="J20" s="305">
        <f t="shared" si="1"/>
        <v>9.6722750862730571</v>
      </c>
      <c r="K20" s="305">
        <f t="shared" si="2"/>
        <v>12.209157854089465</v>
      </c>
      <c r="L20" s="306">
        <f t="shared" si="3"/>
        <v>0.79221476221910947</v>
      </c>
      <c r="M20" s="307">
        <f t="shared" si="4"/>
        <v>15.6</v>
      </c>
      <c r="N20" s="307">
        <f t="shared" si="5"/>
        <v>5.6663972929459021</v>
      </c>
      <c r="O20" s="307">
        <f t="shared" si="6"/>
        <v>31.321613622416088</v>
      </c>
      <c r="P20" s="308">
        <f t="shared" si="7"/>
        <v>15.764241912366989</v>
      </c>
    </row>
    <row r="21" spans="1:16">
      <c r="A21" s="232" t="s">
        <v>475</v>
      </c>
      <c r="B21" s="300" t="s">
        <v>484</v>
      </c>
      <c r="C21" s="181">
        <v>14000000</v>
      </c>
      <c r="D21" s="301">
        <v>6300000</v>
      </c>
      <c r="E21" s="302">
        <v>1008000</v>
      </c>
      <c r="F21" s="181">
        <v>479163</v>
      </c>
      <c r="G21" s="181">
        <v>313150</v>
      </c>
      <c r="H21" s="304">
        <f t="shared" si="0"/>
        <v>72</v>
      </c>
      <c r="I21" s="179">
        <f t="shared" si="8"/>
        <v>3.4225928571428574E-2</v>
      </c>
      <c r="J21" s="305">
        <f t="shared" si="1"/>
        <v>2.1036682715485129</v>
      </c>
      <c r="K21" s="305">
        <f t="shared" si="2"/>
        <v>3.2189046782692001</v>
      </c>
      <c r="L21" s="306">
        <f t="shared" si="3"/>
        <v>0.65353543574942141</v>
      </c>
      <c r="M21" s="307">
        <f t="shared" si="4"/>
        <v>8.4</v>
      </c>
      <c r="N21" s="307">
        <f t="shared" si="5"/>
        <v>21.492385121127839</v>
      </c>
      <c r="O21" s="307">
        <f t="shared" si="6"/>
        <v>20.102564102564106</v>
      </c>
      <c r="P21" s="308">
        <f t="shared" si="7"/>
        <v>14.668228356851174</v>
      </c>
    </row>
    <row r="22" spans="1:16">
      <c r="A22" s="232" t="s">
        <v>474</v>
      </c>
      <c r="B22" s="300" t="s">
        <v>491</v>
      </c>
      <c r="C22" s="181">
        <v>27000000</v>
      </c>
      <c r="D22" s="301">
        <v>10930000</v>
      </c>
      <c r="E22" s="302">
        <v>1230000</v>
      </c>
      <c r="F22" s="301">
        <v>108000</v>
      </c>
      <c r="G22" s="303">
        <v>52378</v>
      </c>
      <c r="H22" s="304">
        <f t="shared" si="0"/>
        <v>45.555555555555557</v>
      </c>
      <c r="I22" s="179">
        <f t="shared" si="8"/>
        <v>4.0000000000000001E-3</v>
      </c>
      <c r="J22" s="305">
        <f t="shared" si="1"/>
        <v>11.388888888888889</v>
      </c>
      <c r="K22" s="305">
        <f t="shared" si="2"/>
        <v>23.483141777081983</v>
      </c>
      <c r="L22" s="306">
        <f t="shared" si="3"/>
        <v>0.48498148148148146</v>
      </c>
      <c r="M22" s="307">
        <f t="shared" si="4"/>
        <v>14.573333333333332</v>
      </c>
      <c r="N22" s="307">
        <f t="shared" si="5"/>
        <v>2.9460256924002741</v>
      </c>
      <c r="O22" s="307">
        <f t="shared" si="6"/>
        <v>31.771857410881804</v>
      </c>
      <c r="P22" s="308">
        <f t="shared" si="7"/>
        <v>14.524845856563109</v>
      </c>
    </row>
    <row r="23" spans="1:16">
      <c r="A23" s="232" t="s">
        <v>475</v>
      </c>
      <c r="B23" s="155" t="s">
        <v>500</v>
      </c>
      <c r="C23" s="181">
        <v>30000000</v>
      </c>
      <c r="D23" s="301">
        <v>10360000</v>
      </c>
      <c r="E23" s="302">
        <v>1792000</v>
      </c>
      <c r="F23" s="181">
        <v>139510</v>
      </c>
      <c r="G23" s="303">
        <v>113778</v>
      </c>
      <c r="H23" s="304">
        <f t="shared" si="0"/>
        <v>59.733333333333334</v>
      </c>
      <c r="I23" s="179">
        <f t="shared" si="8"/>
        <v>4.6503333333333336E-3</v>
      </c>
      <c r="J23" s="305">
        <f t="shared" si="1"/>
        <v>12.844957350727546</v>
      </c>
      <c r="K23" s="305">
        <f t="shared" si="2"/>
        <v>15.749969238341331</v>
      </c>
      <c r="L23" s="306">
        <f t="shared" si="3"/>
        <v>0.81555444054189663</v>
      </c>
      <c r="M23" s="307">
        <f t="shared" si="4"/>
        <v>13.813333333333333</v>
      </c>
      <c r="N23" s="307">
        <f t="shared" si="5"/>
        <v>4.3925126434626272</v>
      </c>
      <c r="O23" s="307">
        <f t="shared" si="6"/>
        <v>24.230769230769234</v>
      </c>
      <c r="P23" s="308">
        <f t="shared" si="7"/>
        <v>13.070574305859301</v>
      </c>
    </row>
    <row r="24" spans="1:16">
      <c r="A24" s="232" t="s">
        <v>474</v>
      </c>
      <c r="B24" s="155" t="s">
        <v>585</v>
      </c>
      <c r="C24" s="181">
        <f>'[1]PD 22 REPORT'!D17+'[1]Specials 22 report'!D36+'[1]Specials 22 report'!D29</f>
        <v>25000000</v>
      </c>
      <c r="D24" s="301">
        <v>13000000</v>
      </c>
      <c r="E24" s="302">
        <f>'[1]PD 22 REPORT'!F17+'[1]Specials 22 report'!F29+'[1]Specials 22 report'!F36</f>
        <v>3750000</v>
      </c>
      <c r="F24" s="181">
        <f>'[1]PD 22 REPORT'!E17+'[1]Specials 22 report'!E29+'[1]Specials 22 report'!E36</f>
        <v>162500</v>
      </c>
      <c r="G24" s="303">
        <f>'[1]PD 22 REPORT'!G17+'[1]Specials 22 report'!G36+'[1]Specials 22 report'!G29</f>
        <v>85353</v>
      </c>
      <c r="H24" s="311">
        <f t="shared" si="0"/>
        <v>150</v>
      </c>
      <c r="I24" s="179">
        <f t="shared" si="8"/>
        <v>6.4999999999999997E-3</v>
      </c>
      <c r="J24" s="305">
        <f t="shared" si="1"/>
        <v>23.076923076923077</v>
      </c>
      <c r="K24" s="305">
        <f t="shared" si="2"/>
        <v>43.935186812414329</v>
      </c>
      <c r="L24" s="306">
        <f t="shared" si="3"/>
        <v>0.5252492307692308</v>
      </c>
      <c r="M24" s="307">
        <f t="shared" si="4"/>
        <v>17.333333333333336</v>
      </c>
      <c r="N24" s="307">
        <f t="shared" si="5"/>
        <v>1.5746362774998759</v>
      </c>
      <c r="O24" s="307">
        <f t="shared" si="6"/>
        <v>9.6492307692307691</v>
      </c>
      <c r="P24" s="308">
        <f t="shared" si="7"/>
        <v>11.068903703762786</v>
      </c>
    </row>
    <row r="25" spans="1:16">
      <c r="A25" s="232" t="s">
        <v>474</v>
      </c>
      <c r="B25" s="300" t="s">
        <v>356</v>
      </c>
      <c r="C25" s="181">
        <f>'[1]PD 22 REPORT'!D13+'[1]Specials 22 report'!D41</f>
        <v>21000000</v>
      </c>
      <c r="D25" s="301">
        <v>6300000</v>
      </c>
      <c r="E25" s="302">
        <f>'[1]PD 22 REPORT'!F13+'[1]Specials 22 report'!F41</f>
        <v>1150000</v>
      </c>
      <c r="F25" s="181">
        <f>'[1]PD 22 REPORT'!E13+'[1]Specials 22 report'!E41</f>
        <v>63000</v>
      </c>
      <c r="G25" s="303">
        <f>'[1]PD 22 REPORT'!G13+'[1]Specials 22 report'!G41</f>
        <v>50104</v>
      </c>
      <c r="H25" s="311">
        <f t="shared" si="0"/>
        <v>54.761904761904759</v>
      </c>
      <c r="I25" s="179">
        <f t="shared" si="8"/>
        <v>3.0000000000000001E-3</v>
      </c>
      <c r="J25" s="305">
        <f t="shared" si="1"/>
        <v>18.253968253968253</v>
      </c>
      <c r="K25" s="305">
        <f t="shared" si="2"/>
        <v>22.952259300654639</v>
      </c>
      <c r="L25" s="306">
        <f t="shared" si="3"/>
        <v>0.79530158730158729</v>
      </c>
      <c r="M25" s="307">
        <f t="shared" si="4"/>
        <v>8.4</v>
      </c>
      <c r="N25" s="307">
        <f t="shared" si="5"/>
        <v>3.0141668455091284</v>
      </c>
      <c r="O25" s="307">
        <f t="shared" si="6"/>
        <v>26.430501672240808</v>
      </c>
      <c r="P25" s="308">
        <f t="shared" si="7"/>
        <v>10.390350388100901</v>
      </c>
    </row>
    <row r="26" spans="1:16">
      <c r="A26" s="232" t="s">
        <v>475</v>
      </c>
      <c r="B26" s="155" t="s">
        <v>586</v>
      </c>
      <c r="C26" s="181">
        <v>38500000</v>
      </c>
      <c r="D26" s="301">
        <v>8240000</v>
      </c>
      <c r="E26" s="302">
        <v>3000000</v>
      </c>
      <c r="F26" s="181">
        <v>130047</v>
      </c>
      <c r="G26" s="303">
        <v>122328</v>
      </c>
      <c r="H26" s="304">
        <f t="shared" si="0"/>
        <v>77.922077922077918</v>
      </c>
      <c r="I26" s="179">
        <f t="shared" si="8"/>
        <v>3.3778441558441558E-3</v>
      </c>
      <c r="J26" s="305">
        <f t="shared" si="1"/>
        <v>23.068582896952641</v>
      </c>
      <c r="K26" s="305">
        <f t="shared" si="2"/>
        <v>24.524229939179911</v>
      </c>
      <c r="L26" s="306">
        <f t="shared" si="3"/>
        <v>0.94064453620614086</v>
      </c>
      <c r="M26" s="307">
        <f t="shared" si="4"/>
        <v>10.986666666666666</v>
      </c>
      <c r="N26" s="307">
        <f t="shared" si="5"/>
        <v>2.8209627452169936</v>
      </c>
      <c r="O26" s="307">
        <f t="shared" si="6"/>
        <v>18.574769230769235</v>
      </c>
      <c r="P26" s="308">
        <f t="shared" si="7"/>
        <v>10.054576003052279</v>
      </c>
    </row>
    <row r="27" spans="1:16">
      <c r="A27" s="232" t="s">
        <v>475</v>
      </c>
      <c r="B27" s="155" t="s">
        <v>587</v>
      </c>
      <c r="C27" s="181">
        <v>20000000</v>
      </c>
      <c r="D27" s="301">
        <v>8000000</v>
      </c>
      <c r="E27" s="302">
        <v>1700000</v>
      </c>
      <c r="F27" s="181">
        <v>161513</v>
      </c>
      <c r="G27" s="303">
        <v>102181</v>
      </c>
      <c r="H27" s="304">
        <f t="shared" si="0"/>
        <v>85</v>
      </c>
      <c r="I27" s="179">
        <f t="shared" si="8"/>
        <v>8.0756500000000002E-3</v>
      </c>
      <c r="J27" s="305">
        <f t="shared" si="1"/>
        <v>10.525468538136248</v>
      </c>
      <c r="K27" s="305">
        <f t="shared" si="2"/>
        <v>16.637143891721554</v>
      </c>
      <c r="L27" s="306">
        <f t="shared" si="3"/>
        <v>0.63264876511488244</v>
      </c>
      <c r="M27" s="307">
        <f t="shared" si="4"/>
        <v>10.666666666666668</v>
      </c>
      <c r="N27" s="307">
        <f t="shared" si="5"/>
        <v>4.1582821825557366</v>
      </c>
      <c r="O27" s="307">
        <f t="shared" si="6"/>
        <v>17.028054298642537</v>
      </c>
      <c r="P27" s="308">
        <f t="shared" si="7"/>
        <v>9.986428847828563</v>
      </c>
    </row>
    <row r="28" spans="1:16">
      <c r="A28" s="232" t="s">
        <v>475</v>
      </c>
      <c r="B28" s="155" t="s">
        <v>502</v>
      </c>
      <c r="C28" s="181">
        <v>23000000</v>
      </c>
      <c r="D28" s="301">
        <v>5750000</v>
      </c>
      <c r="E28" s="302">
        <v>1288000</v>
      </c>
      <c r="F28" s="181">
        <v>58785</v>
      </c>
      <c r="G28" s="303">
        <v>29343</v>
      </c>
      <c r="H28" s="304">
        <f t="shared" si="0"/>
        <v>56</v>
      </c>
      <c r="I28" s="179">
        <f t="shared" si="8"/>
        <v>2.5558695652173912E-3</v>
      </c>
      <c r="J28" s="305">
        <f t="shared" si="1"/>
        <v>21.910351280088459</v>
      </c>
      <c r="K28" s="305">
        <f t="shared" si="2"/>
        <v>43.894625634734005</v>
      </c>
      <c r="L28" s="306">
        <f t="shared" si="3"/>
        <v>0.49915794845623884</v>
      </c>
      <c r="M28" s="307">
        <f t="shared" si="4"/>
        <v>7.6666666666666661</v>
      </c>
      <c r="N28" s="307">
        <f t="shared" si="5"/>
        <v>1.5760913326668808</v>
      </c>
      <c r="O28" s="307">
        <f t="shared" si="6"/>
        <v>25.846153846153847</v>
      </c>
      <c r="P28" s="308">
        <f t="shared" si="7"/>
        <v>9.4753915023641664</v>
      </c>
    </row>
    <row r="29" spans="1:16">
      <c r="A29" s="232" t="s">
        <v>475</v>
      </c>
      <c r="B29" s="155" t="s">
        <v>588</v>
      </c>
      <c r="C29" s="181">
        <v>14000000</v>
      </c>
      <c r="D29" s="301">
        <v>6000000</v>
      </c>
      <c r="E29" s="302">
        <v>1344000.0000000002</v>
      </c>
      <c r="F29" s="181">
        <v>231712</v>
      </c>
      <c r="G29" s="303">
        <v>154974</v>
      </c>
      <c r="H29" s="304">
        <f t="shared" si="0"/>
        <v>96.000000000000014</v>
      </c>
      <c r="I29" s="179">
        <f t="shared" si="8"/>
        <v>1.6550857142857141E-2</v>
      </c>
      <c r="J29" s="305">
        <f t="shared" si="1"/>
        <v>5.8003038254384762</v>
      </c>
      <c r="K29" s="305">
        <f t="shared" si="2"/>
        <v>8.6724224708660831</v>
      </c>
      <c r="L29" s="306">
        <f t="shared" si="3"/>
        <v>0.66882164065736782</v>
      </c>
      <c r="M29" s="307">
        <f t="shared" si="4"/>
        <v>8</v>
      </c>
      <c r="N29" s="307">
        <f t="shared" si="5"/>
        <v>7.9772334945593117</v>
      </c>
      <c r="O29" s="307">
        <f t="shared" si="6"/>
        <v>15.076923076923077</v>
      </c>
      <c r="P29" s="308">
        <f t="shared" si="7"/>
        <v>9.4085546637524082</v>
      </c>
    </row>
    <row r="30" spans="1:16">
      <c r="A30" s="232" t="s">
        <v>475</v>
      </c>
      <c r="B30" s="186" t="s">
        <v>490</v>
      </c>
      <c r="C30" s="181">
        <v>10000000</v>
      </c>
      <c r="D30" s="301">
        <v>2000000</v>
      </c>
      <c r="E30" s="302">
        <v>784000</v>
      </c>
      <c r="F30" s="181">
        <v>329957</v>
      </c>
      <c r="G30" s="303">
        <v>160339</v>
      </c>
      <c r="H30" s="304">
        <f t="shared" si="0"/>
        <v>78.399999999999991</v>
      </c>
      <c r="I30" s="179">
        <f t="shared" si="8"/>
        <v>3.2995700000000003E-2</v>
      </c>
      <c r="J30" s="305">
        <f t="shared" si="1"/>
        <v>2.3760671845119212</v>
      </c>
      <c r="K30" s="305">
        <f t="shared" si="2"/>
        <v>4.8896400750909015</v>
      </c>
      <c r="L30" s="306">
        <f t="shared" si="3"/>
        <v>0.48593907691002158</v>
      </c>
      <c r="M30" s="307">
        <f t="shared" si="4"/>
        <v>2.666666666666667</v>
      </c>
      <c r="N30" s="307">
        <f t="shared" si="5"/>
        <v>14.148677193234024</v>
      </c>
      <c r="O30" s="307">
        <f t="shared" si="6"/>
        <v>18.461538461538467</v>
      </c>
      <c r="P30" s="308">
        <f t="shared" si="7"/>
        <v>9.2702441836112346</v>
      </c>
    </row>
    <row r="31" spans="1:16">
      <c r="A31" s="232" t="s">
        <v>475</v>
      </c>
      <c r="B31" s="155" t="s">
        <v>498</v>
      </c>
      <c r="C31" s="181">
        <v>13000000</v>
      </c>
      <c r="D31" s="301">
        <v>4000000</v>
      </c>
      <c r="E31" s="302">
        <v>750400</v>
      </c>
      <c r="F31" s="181">
        <v>57187</v>
      </c>
      <c r="G31" s="303">
        <v>43268</v>
      </c>
      <c r="H31" s="304">
        <f t="shared" si="0"/>
        <v>57.723076923076924</v>
      </c>
      <c r="I31" s="179">
        <f t="shared" si="8"/>
        <v>4.3990000000000001E-3</v>
      </c>
      <c r="J31" s="305">
        <f t="shared" si="1"/>
        <v>13.121863360553972</v>
      </c>
      <c r="K31" s="305">
        <f t="shared" si="2"/>
        <v>17.343071091799946</v>
      </c>
      <c r="L31" s="306">
        <f t="shared" si="3"/>
        <v>0.75660552223407418</v>
      </c>
      <c r="M31" s="307">
        <f t="shared" si="4"/>
        <v>5.3333333333333339</v>
      </c>
      <c r="N31" s="307">
        <f t="shared" si="5"/>
        <v>3.9890247031433761</v>
      </c>
      <c r="O31" s="307">
        <f t="shared" si="6"/>
        <v>25.074626865671647</v>
      </c>
      <c r="P31" s="308">
        <f t="shared" si="7"/>
        <v>8.8782994507440094</v>
      </c>
    </row>
    <row r="32" spans="1:16">
      <c r="A32" s="232" t="s">
        <v>475</v>
      </c>
      <c r="B32" s="155" t="s">
        <v>503</v>
      </c>
      <c r="C32" s="181">
        <v>25000000</v>
      </c>
      <c r="D32" s="301">
        <v>3750000</v>
      </c>
      <c r="E32" s="302">
        <v>1400000</v>
      </c>
      <c r="F32" s="181">
        <v>135776</v>
      </c>
      <c r="G32" s="303">
        <v>75489</v>
      </c>
      <c r="H32" s="304">
        <f t="shared" si="0"/>
        <v>56</v>
      </c>
      <c r="I32" s="179">
        <f t="shared" si="8"/>
        <v>5.4310399999999998E-3</v>
      </c>
      <c r="J32" s="305">
        <f t="shared" si="1"/>
        <v>10.311100636342211</v>
      </c>
      <c r="K32" s="305">
        <f t="shared" si="2"/>
        <v>18.54574838718224</v>
      </c>
      <c r="L32" s="306">
        <f t="shared" si="3"/>
        <v>0.5559819113834551</v>
      </c>
      <c r="M32" s="307">
        <f t="shared" si="4"/>
        <v>5</v>
      </c>
      <c r="N32" s="307">
        <f t="shared" si="5"/>
        <v>3.7303395672819728</v>
      </c>
      <c r="O32" s="307">
        <f t="shared" si="6"/>
        <v>25.846153846153847</v>
      </c>
      <c r="P32" s="308">
        <f t="shared" si="7"/>
        <v>8.788332639415362</v>
      </c>
    </row>
    <row r="33" spans="1:16">
      <c r="A33" s="232" t="s">
        <v>475</v>
      </c>
      <c r="B33" s="155" t="s">
        <v>207</v>
      </c>
      <c r="C33" s="181">
        <v>12000000</v>
      </c>
      <c r="D33" s="301">
        <v>1200000</v>
      </c>
      <c r="E33" s="302">
        <v>560000</v>
      </c>
      <c r="F33" s="181">
        <v>66548</v>
      </c>
      <c r="G33" s="303">
        <v>45761</v>
      </c>
      <c r="H33" s="304">
        <f t="shared" si="0"/>
        <v>46.666666666666671</v>
      </c>
      <c r="I33" s="179">
        <f t="shared" si="8"/>
        <v>5.5456666666666666E-3</v>
      </c>
      <c r="J33" s="305">
        <f t="shared" si="1"/>
        <v>8.4149786620183935</v>
      </c>
      <c r="K33" s="305">
        <f t="shared" si="2"/>
        <v>12.237494809991041</v>
      </c>
      <c r="L33" s="306">
        <f t="shared" si="3"/>
        <v>0.68763899741539936</v>
      </c>
      <c r="M33" s="307">
        <f t="shared" si="4"/>
        <v>1.6</v>
      </c>
      <c r="N33" s="307">
        <f t="shared" si="5"/>
        <v>5.6532762699992833</v>
      </c>
      <c r="O33" s="307">
        <f t="shared" si="6"/>
        <v>31.015384615384615</v>
      </c>
      <c r="P33" s="308">
        <f t="shared" si="7"/>
        <v>8.6990598040767075</v>
      </c>
    </row>
    <row r="34" spans="1:16">
      <c r="A34" s="232" t="s">
        <v>475</v>
      </c>
      <c r="B34" s="155" t="s">
        <v>589</v>
      </c>
      <c r="C34" s="181">
        <v>30000000</v>
      </c>
      <c r="D34" s="301">
        <v>5000000</v>
      </c>
      <c r="E34" s="302">
        <v>1675000</v>
      </c>
      <c r="F34" s="181">
        <v>79495</v>
      </c>
      <c r="G34" s="303">
        <v>9122</v>
      </c>
      <c r="H34" s="304">
        <f t="shared" si="0"/>
        <v>55.833333333333329</v>
      </c>
      <c r="I34" s="179">
        <f t="shared" si="8"/>
        <v>2.6498333333333335E-3</v>
      </c>
      <c r="J34" s="305">
        <f t="shared" si="1"/>
        <v>21.070507579093025</v>
      </c>
      <c r="K34" s="305">
        <f t="shared" si="2"/>
        <v>183.62201271650954</v>
      </c>
      <c r="L34" s="306">
        <f t="shared" si="3"/>
        <v>0.11474935530536512</v>
      </c>
      <c r="M34" s="307">
        <f t="shared" si="4"/>
        <v>6.666666666666667</v>
      </c>
      <c r="N34" s="307">
        <f t="shared" si="5"/>
        <v>0.37676277473534936</v>
      </c>
      <c r="O34" s="307">
        <f t="shared" si="6"/>
        <v>25.923306544202074</v>
      </c>
      <c r="P34" s="308">
        <f t="shared" si="7"/>
        <v>8.6310234745943539</v>
      </c>
    </row>
    <row r="35" spans="1:16">
      <c r="A35" s="232" t="s">
        <v>474</v>
      </c>
      <c r="B35" s="155" t="s">
        <v>486</v>
      </c>
      <c r="C35" s="181">
        <f>'[1]PD 22 REPORT'!D19</f>
        <v>18000000</v>
      </c>
      <c r="D35" s="301">
        <v>5000000</v>
      </c>
      <c r="E35" s="302">
        <f>'[1]PD 22 REPORT'!F19</f>
        <v>1375000</v>
      </c>
      <c r="F35" s="181">
        <f>'[1]PD 22 REPORT'!E19</f>
        <v>54000</v>
      </c>
      <c r="G35" s="303">
        <v>37306</v>
      </c>
      <c r="H35" s="311">
        <f t="shared" si="0"/>
        <v>76.3888888888889</v>
      </c>
      <c r="I35" s="179">
        <f t="shared" si="8"/>
        <v>3.0000000000000001E-3</v>
      </c>
      <c r="J35" s="305">
        <f t="shared" si="1"/>
        <v>25.462962962962962</v>
      </c>
      <c r="K35" s="305">
        <f t="shared" si="2"/>
        <v>36.857341982522918</v>
      </c>
      <c r="L35" s="306">
        <f t="shared" si="3"/>
        <v>0.69085185185185183</v>
      </c>
      <c r="M35" s="307">
        <f t="shared" si="4"/>
        <v>6.666666666666667</v>
      </c>
      <c r="N35" s="307">
        <f t="shared" si="5"/>
        <v>1.8770192122472249</v>
      </c>
      <c r="O35" s="307">
        <f t="shared" si="6"/>
        <v>18.947580419580419</v>
      </c>
      <c r="P35" s="308">
        <f t="shared" si="7"/>
        <v>7.6859551809235844</v>
      </c>
    </row>
    <row r="36" spans="1:16">
      <c r="A36" s="232" t="s">
        <v>475</v>
      </c>
      <c r="B36" s="155" t="s">
        <v>590</v>
      </c>
      <c r="C36" s="181">
        <v>7000000</v>
      </c>
      <c r="D36" s="301">
        <v>2100000</v>
      </c>
      <c r="E36" s="302">
        <v>448000.00000000006</v>
      </c>
      <c r="F36" s="181">
        <v>40917</v>
      </c>
      <c r="G36" s="303">
        <v>29915</v>
      </c>
      <c r="H36" s="304">
        <f t="shared" si="0"/>
        <v>64.000000000000014</v>
      </c>
      <c r="I36" s="179">
        <f t="shared" si="8"/>
        <v>5.8452857142857143E-3</v>
      </c>
      <c r="J36" s="305">
        <f t="shared" si="1"/>
        <v>10.948994305545373</v>
      </c>
      <c r="K36" s="305">
        <f t="shared" si="2"/>
        <v>14.975764666555241</v>
      </c>
      <c r="L36" s="306">
        <f t="shared" si="3"/>
        <v>0.73111420680890582</v>
      </c>
      <c r="M36" s="307">
        <f t="shared" si="4"/>
        <v>2.8000000000000003</v>
      </c>
      <c r="N36" s="307">
        <f t="shared" si="5"/>
        <v>4.6195930928363822</v>
      </c>
      <c r="O36" s="307">
        <f t="shared" si="6"/>
        <v>22.615384615384613</v>
      </c>
      <c r="P36" s="308">
        <f t="shared" si="7"/>
        <v>7.3089548509278375</v>
      </c>
    </row>
    <row r="37" spans="1:16">
      <c r="A37" s="232" t="s">
        <v>475</v>
      </c>
      <c r="B37" s="155" t="s">
        <v>591</v>
      </c>
      <c r="C37" s="181">
        <v>8000000</v>
      </c>
      <c r="D37" s="301">
        <v>1200000</v>
      </c>
      <c r="E37" s="302">
        <v>448000</v>
      </c>
      <c r="F37" s="181">
        <v>42445</v>
      </c>
      <c r="G37" s="303">
        <v>28319</v>
      </c>
      <c r="H37" s="304">
        <f t="shared" si="0"/>
        <v>56</v>
      </c>
      <c r="I37" s="179">
        <f t="shared" si="8"/>
        <v>5.3056249999999996E-3</v>
      </c>
      <c r="J37" s="305">
        <f t="shared" si="1"/>
        <v>10.554835669690187</v>
      </c>
      <c r="K37" s="305">
        <f t="shared" si="2"/>
        <v>15.819767647162683</v>
      </c>
      <c r="L37" s="306">
        <f t="shared" si="3"/>
        <v>0.66719283779008132</v>
      </c>
      <c r="M37" s="307">
        <f t="shared" si="4"/>
        <v>1.6</v>
      </c>
      <c r="N37" s="307">
        <f t="shared" si="5"/>
        <v>4.3731324351005689</v>
      </c>
      <c r="O37" s="307">
        <f t="shared" si="6"/>
        <v>25.846153846153847</v>
      </c>
      <c r="P37" s="308">
        <f t="shared" si="7"/>
        <v>7.2811704997609397</v>
      </c>
    </row>
    <row r="38" spans="1:16">
      <c r="A38" s="232" t="s">
        <v>474</v>
      </c>
      <c r="B38" s="155" t="s">
        <v>592</v>
      </c>
      <c r="C38" s="181">
        <f>'[1]PD 22 REPORT'!D13</f>
        <v>10500000</v>
      </c>
      <c r="D38" s="301">
        <v>5000000</v>
      </c>
      <c r="E38" s="302">
        <f>'[1]PD 22 REPORT'!F14</f>
        <v>1500000</v>
      </c>
      <c r="F38" s="181">
        <f>'[1]PD 22 REPORT'!E14</f>
        <v>60000</v>
      </c>
      <c r="G38" s="303">
        <f>'[1]PD 22 REPORT'!G14</f>
        <v>42949</v>
      </c>
      <c r="H38" s="311">
        <f t="shared" si="0"/>
        <v>142.85714285714286</v>
      </c>
      <c r="I38" s="179">
        <f t="shared" si="8"/>
        <v>5.7142857142857143E-3</v>
      </c>
      <c r="J38" s="305">
        <f t="shared" si="1"/>
        <v>25</v>
      </c>
      <c r="K38" s="305">
        <f t="shared" si="2"/>
        <v>34.925143775175208</v>
      </c>
      <c r="L38" s="306">
        <f t="shared" si="3"/>
        <v>0.71581666666666666</v>
      </c>
      <c r="M38" s="307">
        <f t="shared" si="4"/>
        <v>6.666666666666667</v>
      </c>
      <c r="N38" s="307">
        <f t="shared" si="5"/>
        <v>1.9808633991289755</v>
      </c>
      <c r="O38" s="307">
        <f t="shared" si="6"/>
        <v>10.131692307692308</v>
      </c>
      <c r="P38" s="308">
        <f t="shared" si="7"/>
        <v>5.9539308146104872</v>
      </c>
    </row>
    <row r="39" spans="1:16">
      <c r="A39" s="232" t="s">
        <v>475</v>
      </c>
      <c r="B39" s="155" t="s">
        <v>593</v>
      </c>
      <c r="C39" s="181">
        <v>3972973</v>
      </c>
      <c r="D39" s="301">
        <v>800000</v>
      </c>
      <c r="E39" s="302">
        <v>294000</v>
      </c>
      <c r="F39" s="181">
        <v>28260</v>
      </c>
      <c r="G39" s="303">
        <v>18675</v>
      </c>
      <c r="H39" s="312">
        <f t="shared" si="0"/>
        <v>73.999999496598647</v>
      </c>
      <c r="I39" s="179">
        <f t="shared" si="8"/>
        <v>7.113061176101625E-3</v>
      </c>
      <c r="J39" s="305">
        <f t="shared" si="1"/>
        <v>10.40339702760085</v>
      </c>
      <c r="K39" s="305">
        <f t="shared" si="2"/>
        <v>15.742971887550201</v>
      </c>
      <c r="L39" s="306">
        <f t="shared" si="3"/>
        <v>0.66082802547770703</v>
      </c>
      <c r="M39" s="307">
        <f t="shared" si="4"/>
        <v>1.0666666666666667</v>
      </c>
      <c r="N39" s="307">
        <f t="shared" si="5"/>
        <v>4.3944650036675696</v>
      </c>
      <c r="O39" s="307">
        <f t="shared" si="6"/>
        <v>19.559251692307694</v>
      </c>
      <c r="P39" s="308">
        <f t="shared" si="7"/>
        <v>5.7635231728951428</v>
      </c>
    </row>
    <row r="40" spans="1:16">
      <c r="A40" s="232" t="s">
        <v>475</v>
      </c>
      <c r="B40" s="155" t="s">
        <v>594</v>
      </c>
      <c r="C40" s="181">
        <v>9261874</v>
      </c>
      <c r="D40" s="301">
        <v>1852375</v>
      </c>
      <c r="E40" s="302">
        <v>777997</v>
      </c>
      <c r="F40" s="181">
        <v>45494</v>
      </c>
      <c r="G40" s="303">
        <v>36863</v>
      </c>
      <c r="H40" s="312">
        <f t="shared" si="0"/>
        <v>83.99995508468372</v>
      </c>
      <c r="I40" s="179">
        <f t="shared" si="8"/>
        <v>4.9119649004078442E-3</v>
      </c>
      <c r="J40" s="305">
        <f t="shared" si="1"/>
        <v>17.101090253659823</v>
      </c>
      <c r="K40" s="305">
        <f t="shared" si="2"/>
        <v>21.105091826492689</v>
      </c>
      <c r="L40" s="306">
        <f t="shared" si="3"/>
        <v>0.81028267463841386</v>
      </c>
      <c r="M40" s="307">
        <f t="shared" si="4"/>
        <v>2.4698333333333333</v>
      </c>
      <c r="N40" s="307">
        <f t="shared" si="5"/>
        <v>3.2779738454736029</v>
      </c>
      <c r="O40" s="307">
        <f t="shared" si="6"/>
        <v>17.230778444172369</v>
      </c>
      <c r="P40" s="308">
        <f t="shared" si="7"/>
        <v>5.6644645091432215</v>
      </c>
    </row>
    <row r="41" spans="1:16">
      <c r="A41" s="232" t="s">
        <v>474</v>
      </c>
      <c r="B41" s="155" t="s">
        <v>492</v>
      </c>
      <c r="C41" s="181">
        <f>'[1]PD 22 REPORT'!D12+'[1]Specials 22 report'!D34</f>
        <v>5000000</v>
      </c>
      <c r="D41" s="301">
        <v>2000000</v>
      </c>
      <c r="E41" s="302">
        <f>'[1]PD 22 REPORT'!F12+'[1]Specials 22 report'!F34</f>
        <v>400000</v>
      </c>
      <c r="F41" s="181">
        <f>'[1]PD 22 REPORT'!E12+'[1]Specials 22 report'!E34</f>
        <v>17500</v>
      </c>
      <c r="G41" s="303">
        <f>'[1]Specials 22 report'!G34</f>
        <v>12944</v>
      </c>
      <c r="H41" s="313">
        <f t="shared" si="0"/>
        <v>80</v>
      </c>
      <c r="I41" s="179">
        <f t="shared" si="8"/>
        <v>3.5000000000000001E-3</v>
      </c>
      <c r="J41" s="305">
        <f t="shared" si="1"/>
        <v>22.857142857142858</v>
      </c>
      <c r="K41" s="305">
        <f t="shared" si="2"/>
        <v>30.902348578491967</v>
      </c>
      <c r="L41" s="306">
        <f t="shared" si="3"/>
        <v>0.7396571428571429</v>
      </c>
      <c r="M41" s="307">
        <f t="shared" si="4"/>
        <v>2.666666666666667</v>
      </c>
      <c r="N41" s="307">
        <f t="shared" si="5"/>
        <v>2.2387275464788581</v>
      </c>
      <c r="O41" s="307">
        <f t="shared" si="6"/>
        <v>18.092307692307692</v>
      </c>
      <c r="P41" s="308">
        <f t="shared" si="7"/>
        <v>5.6234131357385291</v>
      </c>
    </row>
    <row r="42" spans="1:16">
      <c r="A42" s="232" t="s">
        <v>474</v>
      </c>
      <c r="B42" s="155" t="s">
        <v>506</v>
      </c>
      <c r="C42" s="181">
        <f>'[1]PD 22 REPORT'!D22</f>
        <v>4500000</v>
      </c>
      <c r="D42" s="301">
        <v>1125000</v>
      </c>
      <c r="E42" s="302">
        <f>'[1]PD 22 REPORT'!F22</f>
        <v>490500</v>
      </c>
      <c r="F42" s="181">
        <f>'[1]PD 22 REPORT'!E22</f>
        <v>9000</v>
      </c>
      <c r="G42" s="303">
        <f>'[1]PD 22 REPORT'!G22</f>
        <v>42425</v>
      </c>
      <c r="H42" s="313">
        <f t="shared" si="0"/>
        <v>109</v>
      </c>
      <c r="I42" s="179">
        <f t="shared" si="8"/>
        <v>2E-3</v>
      </c>
      <c r="J42" s="305">
        <f t="shared" si="1"/>
        <v>54.5</v>
      </c>
      <c r="K42" s="305">
        <f t="shared" si="2"/>
        <v>11.561579257513259</v>
      </c>
      <c r="L42" s="306">
        <f t="shared" si="3"/>
        <v>4.7138888888888886</v>
      </c>
      <c r="M42" s="307">
        <f t="shared" si="4"/>
        <v>1.5</v>
      </c>
      <c r="N42" s="307">
        <f t="shared" si="5"/>
        <v>5.9837793326205038</v>
      </c>
      <c r="O42" s="307">
        <f t="shared" si="6"/>
        <v>13.278757939308401</v>
      </c>
      <c r="P42" s="308">
        <f t="shared" si="7"/>
        <v>5.2008853876478316</v>
      </c>
    </row>
    <row r="43" spans="1:16">
      <c r="A43" s="232" t="s">
        <v>475</v>
      </c>
      <c r="B43" s="155" t="s">
        <v>595</v>
      </c>
      <c r="C43" s="181">
        <v>4993333</v>
      </c>
      <c r="D43" s="301">
        <v>1000000</v>
      </c>
      <c r="E43" s="302">
        <v>419440</v>
      </c>
      <c r="F43" s="181">
        <v>19176</v>
      </c>
      <c r="G43" s="303">
        <v>14457</v>
      </c>
      <c r="H43" s="312">
        <f t="shared" si="0"/>
        <v>84.000005607477021</v>
      </c>
      <c r="I43" s="179">
        <f t="shared" si="8"/>
        <v>3.8403206835995116E-3</v>
      </c>
      <c r="J43" s="305">
        <f t="shared" si="1"/>
        <v>21.873174801835628</v>
      </c>
      <c r="K43" s="305">
        <f t="shared" si="2"/>
        <v>29.012934910424015</v>
      </c>
      <c r="L43" s="306">
        <f t="shared" si="3"/>
        <v>0.75391113892365458</v>
      </c>
      <c r="M43" s="307">
        <f t="shared" si="4"/>
        <v>1.3333333333333335</v>
      </c>
      <c r="N43" s="307">
        <f t="shared" si="5"/>
        <v>2.3845205328987746</v>
      </c>
      <c r="O43" s="307">
        <f t="shared" si="6"/>
        <v>17.230768080517613</v>
      </c>
      <c r="P43" s="308">
        <f t="shared" si="7"/>
        <v>4.8281764426398217</v>
      </c>
    </row>
    <row r="44" spans="1:16">
      <c r="A44" s="232" t="s">
        <v>474</v>
      </c>
      <c r="B44" s="155" t="s">
        <v>596</v>
      </c>
      <c r="C44" s="314">
        <f>'[1]PD 22 REPORT'!D21</f>
        <v>3000000</v>
      </c>
      <c r="D44" s="315">
        <v>300000</v>
      </c>
      <c r="E44" s="302">
        <f>'[1]PD 22 REPORT'!F21</f>
        <v>225000</v>
      </c>
      <c r="F44" s="314">
        <f>'[1]PD 22 REPORT'!E21</f>
        <v>6000</v>
      </c>
      <c r="G44" s="316">
        <f>'[1]PD 22 REPORT'!G21</f>
        <v>3999</v>
      </c>
      <c r="H44" s="313">
        <f t="shared" si="0"/>
        <v>75</v>
      </c>
      <c r="I44" s="317">
        <f t="shared" si="8"/>
        <v>2E-3</v>
      </c>
      <c r="J44" s="305">
        <f t="shared" si="1"/>
        <v>37.5</v>
      </c>
      <c r="K44" s="318">
        <f t="shared" si="2"/>
        <v>56.264066016504124</v>
      </c>
      <c r="L44" s="319">
        <f t="shared" si="3"/>
        <v>0.66649999999999998</v>
      </c>
      <c r="M44" s="307">
        <f t="shared" si="4"/>
        <v>0.4</v>
      </c>
      <c r="N44" s="307">
        <f t="shared" si="5"/>
        <v>1.2295936627343709</v>
      </c>
      <c r="O44" s="307">
        <f t="shared" si="6"/>
        <v>19.298461538461538</v>
      </c>
      <c r="P44" s="308">
        <f t="shared" si="7"/>
        <v>4.4285704065126197</v>
      </c>
    </row>
    <row r="45" spans="1:16">
      <c r="A45" s="232" t="s">
        <v>475</v>
      </c>
      <c r="B45" s="736" t="s">
        <v>391</v>
      </c>
      <c r="C45" s="181">
        <v>3630000</v>
      </c>
      <c r="D45" s="301">
        <v>3000000</v>
      </c>
      <c r="E45" s="302">
        <v>1036000.0000000001</v>
      </c>
      <c r="F45" s="181">
        <v>68526</v>
      </c>
      <c r="G45" s="734">
        <v>65572</v>
      </c>
      <c r="H45" s="311">
        <f t="shared" si="0"/>
        <v>285.39944903581272</v>
      </c>
      <c r="I45" s="135">
        <f t="shared" si="8"/>
        <v>1.8877685950413222E-2</v>
      </c>
      <c r="J45" s="735">
        <f t="shared" si="1"/>
        <v>15.118349239704639</v>
      </c>
      <c r="K45" s="735">
        <f t="shared" si="2"/>
        <v>15.799426584517784</v>
      </c>
      <c r="L45" s="306">
        <f t="shared" si="3"/>
        <v>0.95689227446516656</v>
      </c>
      <c r="M45" s="715">
        <f t="shared" si="4"/>
        <v>4</v>
      </c>
      <c r="N45" s="715">
        <f t="shared" si="5"/>
        <v>4.3787626496112644</v>
      </c>
      <c r="O45" s="715">
        <f t="shared" si="6"/>
        <v>5.0714345114345107</v>
      </c>
      <c r="P45" s="308">
        <f t="shared" si="7"/>
        <v>4.3279156971702815</v>
      </c>
    </row>
    <row r="46" spans="1:16">
      <c r="A46" s="232" t="s">
        <v>475</v>
      </c>
      <c r="B46" s="155" t="s">
        <v>597</v>
      </c>
      <c r="C46" s="181">
        <v>12000000</v>
      </c>
      <c r="D46" s="301">
        <v>3000000</v>
      </c>
      <c r="E46" s="302">
        <v>2016000.0000000002</v>
      </c>
      <c r="F46" s="181">
        <v>65656</v>
      </c>
      <c r="G46" s="303">
        <v>57522</v>
      </c>
      <c r="H46" s="304">
        <f t="shared" si="0"/>
        <v>168</v>
      </c>
      <c r="I46" s="179">
        <f t="shared" si="8"/>
        <v>5.4713333333333333E-3</v>
      </c>
      <c r="J46" s="305">
        <f t="shared" si="1"/>
        <v>30.705495308882664</v>
      </c>
      <c r="K46" s="305">
        <f t="shared" si="2"/>
        <v>35.047460102221763</v>
      </c>
      <c r="L46" s="306">
        <f t="shared" si="3"/>
        <v>0.87611185573291095</v>
      </c>
      <c r="M46" s="307">
        <f t="shared" si="4"/>
        <v>4</v>
      </c>
      <c r="N46" s="307">
        <f t="shared" si="5"/>
        <v>1.9739501467946916</v>
      </c>
      <c r="O46" s="307">
        <f t="shared" si="6"/>
        <v>8.6153846153846168</v>
      </c>
      <c r="P46" s="308">
        <f t="shared" si="7"/>
        <v>4.3152619671153305</v>
      </c>
    </row>
    <row r="47" spans="1:16">
      <c r="A47" s="232" t="s">
        <v>475</v>
      </c>
      <c r="B47" s="300" t="s">
        <v>368</v>
      </c>
      <c r="C47" s="181">
        <v>1500000</v>
      </c>
      <c r="D47" s="301">
        <v>1350000</v>
      </c>
      <c r="E47" s="302">
        <v>1008000</v>
      </c>
      <c r="F47" s="181">
        <v>19321</v>
      </c>
      <c r="G47" s="303">
        <v>11521</v>
      </c>
      <c r="H47" s="304">
        <f t="shared" si="0"/>
        <v>672</v>
      </c>
      <c r="I47" s="179">
        <f t="shared" si="8"/>
        <v>1.2880666666666667E-2</v>
      </c>
      <c r="J47" s="305">
        <f t="shared" si="1"/>
        <v>52.171212670151647</v>
      </c>
      <c r="K47" s="305">
        <f t="shared" si="2"/>
        <v>87.492405173162055</v>
      </c>
      <c r="L47" s="306">
        <f t="shared" si="3"/>
        <v>0.5962941876714456</v>
      </c>
      <c r="M47" s="307">
        <f t="shared" si="4"/>
        <v>1.7999999999999998</v>
      </c>
      <c r="N47" s="307">
        <f t="shared" si="5"/>
        <v>0.79071936445956825</v>
      </c>
      <c r="O47" s="307">
        <f t="shared" si="6"/>
        <v>2.1538461538461542</v>
      </c>
      <c r="P47" s="308">
        <f t="shared" si="7"/>
        <v>1.5679850401071012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F39A-F573-4ECA-9776-D60D10AE2D56}">
  <dimension ref="A1:P43"/>
  <sheetViews>
    <sheetView topLeftCell="A25" workbookViewId="0">
      <selection activeCell="B46" sqref="B46"/>
    </sheetView>
  </sheetViews>
  <sheetFormatPr defaultRowHeight="14.4"/>
  <cols>
    <col min="1" max="1" width="11" bestFit="1" customWidth="1"/>
    <col min="2" max="2" width="25.5546875" customWidth="1"/>
    <col min="3" max="3" width="13.44140625" customWidth="1"/>
    <col min="16" max="16" width="13.5546875" bestFit="1" customWidth="1"/>
  </cols>
  <sheetData>
    <row r="1" spans="1:16">
      <c r="A1" s="822" t="s">
        <v>89</v>
      </c>
      <c r="B1" s="824" t="s">
        <v>93</v>
      </c>
      <c r="C1" s="824" t="s">
        <v>598</v>
      </c>
      <c r="D1" s="824" t="s">
        <v>598</v>
      </c>
      <c r="E1" s="824" t="s">
        <v>599</v>
      </c>
      <c r="F1" s="824"/>
      <c r="G1" s="824"/>
      <c r="H1" s="824"/>
      <c r="I1" s="824" t="s">
        <v>600</v>
      </c>
      <c r="J1" s="824"/>
      <c r="K1" s="824"/>
      <c r="L1" s="824"/>
      <c r="M1" s="139"/>
      <c r="N1" s="140">
        <v>0.5</v>
      </c>
      <c r="O1" s="140">
        <v>0.5</v>
      </c>
    </row>
    <row r="2" spans="1:16">
      <c r="A2" s="823"/>
      <c r="B2" s="824"/>
      <c r="C2" s="136" t="s">
        <v>601</v>
      </c>
      <c r="D2" s="136" t="s">
        <v>602</v>
      </c>
      <c r="E2" s="136" t="s">
        <v>603</v>
      </c>
      <c r="F2" s="136" t="s">
        <v>602</v>
      </c>
      <c r="G2" s="136" t="s">
        <v>604</v>
      </c>
      <c r="H2" s="136" t="s">
        <v>605</v>
      </c>
      <c r="I2" s="136" t="s">
        <v>603</v>
      </c>
      <c r="J2" s="136" t="s">
        <v>602</v>
      </c>
      <c r="K2" s="136" t="s">
        <v>604</v>
      </c>
      <c r="L2" s="136" t="s">
        <v>605</v>
      </c>
      <c r="M2" s="136" t="s">
        <v>606</v>
      </c>
      <c r="N2" s="141" t="s">
        <v>558</v>
      </c>
      <c r="O2" s="141" t="s">
        <v>559</v>
      </c>
      <c r="P2" s="141" t="s">
        <v>607</v>
      </c>
    </row>
    <row r="3" spans="1:16">
      <c r="A3" s="138" t="s">
        <v>608</v>
      </c>
      <c r="B3" s="144" t="s">
        <v>609</v>
      </c>
      <c r="C3" s="142">
        <v>243967.28700000001</v>
      </c>
      <c r="D3" s="143">
        <v>49.744999999999997</v>
      </c>
      <c r="E3" s="142">
        <v>26855.456999999999</v>
      </c>
      <c r="F3" s="143">
        <v>75.177999999999997</v>
      </c>
      <c r="G3" s="143">
        <v>11.007999999999999</v>
      </c>
      <c r="H3" s="142">
        <v>151.12899999999999</v>
      </c>
      <c r="I3" s="142">
        <v>119305.99</v>
      </c>
      <c r="J3" s="143">
        <v>64.48</v>
      </c>
      <c r="K3" s="143">
        <v>48.902000000000001</v>
      </c>
      <c r="L3" s="142">
        <v>129.62200000000001</v>
      </c>
      <c r="M3" s="138">
        <v>92450.53300000001</v>
      </c>
      <c r="N3" s="320">
        <v>100</v>
      </c>
      <c r="O3" s="137">
        <v>49.374949024755963</v>
      </c>
      <c r="P3" s="33">
        <v>74.687474512377975</v>
      </c>
    </row>
    <row r="4" spans="1:16">
      <c r="A4" s="138" t="s">
        <v>290</v>
      </c>
      <c r="B4" s="144" t="s">
        <v>610</v>
      </c>
      <c r="C4" s="142">
        <v>215101.348</v>
      </c>
      <c r="D4" s="143">
        <v>43.859000000000002</v>
      </c>
      <c r="E4" s="142">
        <v>21973.934000000001</v>
      </c>
      <c r="F4" s="143">
        <v>61.512999999999998</v>
      </c>
      <c r="G4" s="143">
        <v>10.215999999999999</v>
      </c>
      <c r="H4" s="142">
        <v>140.25299999999999</v>
      </c>
      <c r="I4" s="142">
        <v>89578.422000000006</v>
      </c>
      <c r="J4" s="143">
        <v>48.412999999999997</v>
      </c>
      <c r="K4" s="143">
        <v>41.645000000000003</v>
      </c>
      <c r="L4" s="142">
        <v>110.384</v>
      </c>
      <c r="M4" s="138">
        <v>67604.488000000012</v>
      </c>
      <c r="N4" s="320">
        <v>73.125038662567803</v>
      </c>
      <c r="O4" s="137">
        <v>42.71315663815755</v>
      </c>
      <c r="P4" s="33">
        <v>57.919097650362673</v>
      </c>
    </row>
    <row r="5" spans="1:16">
      <c r="A5" s="138" t="s">
        <v>608</v>
      </c>
      <c r="B5" s="144" t="s">
        <v>611</v>
      </c>
      <c r="C5" s="142">
        <v>176097.46799999999</v>
      </c>
      <c r="D5" s="143">
        <v>35.905999999999999</v>
      </c>
      <c r="E5" s="142">
        <v>20450.215</v>
      </c>
      <c r="F5" s="143">
        <v>57.247999999999998</v>
      </c>
      <c r="G5" s="143">
        <v>11.613</v>
      </c>
      <c r="H5" s="142">
        <v>159.43799999999999</v>
      </c>
      <c r="I5" s="142">
        <v>81178.357000000004</v>
      </c>
      <c r="J5" s="143">
        <v>43.872999999999998</v>
      </c>
      <c r="K5" s="143">
        <v>46.098999999999997</v>
      </c>
      <c r="L5" s="142">
        <v>122.19</v>
      </c>
      <c r="M5" s="138">
        <v>60728.142000000007</v>
      </c>
      <c r="N5" s="320">
        <v>65.687173485522251</v>
      </c>
      <c r="O5" s="137">
        <v>47.522784138439732</v>
      </c>
      <c r="P5" s="33">
        <v>56.604978811980992</v>
      </c>
    </row>
    <row r="6" spans="1:16">
      <c r="A6" s="138" t="s">
        <v>354</v>
      </c>
      <c r="B6" s="144" t="s">
        <v>612</v>
      </c>
      <c r="C6" s="142">
        <v>80202.410999999993</v>
      </c>
      <c r="D6" s="143">
        <v>16.353000000000002</v>
      </c>
      <c r="E6" s="142">
        <v>9085.4249999999993</v>
      </c>
      <c r="F6" s="143">
        <v>25.433</v>
      </c>
      <c r="G6" s="143">
        <v>11.327999999999999</v>
      </c>
      <c r="H6" s="142">
        <v>155.52699999999999</v>
      </c>
      <c r="I6" s="142">
        <v>48584.302000000003</v>
      </c>
      <c r="J6" s="143">
        <v>26.257999999999999</v>
      </c>
      <c r="K6" s="143">
        <v>60.576999999999998</v>
      </c>
      <c r="L6" s="142">
        <v>160.56700000000001</v>
      </c>
      <c r="M6" s="138">
        <v>39498.877000000008</v>
      </c>
      <c r="N6" s="320">
        <v>42.724336700146445</v>
      </c>
      <c r="O6" s="137">
        <v>59.335485102493614</v>
      </c>
      <c r="P6" s="33">
        <v>51.029910901320029</v>
      </c>
    </row>
    <row r="7" spans="1:16">
      <c r="A7" s="138" t="s">
        <v>613</v>
      </c>
      <c r="B7" s="144" t="s">
        <v>614</v>
      </c>
      <c r="C7" s="142">
        <v>2829.944</v>
      </c>
      <c r="D7" s="143">
        <v>0.57699999999999996</v>
      </c>
      <c r="E7" s="142">
        <v>792.822</v>
      </c>
      <c r="F7" s="143">
        <v>2.2189999999999999</v>
      </c>
      <c r="G7" s="143">
        <v>28.015000000000001</v>
      </c>
      <c r="H7" s="142">
        <v>384.63099999999997</v>
      </c>
      <c r="I7" s="142">
        <v>2382.5250000000001</v>
      </c>
      <c r="J7" s="143">
        <v>1.288</v>
      </c>
      <c r="K7" s="143">
        <v>84.19</v>
      </c>
      <c r="L7" s="142">
        <v>223.155</v>
      </c>
      <c r="M7" s="138">
        <v>1589.703</v>
      </c>
      <c r="N7" s="320">
        <v>1.7195173985638348</v>
      </c>
      <c r="O7" s="137">
        <v>92.179330944765653</v>
      </c>
      <c r="P7" s="33">
        <v>46.949424171664745</v>
      </c>
    </row>
    <row r="8" spans="1:16">
      <c r="A8" s="138" t="s">
        <v>354</v>
      </c>
      <c r="B8" s="144" t="s">
        <v>615</v>
      </c>
      <c r="C8" s="142">
        <v>55099.178999999996</v>
      </c>
      <c r="D8" s="143">
        <v>11.234999999999999</v>
      </c>
      <c r="E8" s="142">
        <v>7950.4520000000002</v>
      </c>
      <c r="F8" s="143">
        <v>22.256</v>
      </c>
      <c r="G8" s="143">
        <v>14.429</v>
      </c>
      <c r="H8" s="142">
        <v>198.10400000000001</v>
      </c>
      <c r="I8" s="142">
        <v>33177.292999999998</v>
      </c>
      <c r="J8" s="143">
        <v>17.931000000000001</v>
      </c>
      <c r="K8" s="143">
        <v>60.213999999999999</v>
      </c>
      <c r="L8" s="142">
        <v>159.60400000000001</v>
      </c>
      <c r="M8" s="138">
        <v>25226.840999999997</v>
      </c>
      <c r="N8" s="320">
        <v>27.286852959517272</v>
      </c>
      <c r="O8" s="137">
        <v>61.488564762924057</v>
      </c>
      <c r="P8" s="33">
        <v>44.387708861220666</v>
      </c>
    </row>
    <row r="9" spans="1:16">
      <c r="A9" s="138" t="s">
        <v>354</v>
      </c>
      <c r="B9" s="144" t="s">
        <v>616</v>
      </c>
      <c r="C9" s="142">
        <v>4789.43</v>
      </c>
      <c r="D9" s="143">
        <v>0.97699999999999998</v>
      </c>
      <c r="E9" s="142">
        <v>1612.9079999999999</v>
      </c>
      <c r="F9" s="143">
        <v>4.5149999999999997</v>
      </c>
      <c r="G9" s="143">
        <v>33.676000000000002</v>
      </c>
      <c r="H9" s="142">
        <v>462.35199999999998</v>
      </c>
      <c r="I9" s="142">
        <v>3442.7910000000002</v>
      </c>
      <c r="J9" s="143">
        <v>1.861</v>
      </c>
      <c r="K9" s="143">
        <v>71.882999999999996</v>
      </c>
      <c r="L9" s="142">
        <v>190.535</v>
      </c>
      <c r="M9" s="138">
        <v>1829.8830000000003</v>
      </c>
      <c r="N9" s="320">
        <v>1.9793103842895097</v>
      </c>
      <c r="O9" s="137">
        <v>86.428678704695898</v>
      </c>
      <c r="P9" s="33">
        <v>44.203994544492701</v>
      </c>
    </row>
    <row r="10" spans="1:16">
      <c r="A10" s="138" t="s">
        <v>204</v>
      </c>
      <c r="B10" s="144" t="s">
        <v>374</v>
      </c>
      <c r="C10" s="142">
        <v>112854.605</v>
      </c>
      <c r="D10" s="143">
        <v>23.010999999999999</v>
      </c>
      <c r="E10" s="142">
        <v>13859.76</v>
      </c>
      <c r="F10" s="143">
        <v>38.798999999999999</v>
      </c>
      <c r="G10" s="143">
        <v>12.281000000000001</v>
      </c>
      <c r="H10" s="142">
        <v>168.61</v>
      </c>
      <c r="I10" s="142">
        <v>50665.498</v>
      </c>
      <c r="J10" s="143">
        <v>27.382999999999999</v>
      </c>
      <c r="K10" s="143">
        <v>44.893999999999998</v>
      </c>
      <c r="L10" s="142">
        <v>118.998</v>
      </c>
      <c r="M10" s="138">
        <v>36805.737999999998</v>
      </c>
      <c r="N10" s="320">
        <v>39.811277237309163</v>
      </c>
      <c r="O10" s="137">
        <v>47.050400467062786</v>
      </c>
      <c r="P10" s="33">
        <v>43.430838852185971</v>
      </c>
    </row>
    <row r="11" spans="1:16">
      <c r="A11" s="138" t="s">
        <v>354</v>
      </c>
      <c r="B11" s="144" t="s">
        <v>617</v>
      </c>
      <c r="C11" s="142">
        <v>42076.9</v>
      </c>
      <c r="D11" s="143">
        <v>8.5790000000000006</v>
      </c>
      <c r="E11" s="142">
        <v>6132.8069999999998</v>
      </c>
      <c r="F11" s="143">
        <v>17.167999999999999</v>
      </c>
      <c r="G11" s="143">
        <v>14.574999999999999</v>
      </c>
      <c r="H11" s="142">
        <v>200.107</v>
      </c>
      <c r="I11" s="142">
        <v>26777.937999999998</v>
      </c>
      <c r="J11" s="143">
        <v>14.472</v>
      </c>
      <c r="K11" s="143">
        <v>63.64</v>
      </c>
      <c r="L11" s="142">
        <v>168.68700000000001</v>
      </c>
      <c r="M11" s="138">
        <v>20645.130999999998</v>
      </c>
      <c r="N11" s="320">
        <v>22.331002677940209</v>
      </c>
      <c r="O11" s="137">
        <v>64.453251136964894</v>
      </c>
      <c r="P11" s="33">
        <v>43.39212690745255</v>
      </c>
    </row>
    <row r="12" spans="1:16">
      <c r="A12" s="138" t="s">
        <v>354</v>
      </c>
      <c r="B12" s="144" t="s">
        <v>618</v>
      </c>
      <c r="C12" s="142">
        <v>44697.552000000003</v>
      </c>
      <c r="D12" s="143">
        <v>9.1140000000000008</v>
      </c>
      <c r="E12" s="142">
        <v>6027.3950000000004</v>
      </c>
      <c r="F12" s="143">
        <v>16.873000000000001</v>
      </c>
      <c r="G12" s="143">
        <v>13.484999999999999</v>
      </c>
      <c r="H12" s="142">
        <v>185.137</v>
      </c>
      <c r="I12" s="142">
        <v>27725.09</v>
      </c>
      <c r="J12" s="143">
        <v>14.984</v>
      </c>
      <c r="K12" s="143">
        <v>62.027999999999999</v>
      </c>
      <c r="L12" s="142">
        <v>164.41300000000001</v>
      </c>
      <c r="M12" s="138">
        <v>21697.695</v>
      </c>
      <c r="N12" s="320">
        <v>23.469518558643678</v>
      </c>
      <c r="O12" s="137">
        <v>62.249339779756838</v>
      </c>
      <c r="P12" s="33">
        <v>42.859429169200254</v>
      </c>
    </row>
    <row r="13" spans="1:16">
      <c r="A13" s="138" t="s">
        <v>354</v>
      </c>
      <c r="B13" s="144" t="s">
        <v>619</v>
      </c>
      <c r="C13" s="142">
        <v>53562.283000000003</v>
      </c>
      <c r="D13" s="143">
        <v>10.920999999999999</v>
      </c>
      <c r="E13" s="142">
        <v>7357.683</v>
      </c>
      <c r="F13" s="143">
        <v>20.597000000000001</v>
      </c>
      <c r="G13" s="143">
        <v>13.737</v>
      </c>
      <c r="H13" s="142">
        <v>188.59399999999999</v>
      </c>
      <c r="I13" s="142">
        <v>31063.232</v>
      </c>
      <c r="J13" s="143">
        <v>16.788</v>
      </c>
      <c r="K13" s="143">
        <v>57.994999999999997</v>
      </c>
      <c r="L13" s="142">
        <v>153.72200000000001</v>
      </c>
      <c r="M13" s="138">
        <v>23705.548999999999</v>
      </c>
      <c r="N13" s="320">
        <v>25.641332971006232</v>
      </c>
      <c r="O13" s="137">
        <v>59.095095635725365</v>
      </c>
      <c r="P13" s="33">
        <v>42.368214303365797</v>
      </c>
    </row>
    <row r="14" spans="1:16">
      <c r="A14" s="138" t="s">
        <v>354</v>
      </c>
      <c r="B14" s="144" t="s">
        <v>620</v>
      </c>
      <c r="C14" s="142">
        <v>24990.179</v>
      </c>
      <c r="D14" s="143">
        <v>5.0949999999999998</v>
      </c>
      <c r="E14" s="142">
        <v>5420.2640000000001</v>
      </c>
      <c r="F14" s="143">
        <v>15.173</v>
      </c>
      <c r="G14" s="143">
        <v>21.69</v>
      </c>
      <c r="H14" s="142">
        <v>297.78199999999998</v>
      </c>
      <c r="I14" s="142">
        <v>16632.576000000001</v>
      </c>
      <c r="J14" s="143">
        <v>8.9890000000000008</v>
      </c>
      <c r="K14" s="143">
        <v>66.555999999999997</v>
      </c>
      <c r="L14" s="142">
        <v>176.416</v>
      </c>
      <c r="M14" s="138">
        <v>11212.312000000002</v>
      </c>
      <c r="N14" s="320">
        <v>12.127904119276414</v>
      </c>
      <c r="O14" s="137">
        <v>72.510032790850218</v>
      </c>
      <c r="P14" s="33">
        <v>42.318968455063313</v>
      </c>
    </row>
    <row r="15" spans="1:16">
      <c r="A15" s="138" t="s">
        <v>613</v>
      </c>
      <c r="B15" s="144" t="s">
        <v>621</v>
      </c>
      <c r="C15" s="142">
        <v>2318.4699999999998</v>
      </c>
      <c r="D15" s="143">
        <v>0.47299999999999998</v>
      </c>
      <c r="E15" s="142">
        <v>358.03100000000001</v>
      </c>
      <c r="F15" s="143">
        <v>1.002</v>
      </c>
      <c r="G15" s="143">
        <v>15.443</v>
      </c>
      <c r="H15" s="142">
        <v>212.01499999999999</v>
      </c>
      <c r="I15" s="142">
        <v>1944.4110000000001</v>
      </c>
      <c r="J15" s="143">
        <v>1.0509999999999999</v>
      </c>
      <c r="K15" s="143">
        <v>83.866</v>
      </c>
      <c r="L15" s="142">
        <v>222.297</v>
      </c>
      <c r="M15" s="138">
        <v>1586.38</v>
      </c>
      <c r="N15" s="320">
        <v>1.71592304394827</v>
      </c>
      <c r="O15" s="137">
        <v>81.95647556699879</v>
      </c>
      <c r="P15" s="33">
        <v>41.836199305473528</v>
      </c>
    </row>
    <row r="16" spans="1:16">
      <c r="A16" s="138" t="s">
        <v>354</v>
      </c>
      <c r="B16" s="144" t="s">
        <v>207</v>
      </c>
      <c r="C16" s="142">
        <v>91258.089000000007</v>
      </c>
      <c r="D16" s="143">
        <v>18.606999999999999</v>
      </c>
      <c r="E16" s="142">
        <v>9469.89</v>
      </c>
      <c r="F16" s="143">
        <v>26.51</v>
      </c>
      <c r="G16" s="143">
        <v>10.377000000000001</v>
      </c>
      <c r="H16" s="142">
        <v>142.46899999999999</v>
      </c>
      <c r="I16" s="142">
        <v>42936.586000000003</v>
      </c>
      <c r="J16" s="143">
        <v>23.204999999999998</v>
      </c>
      <c r="K16" s="143">
        <v>47.05</v>
      </c>
      <c r="L16" s="142">
        <v>124.711</v>
      </c>
      <c r="M16" s="138">
        <v>33466.696000000004</v>
      </c>
      <c r="N16" s="320">
        <v>36.199570639576521</v>
      </c>
      <c r="O16" s="137">
        <v>47.335080727137282</v>
      </c>
      <c r="P16" s="33">
        <v>41.767325683356901</v>
      </c>
    </row>
    <row r="17" spans="1:16">
      <c r="A17" s="138" t="s">
        <v>354</v>
      </c>
      <c r="B17" s="144" t="s">
        <v>622</v>
      </c>
      <c r="C17" s="142">
        <v>24669.883000000002</v>
      </c>
      <c r="D17" s="143">
        <v>5.03</v>
      </c>
      <c r="E17" s="142">
        <v>4346.3500000000004</v>
      </c>
      <c r="F17" s="143">
        <v>12.167</v>
      </c>
      <c r="G17" s="143">
        <v>17.617999999999999</v>
      </c>
      <c r="H17" s="142">
        <v>241.88200000000001</v>
      </c>
      <c r="I17" s="142">
        <v>16370.708000000001</v>
      </c>
      <c r="J17" s="143">
        <v>8.8480000000000008</v>
      </c>
      <c r="K17" s="143">
        <v>66.358999999999995</v>
      </c>
      <c r="L17" s="142">
        <v>175.893</v>
      </c>
      <c r="M17" s="138">
        <v>12024.358</v>
      </c>
      <c r="N17" s="320">
        <v>13.006261413333332</v>
      </c>
      <c r="O17" s="137">
        <v>69.122563328536614</v>
      </c>
      <c r="P17" s="33">
        <v>41.064412370934974</v>
      </c>
    </row>
    <row r="18" spans="1:16">
      <c r="A18" s="138" t="s">
        <v>354</v>
      </c>
      <c r="B18" s="144" t="s">
        <v>623</v>
      </c>
      <c r="C18" s="142">
        <v>69518.739000000001</v>
      </c>
      <c r="D18" s="143">
        <v>14.175000000000001</v>
      </c>
      <c r="E18" s="142">
        <v>3100.3380000000002</v>
      </c>
      <c r="F18" s="143">
        <v>8.6790000000000003</v>
      </c>
      <c r="G18" s="143">
        <v>4.46</v>
      </c>
      <c r="H18" s="142">
        <v>61.228999999999999</v>
      </c>
      <c r="I18" s="142">
        <v>34813.781000000003</v>
      </c>
      <c r="J18" s="143">
        <v>18.815000000000001</v>
      </c>
      <c r="K18" s="143">
        <v>50.078000000000003</v>
      </c>
      <c r="L18" s="142">
        <v>132.738</v>
      </c>
      <c r="M18" s="138">
        <v>31713.443000000003</v>
      </c>
      <c r="N18" s="320">
        <v>34.303147825010377</v>
      </c>
      <c r="O18" s="137">
        <v>45.168399886894321</v>
      </c>
      <c r="P18" s="33">
        <v>39.735773855952345</v>
      </c>
    </row>
    <row r="19" spans="1:16">
      <c r="A19" s="138" t="s">
        <v>613</v>
      </c>
      <c r="B19" s="144" t="s">
        <v>624</v>
      </c>
      <c r="C19" s="142">
        <v>9643.9009999999998</v>
      </c>
      <c r="D19" s="143">
        <v>1.966</v>
      </c>
      <c r="E19" s="142">
        <v>1600.55</v>
      </c>
      <c r="F19" s="143">
        <v>4.4809999999999999</v>
      </c>
      <c r="G19" s="143">
        <v>16.597000000000001</v>
      </c>
      <c r="H19" s="142">
        <v>227.858</v>
      </c>
      <c r="I19" s="142">
        <v>6768.3040000000001</v>
      </c>
      <c r="J19" s="143">
        <v>3.6579999999999999</v>
      </c>
      <c r="K19" s="143">
        <v>70.182000000000002</v>
      </c>
      <c r="L19" s="142">
        <v>186.02600000000001</v>
      </c>
      <c r="M19" s="138">
        <v>5167.7539999999999</v>
      </c>
      <c r="N19" s="320">
        <v>5.5897503587134532</v>
      </c>
      <c r="O19" s="137">
        <v>71.492437547938749</v>
      </c>
      <c r="P19" s="33">
        <v>38.541093953326104</v>
      </c>
    </row>
    <row r="20" spans="1:16">
      <c r="A20" s="138" t="s">
        <v>613</v>
      </c>
      <c r="B20" s="144" t="s">
        <v>625</v>
      </c>
      <c r="C20" s="142">
        <v>11746.61</v>
      </c>
      <c r="D20" s="143">
        <v>2.395</v>
      </c>
      <c r="E20" s="142">
        <v>1560.039</v>
      </c>
      <c r="F20" s="143">
        <v>4.367</v>
      </c>
      <c r="G20" s="143">
        <v>13.281000000000001</v>
      </c>
      <c r="H20" s="142">
        <v>182.33500000000001</v>
      </c>
      <c r="I20" s="142">
        <v>8283.7379999999994</v>
      </c>
      <c r="J20" s="143">
        <v>4.4770000000000003</v>
      </c>
      <c r="K20" s="143">
        <v>70.52</v>
      </c>
      <c r="L20" s="142">
        <v>186.922</v>
      </c>
      <c r="M20" s="138">
        <v>6723.6989999999996</v>
      </c>
      <c r="N20" s="320">
        <v>7.2727530948902137</v>
      </c>
      <c r="O20" s="137">
        <v>69.148463199189464</v>
      </c>
      <c r="P20" s="33">
        <v>38.210608147039842</v>
      </c>
    </row>
    <row r="21" spans="1:16">
      <c r="A21" s="138" t="s">
        <v>204</v>
      </c>
      <c r="B21" s="144" t="s">
        <v>626</v>
      </c>
      <c r="C21" s="142">
        <v>87126.745999999999</v>
      </c>
      <c r="D21" s="143">
        <v>17.765000000000001</v>
      </c>
      <c r="E21" s="142">
        <v>17197.577000000001</v>
      </c>
      <c r="F21" s="143">
        <v>48.142000000000003</v>
      </c>
      <c r="G21" s="143">
        <v>19.739000000000001</v>
      </c>
      <c r="H21" s="142">
        <v>270.99599999999998</v>
      </c>
      <c r="I21" s="142">
        <v>38901.364999999998</v>
      </c>
      <c r="J21" s="143">
        <v>21.024999999999999</v>
      </c>
      <c r="K21" s="143">
        <v>44.649000000000001</v>
      </c>
      <c r="L21" s="142">
        <v>118.348</v>
      </c>
      <c r="M21" s="138">
        <v>21703.787999999997</v>
      </c>
      <c r="N21" s="320">
        <v>23.476109110155154</v>
      </c>
      <c r="O21" s="137">
        <v>52.750484354354931</v>
      </c>
      <c r="P21" s="33">
        <v>38.113296732255044</v>
      </c>
    </row>
    <row r="22" spans="1:16">
      <c r="A22" s="138" t="s">
        <v>627</v>
      </c>
      <c r="B22" s="144" t="s">
        <v>628</v>
      </c>
      <c r="C22" s="142">
        <v>36470.620999999999</v>
      </c>
      <c r="D22" s="143">
        <v>7.4359999999999999</v>
      </c>
      <c r="E22" s="142">
        <v>6727.8</v>
      </c>
      <c r="F22" s="143">
        <v>18.834</v>
      </c>
      <c r="G22" s="143">
        <v>18.446999999999999</v>
      </c>
      <c r="H22" s="142">
        <v>253.26599999999999</v>
      </c>
      <c r="I22" s="142">
        <v>20088.166000000001</v>
      </c>
      <c r="J22" s="143">
        <v>10.856999999999999</v>
      </c>
      <c r="K22" s="143">
        <v>55.08</v>
      </c>
      <c r="L22" s="142">
        <v>145.99700000000001</v>
      </c>
      <c r="M22" s="138">
        <v>13360.366000000002</v>
      </c>
      <c r="N22" s="320">
        <v>14.45136719763422</v>
      </c>
      <c r="O22" s="137">
        <v>60.401133021899987</v>
      </c>
      <c r="P22" s="33">
        <v>37.426250109767103</v>
      </c>
    </row>
    <row r="23" spans="1:16">
      <c r="A23" s="138" t="s">
        <v>290</v>
      </c>
      <c r="B23" s="144" t="s">
        <v>629</v>
      </c>
      <c r="C23" s="142">
        <v>30386.844000000001</v>
      </c>
      <c r="D23" s="143">
        <v>6.1959999999999997</v>
      </c>
      <c r="E23" s="142">
        <v>2426.9180000000001</v>
      </c>
      <c r="F23" s="143">
        <v>6.7939999999999996</v>
      </c>
      <c r="G23" s="143">
        <v>7.9870000000000001</v>
      </c>
      <c r="H23" s="142">
        <v>109.652</v>
      </c>
      <c r="I23" s="142">
        <v>18565.877</v>
      </c>
      <c r="J23" s="143">
        <v>10.034000000000001</v>
      </c>
      <c r="K23" s="143">
        <v>61.097999999999999</v>
      </c>
      <c r="L23" s="142">
        <v>161.94900000000001</v>
      </c>
      <c r="M23" s="138">
        <v>16138.959000000001</v>
      </c>
      <c r="N23" s="320">
        <v>17.456858793880613</v>
      </c>
      <c r="O23" s="137">
        <v>57.123663144894387</v>
      </c>
      <c r="P23" s="33">
        <v>37.290260969387504</v>
      </c>
    </row>
    <row r="24" spans="1:16">
      <c r="A24" s="138" t="s">
        <v>204</v>
      </c>
      <c r="B24" s="144" t="s">
        <v>510</v>
      </c>
      <c r="C24" s="142">
        <v>64020.256999999998</v>
      </c>
      <c r="D24" s="143">
        <v>13.054</v>
      </c>
      <c r="E24" s="142">
        <v>10877.103999999999</v>
      </c>
      <c r="F24" s="143">
        <v>30.449000000000002</v>
      </c>
      <c r="G24" s="143">
        <v>16.989999999999998</v>
      </c>
      <c r="H24" s="142">
        <v>233.261</v>
      </c>
      <c r="I24" s="142">
        <v>30445.77</v>
      </c>
      <c r="J24" s="143">
        <v>16.454999999999998</v>
      </c>
      <c r="K24" s="143">
        <v>47.555999999999997</v>
      </c>
      <c r="L24" s="142">
        <v>126.054</v>
      </c>
      <c r="M24" s="138">
        <v>19568.666000000001</v>
      </c>
      <c r="N24" s="320">
        <v>21.166634052829092</v>
      </c>
      <c r="O24" s="137">
        <v>52.991779979427065</v>
      </c>
      <c r="P24" s="33">
        <v>37.07920701612808</v>
      </c>
    </row>
    <row r="25" spans="1:16">
      <c r="A25" s="138" t="s">
        <v>204</v>
      </c>
      <c r="B25" s="144" t="s">
        <v>630</v>
      </c>
      <c r="C25" s="142">
        <v>5438.3140000000003</v>
      </c>
      <c r="D25" s="143">
        <v>1.109</v>
      </c>
      <c r="E25" s="142">
        <v>2060.7959999999998</v>
      </c>
      <c r="F25" s="143">
        <v>5.7690000000000001</v>
      </c>
      <c r="G25" s="143">
        <v>37.893999999999998</v>
      </c>
      <c r="H25" s="142">
        <v>520.25599999999997</v>
      </c>
      <c r="I25" s="142">
        <v>2784.2660000000001</v>
      </c>
      <c r="J25" s="143">
        <v>1.5049999999999999</v>
      </c>
      <c r="K25" s="143">
        <v>51.197000000000003</v>
      </c>
      <c r="L25" s="142">
        <v>135.70400000000001</v>
      </c>
      <c r="M25" s="138">
        <v>723.47000000000025</v>
      </c>
      <c r="N25" s="320">
        <v>0.78254821959760923</v>
      </c>
      <c r="O25" s="137">
        <v>72.568080482176072</v>
      </c>
      <c r="P25" s="33">
        <v>36.675314350886843</v>
      </c>
    </row>
    <row r="26" spans="1:16">
      <c r="A26" s="138" t="s">
        <v>354</v>
      </c>
      <c r="B26" s="144" t="s">
        <v>631</v>
      </c>
      <c r="C26" s="142">
        <v>17873.743999999999</v>
      </c>
      <c r="D26" s="143">
        <v>3.6440000000000001</v>
      </c>
      <c r="E26" s="142">
        <v>3142.826</v>
      </c>
      <c r="F26" s="143">
        <v>8.798</v>
      </c>
      <c r="G26" s="143">
        <v>17.582999999999998</v>
      </c>
      <c r="H26" s="142">
        <v>241.40799999999999</v>
      </c>
      <c r="I26" s="142">
        <v>10824.642</v>
      </c>
      <c r="J26" s="143">
        <v>5.85</v>
      </c>
      <c r="K26" s="143">
        <v>60.561999999999998</v>
      </c>
      <c r="L26" s="142">
        <v>160.52600000000001</v>
      </c>
      <c r="M26" s="138">
        <v>7681.8159999999998</v>
      </c>
      <c r="N26" s="320">
        <v>8.3091094780383781</v>
      </c>
      <c r="O26" s="137">
        <v>64.274859140119915</v>
      </c>
      <c r="P26" s="33">
        <v>36.291984309079147</v>
      </c>
    </row>
    <row r="27" spans="1:16">
      <c r="A27" s="138" t="s">
        <v>204</v>
      </c>
      <c r="B27" s="144" t="s">
        <v>632</v>
      </c>
      <c r="C27" s="142">
        <v>29631.309000000001</v>
      </c>
      <c r="D27" s="143">
        <v>6.0419999999999998</v>
      </c>
      <c r="E27" s="142">
        <v>8192.7690000000002</v>
      </c>
      <c r="F27" s="143">
        <v>22.934999999999999</v>
      </c>
      <c r="G27" s="143">
        <v>27.649000000000001</v>
      </c>
      <c r="H27" s="142">
        <v>379.6</v>
      </c>
      <c r="I27" s="142">
        <v>15318.028</v>
      </c>
      <c r="J27" s="143">
        <v>8.2789999999999999</v>
      </c>
      <c r="K27" s="143">
        <v>51.695</v>
      </c>
      <c r="L27" s="142">
        <v>137.02500000000001</v>
      </c>
      <c r="M27" s="138">
        <v>7125.259</v>
      </c>
      <c r="N27" s="320">
        <v>7.7071042954398106</v>
      </c>
      <c r="O27" s="137">
        <v>64.871679907111854</v>
      </c>
      <c r="P27" s="33">
        <v>36.28939210127583</v>
      </c>
    </row>
    <row r="28" spans="1:16">
      <c r="A28" s="138" t="s">
        <v>354</v>
      </c>
      <c r="B28" s="144" t="s">
        <v>633</v>
      </c>
      <c r="C28" s="142">
        <v>10427.248</v>
      </c>
      <c r="D28" s="143">
        <v>2.1259999999999999</v>
      </c>
      <c r="E28" s="142">
        <v>2860.2730000000001</v>
      </c>
      <c r="F28" s="143">
        <v>8.0069999999999997</v>
      </c>
      <c r="G28" s="143">
        <v>27.431000000000001</v>
      </c>
      <c r="H28" s="142">
        <v>376.60399999999998</v>
      </c>
      <c r="I28" s="142">
        <v>5857.6570000000002</v>
      </c>
      <c r="J28" s="143">
        <v>3.1659999999999999</v>
      </c>
      <c r="K28" s="143">
        <v>56.176000000000002</v>
      </c>
      <c r="L28" s="142">
        <v>148.90199999999999</v>
      </c>
      <c r="M28" s="138">
        <v>2997.384</v>
      </c>
      <c r="N28" s="320">
        <v>3.2421489663017948</v>
      </c>
      <c r="O28" s="137">
        <v>68.424535528687102</v>
      </c>
      <c r="P28" s="33">
        <v>35.83334224749445</v>
      </c>
    </row>
    <row r="29" spans="1:16">
      <c r="A29" s="138" t="s">
        <v>613</v>
      </c>
      <c r="B29" s="144" t="s">
        <v>634</v>
      </c>
      <c r="C29" s="142">
        <v>13471.984</v>
      </c>
      <c r="D29" s="143">
        <v>2.7469999999999999</v>
      </c>
      <c r="E29" s="142">
        <v>969.83699999999999</v>
      </c>
      <c r="F29" s="143">
        <v>2.7149999999999999</v>
      </c>
      <c r="G29" s="143">
        <v>7.1989999999999998</v>
      </c>
      <c r="H29" s="142">
        <v>98.835999999999999</v>
      </c>
      <c r="I29" s="142">
        <v>9070.723</v>
      </c>
      <c r="J29" s="143">
        <v>4.9020000000000001</v>
      </c>
      <c r="K29" s="143">
        <v>67.33</v>
      </c>
      <c r="L29" s="142">
        <v>178.46700000000001</v>
      </c>
      <c r="M29" s="138">
        <v>8100.8860000000004</v>
      </c>
      <c r="N29" s="320">
        <v>8.762400536944444</v>
      </c>
      <c r="O29" s="137">
        <v>61.681391179145592</v>
      </c>
      <c r="P29" s="33">
        <v>35.221895858045016</v>
      </c>
    </row>
    <row r="30" spans="1:16">
      <c r="A30" s="138" t="s">
        <v>399</v>
      </c>
      <c r="B30" s="144" t="s">
        <v>208</v>
      </c>
      <c r="C30" s="142">
        <v>95395.159</v>
      </c>
      <c r="D30" s="143">
        <v>19.451000000000001</v>
      </c>
      <c r="E30" s="142">
        <v>8500.0650000000005</v>
      </c>
      <c r="F30" s="143">
        <v>23.795000000000002</v>
      </c>
      <c r="G30" s="143">
        <v>8.91</v>
      </c>
      <c r="H30" s="142">
        <v>122.333</v>
      </c>
      <c r="I30" s="142">
        <v>36339.322999999997</v>
      </c>
      <c r="J30" s="143">
        <v>19.64</v>
      </c>
      <c r="K30" s="143">
        <v>38.093000000000004</v>
      </c>
      <c r="L30" s="142">
        <v>100.971</v>
      </c>
      <c r="M30" s="138">
        <v>27839.257999999994</v>
      </c>
      <c r="N30" s="320">
        <v>30.112598701837651</v>
      </c>
      <c r="O30" s="137">
        <v>38.727118166883315</v>
      </c>
      <c r="P30" s="33">
        <v>34.419858434360485</v>
      </c>
    </row>
    <row r="31" spans="1:16">
      <c r="A31" s="138" t="s">
        <v>627</v>
      </c>
      <c r="B31" s="144" t="s">
        <v>391</v>
      </c>
      <c r="C31" s="142">
        <v>54675.89</v>
      </c>
      <c r="D31" s="143">
        <v>11.148</v>
      </c>
      <c r="E31" s="142">
        <v>11549.242</v>
      </c>
      <c r="F31" s="143">
        <v>32.331000000000003</v>
      </c>
      <c r="G31" s="143">
        <v>21.123000000000001</v>
      </c>
      <c r="H31" s="142">
        <v>290.00400000000002</v>
      </c>
      <c r="I31" s="142">
        <v>24299.995999999999</v>
      </c>
      <c r="J31" s="143">
        <v>13.132999999999999</v>
      </c>
      <c r="K31" s="143">
        <v>44.444000000000003</v>
      </c>
      <c r="L31" s="142">
        <v>117.803</v>
      </c>
      <c r="M31" s="138">
        <v>12750.753999999999</v>
      </c>
      <c r="N31" s="320">
        <v>13.791974568713409</v>
      </c>
      <c r="O31" s="137">
        <v>53.675602726146309</v>
      </c>
      <c r="P31" s="33">
        <v>33.733788647429861</v>
      </c>
    </row>
    <row r="32" spans="1:16">
      <c r="A32" s="138" t="s">
        <v>627</v>
      </c>
      <c r="B32" s="144" t="s">
        <v>635</v>
      </c>
      <c r="C32" s="142">
        <v>38363.474999999999</v>
      </c>
      <c r="D32" s="143">
        <v>7.8220000000000001</v>
      </c>
      <c r="E32" s="142">
        <v>4177.6210000000001</v>
      </c>
      <c r="F32" s="143">
        <v>11.695</v>
      </c>
      <c r="G32" s="143">
        <v>10.89</v>
      </c>
      <c r="H32" s="142">
        <v>149.506</v>
      </c>
      <c r="I32" s="142">
        <v>19303.442999999999</v>
      </c>
      <c r="J32" s="143">
        <v>10.433</v>
      </c>
      <c r="K32" s="143">
        <v>50.317</v>
      </c>
      <c r="L32" s="142">
        <v>133.37200000000001</v>
      </c>
      <c r="M32" s="138">
        <v>15125.822</v>
      </c>
      <c r="N32" s="320">
        <v>16.360989503435309</v>
      </c>
      <c r="O32" s="137">
        <v>50.45767291231104</v>
      </c>
      <c r="P32" s="33">
        <v>33.409331207873173</v>
      </c>
    </row>
    <row r="33" spans="1:16">
      <c r="A33" s="138" t="s">
        <v>290</v>
      </c>
      <c r="B33" s="144" t="s">
        <v>636</v>
      </c>
      <c r="C33" s="142">
        <v>43842.067999999999</v>
      </c>
      <c r="D33" s="143">
        <v>8.9390000000000001</v>
      </c>
      <c r="E33" s="142">
        <v>4855.53</v>
      </c>
      <c r="F33" s="143">
        <v>13.592000000000001</v>
      </c>
      <c r="G33" s="143">
        <v>11.074999999999999</v>
      </c>
      <c r="H33" s="142">
        <v>152.05199999999999</v>
      </c>
      <c r="I33" s="142">
        <v>20865.563999999998</v>
      </c>
      <c r="J33" s="143">
        <v>11.276999999999999</v>
      </c>
      <c r="K33" s="143">
        <v>47.593000000000004</v>
      </c>
      <c r="L33" s="142">
        <v>126.15</v>
      </c>
      <c r="M33" s="138">
        <v>16010.034</v>
      </c>
      <c r="N33" s="320">
        <v>17.317405839077203</v>
      </c>
      <c r="O33" s="137">
        <v>48.339064355062142</v>
      </c>
      <c r="P33" s="33">
        <v>32.828235097069673</v>
      </c>
    </row>
    <row r="34" spans="1:16">
      <c r="A34" s="138" t="s">
        <v>354</v>
      </c>
      <c r="B34" s="144" t="s">
        <v>637</v>
      </c>
      <c r="C34" s="142">
        <v>46002.917000000001</v>
      </c>
      <c r="D34" s="143">
        <v>9.3800000000000008</v>
      </c>
      <c r="E34" s="142">
        <v>4011.395</v>
      </c>
      <c r="F34" s="143">
        <v>11.228999999999999</v>
      </c>
      <c r="G34" s="143">
        <v>8.7200000000000006</v>
      </c>
      <c r="H34" s="142">
        <v>119.717</v>
      </c>
      <c r="I34" s="142">
        <v>21712.825000000001</v>
      </c>
      <c r="J34" s="143">
        <v>11.734999999999999</v>
      </c>
      <c r="K34" s="143">
        <v>47.198999999999998</v>
      </c>
      <c r="L34" s="142">
        <v>125.10599999999999</v>
      </c>
      <c r="M34" s="138">
        <v>17701.43</v>
      </c>
      <c r="N34" s="320">
        <v>19.146920440144999</v>
      </c>
      <c r="O34" s="137">
        <v>46.147016144338714</v>
      </c>
      <c r="P34" s="33">
        <v>32.646968292241858</v>
      </c>
    </row>
    <row r="35" spans="1:16">
      <c r="A35" s="138" t="s">
        <v>354</v>
      </c>
      <c r="B35" s="144" t="s">
        <v>638</v>
      </c>
      <c r="C35" s="142">
        <v>6780.1970000000001</v>
      </c>
      <c r="D35" s="143">
        <v>1.3819999999999999</v>
      </c>
      <c r="E35" s="142">
        <v>995.60799999999995</v>
      </c>
      <c r="F35" s="143">
        <v>2.7869999999999999</v>
      </c>
      <c r="G35" s="143">
        <v>14.683999999999999</v>
      </c>
      <c r="H35" s="142">
        <v>201.601</v>
      </c>
      <c r="I35" s="142">
        <v>4083.5520000000001</v>
      </c>
      <c r="J35" s="143">
        <v>2.2069999999999999</v>
      </c>
      <c r="K35" s="143">
        <v>60.228000000000002</v>
      </c>
      <c r="L35" s="142">
        <v>159.63999999999999</v>
      </c>
      <c r="M35" s="138">
        <v>3087.9440000000004</v>
      </c>
      <c r="N35" s="320">
        <v>3.3401040532670589</v>
      </c>
      <c r="O35" s="137">
        <v>61.701508088034949</v>
      </c>
      <c r="P35" s="33">
        <v>32.520806070651005</v>
      </c>
    </row>
    <row r="36" spans="1:16">
      <c r="A36" s="138" t="s">
        <v>204</v>
      </c>
      <c r="B36" s="144" t="s">
        <v>639</v>
      </c>
      <c r="C36" s="142">
        <v>1615.1189999999999</v>
      </c>
      <c r="D36" s="143">
        <v>0.32900000000000001</v>
      </c>
      <c r="E36" s="142">
        <v>388.58600000000001</v>
      </c>
      <c r="F36" s="143">
        <v>1.0880000000000001</v>
      </c>
      <c r="G36" s="143">
        <v>24.059000000000001</v>
      </c>
      <c r="H36" s="142">
        <v>330.31599999999997</v>
      </c>
      <c r="I36" s="142">
        <v>868.57799999999997</v>
      </c>
      <c r="J36" s="143">
        <v>0.46899999999999997</v>
      </c>
      <c r="K36" s="143">
        <v>53.777999999999999</v>
      </c>
      <c r="L36" s="142">
        <v>142.54499999999999</v>
      </c>
      <c r="M36" s="138">
        <v>479.99199999999996</v>
      </c>
      <c r="N36" s="320">
        <v>0.51918792074459963</v>
      </c>
      <c r="O36" s="137">
        <v>63.761303203139484</v>
      </c>
      <c r="P36" s="33">
        <v>32.140245561942045</v>
      </c>
    </row>
    <row r="37" spans="1:16">
      <c r="A37" s="138" t="s">
        <v>627</v>
      </c>
      <c r="B37" s="144" t="s">
        <v>640</v>
      </c>
      <c r="C37" s="142">
        <v>12315.364</v>
      </c>
      <c r="D37" s="143">
        <v>2.5110000000000001</v>
      </c>
      <c r="E37" s="142">
        <v>2648.87</v>
      </c>
      <c r="F37" s="143">
        <v>7.415</v>
      </c>
      <c r="G37" s="143">
        <v>21.509</v>
      </c>
      <c r="H37" s="142">
        <v>295.298</v>
      </c>
      <c r="I37" s="142">
        <v>6261.4690000000001</v>
      </c>
      <c r="J37" s="143">
        <v>3.3839999999999999</v>
      </c>
      <c r="K37" s="143">
        <v>50.843000000000004</v>
      </c>
      <c r="L37" s="142">
        <v>134.76499999999999</v>
      </c>
      <c r="M37" s="138">
        <v>3612.5990000000002</v>
      </c>
      <c r="N37" s="320">
        <v>3.9076021335647679</v>
      </c>
      <c r="O37" s="137">
        <v>59.301571891884926</v>
      </c>
      <c r="P37" s="33">
        <v>31.604587012724846</v>
      </c>
    </row>
    <row r="38" spans="1:16">
      <c r="A38" s="138" t="s">
        <v>354</v>
      </c>
      <c r="B38" s="144" t="s">
        <v>368</v>
      </c>
      <c r="C38" s="142">
        <v>32629.687000000002</v>
      </c>
      <c r="D38" s="143">
        <v>6.6529999999999996</v>
      </c>
      <c r="E38" s="142">
        <v>5534.0379999999996</v>
      </c>
      <c r="F38" s="143">
        <v>15.492000000000001</v>
      </c>
      <c r="G38" s="143">
        <v>16.96</v>
      </c>
      <c r="H38" s="142">
        <v>232.85</v>
      </c>
      <c r="I38" s="142">
        <v>15051.505999999999</v>
      </c>
      <c r="J38" s="143">
        <v>8.1349999999999998</v>
      </c>
      <c r="K38" s="143">
        <v>46.128</v>
      </c>
      <c r="L38" s="142">
        <v>122.268</v>
      </c>
      <c r="M38" s="138">
        <v>9517.4680000000008</v>
      </c>
      <c r="N38" s="320">
        <v>10.294659956151902</v>
      </c>
      <c r="O38" s="137">
        <v>51.780475080698835</v>
      </c>
      <c r="P38" s="33">
        <v>31.037567518425369</v>
      </c>
    </row>
    <row r="39" spans="1:16">
      <c r="A39" s="138" t="s">
        <v>613</v>
      </c>
      <c r="B39" s="144" t="s">
        <v>641</v>
      </c>
      <c r="C39" s="142">
        <v>4379.6260000000002</v>
      </c>
      <c r="D39" s="143">
        <v>0.89300000000000002</v>
      </c>
      <c r="E39" s="142">
        <v>379.23700000000002</v>
      </c>
      <c r="F39" s="143">
        <v>1.0620000000000001</v>
      </c>
      <c r="G39" s="143">
        <v>8.6590000000000007</v>
      </c>
      <c r="H39" s="142">
        <v>118.883</v>
      </c>
      <c r="I39" s="142">
        <v>2748.8809999999999</v>
      </c>
      <c r="J39" s="143">
        <v>1.486</v>
      </c>
      <c r="K39" s="143">
        <v>62.765000000000001</v>
      </c>
      <c r="L39" s="142">
        <v>166.36699999999999</v>
      </c>
      <c r="M39" s="138">
        <v>2369.6439999999998</v>
      </c>
      <c r="N39" s="320">
        <v>2.5631480134354656</v>
      </c>
      <c r="O39" s="137">
        <v>59.04181166648997</v>
      </c>
      <c r="P39" s="33">
        <v>30.802479839962718</v>
      </c>
    </row>
    <row r="40" spans="1:16">
      <c r="A40" s="138" t="s">
        <v>354</v>
      </c>
      <c r="B40" s="144" t="s">
        <v>642</v>
      </c>
      <c r="C40" s="142">
        <v>5517.6980000000003</v>
      </c>
      <c r="D40" s="143">
        <v>1.125</v>
      </c>
      <c r="E40" s="142">
        <v>1010.148</v>
      </c>
      <c r="F40" s="143">
        <v>2.8279999999999998</v>
      </c>
      <c r="G40" s="143">
        <v>18.306999999999999</v>
      </c>
      <c r="H40" s="142">
        <v>251.34700000000001</v>
      </c>
      <c r="I40" s="142">
        <v>2911.154</v>
      </c>
      <c r="J40" s="143">
        <v>1.573</v>
      </c>
      <c r="K40" s="143">
        <v>52.76</v>
      </c>
      <c r="L40" s="142">
        <v>139.84700000000001</v>
      </c>
      <c r="M40" s="138">
        <v>1901.0059999999999</v>
      </c>
      <c r="N40" s="320">
        <v>2.0562412549855171</v>
      </c>
      <c r="O40" s="137">
        <v>58.361323577887966</v>
      </c>
      <c r="P40" s="33">
        <v>30.20878241643674</v>
      </c>
    </row>
    <row r="41" spans="1:16">
      <c r="A41" s="138" t="s">
        <v>643</v>
      </c>
      <c r="B41" s="144" t="s">
        <v>644</v>
      </c>
      <c r="C41" s="142">
        <v>1116.2070000000001</v>
      </c>
      <c r="D41" s="143">
        <v>0.22800000000000001</v>
      </c>
      <c r="E41" s="142">
        <v>134.72399999999999</v>
      </c>
      <c r="F41" s="143">
        <v>0.377</v>
      </c>
      <c r="G41" s="143">
        <v>12.07</v>
      </c>
      <c r="H41" s="142">
        <v>165.71</v>
      </c>
      <c r="I41" s="142">
        <v>658.88300000000004</v>
      </c>
      <c r="J41" s="143">
        <v>0.35599999999999998</v>
      </c>
      <c r="K41" s="143">
        <v>59.029000000000003</v>
      </c>
      <c r="L41" s="142">
        <v>156.46299999999999</v>
      </c>
      <c r="M41" s="138">
        <v>524.15900000000011</v>
      </c>
      <c r="N41" s="320">
        <v>0.56696157717122087</v>
      </c>
      <c r="O41" s="137">
        <v>58.635320470899323</v>
      </c>
      <c r="P41" s="33">
        <v>29.601141024035272</v>
      </c>
    </row>
    <row r="42" spans="1:16">
      <c r="A42" s="138" t="s">
        <v>204</v>
      </c>
      <c r="B42" s="144" t="s">
        <v>645</v>
      </c>
      <c r="C42" s="142">
        <v>25545.433000000001</v>
      </c>
      <c r="D42" s="143">
        <v>5.2089999999999996</v>
      </c>
      <c r="E42" s="142">
        <v>2629.1770000000001</v>
      </c>
      <c r="F42" s="143">
        <v>7.36</v>
      </c>
      <c r="G42" s="143">
        <v>10.292</v>
      </c>
      <c r="H42" s="142">
        <v>141.304</v>
      </c>
      <c r="I42" s="142">
        <v>11735.281999999999</v>
      </c>
      <c r="J42" s="143">
        <v>6.3419999999999996</v>
      </c>
      <c r="K42" s="143">
        <v>45.939</v>
      </c>
      <c r="L42" s="142">
        <v>121.76600000000001</v>
      </c>
      <c r="M42" s="138">
        <v>9106.1049999999996</v>
      </c>
      <c r="N42" s="320">
        <v>9.8497052472374591</v>
      </c>
      <c r="O42" s="137">
        <v>46.344104900572333</v>
      </c>
      <c r="P42" s="33">
        <v>28.096905073904896</v>
      </c>
    </row>
    <row r="43" spans="1:16">
      <c r="A43" s="138" t="s">
        <v>354</v>
      </c>
      <c r="B43" s="144" t="s">
        <v>646</v>
      </c>
      <c r="C43" s="142">
        <v>20687.921999999999</v>
      </c>
      <c r="D43" s="143">
        <v>4.218</v>
      </c>
      <c r="E43" s="142">
        <v>1803.183</v>
      </c>
      <c r="F43" s="143">
        <v>5.048</v>
      </c>
      <c r="G43" s="143">
        <v>8.7159999999999993</v>
      </c>
      <c r="H43" s="142">
        <v>119.666</v>
      </c>
      <c r="I43" s="142">
        <v>8493.1270000000004</v>
      </c>
      <c r="J43" s="143">
        <v>4.59</v>
      </c>
      <c r="K43" s="143">
        <v>41.054000000000002</v>
      </c>
      <c r="L43" s="142">
        <v>108.81699999999999</v>
      </c>
      <c r="M43" s="138">
        <v>6689.9440000000004</v>
      </c>
      <c r="N43" s="320">
        <v>7.2362416774817291</v>
      </c>
      <c r="O43" s="137">
        <v>41.034487778012632</v>
      </c>
      <c r="P43" s="33">
        <v>24.135364727747181</v>
      </c>
    </row>
  </sheetData>
  <mergeCells count="5">
    <mergeCell ref="A1:A2"/>
    <mergeCell ref="B1:B2"/>
    <mergeCell ref="C1:D1"/>
    <mergeCell ref="E1:H1"/>
    <mergeCell ref="I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D433B-B375-44CB-B8DA-C54E3E5B18F9}">
  <dimension ref="A3:J54"/>
  <sheetViews>
    <sheetView showGridLines="0" workbookViewId="0">
      <selection activeCell="D56" sqref="D55:D56"/>
    </sheetView>
  </sheetViews>
  <sheetFormatPr defaultRowHeight="14.4"/>
  <cols>
    <col min="1" max="1" width="37.5546875" bestFit="1" customWidth="1"/>
    <col min="2" max="2" width="19.88671875" bestFit="1" customWidth="1"/>
    <col min="3" max="3" width="13.5546875" bestFit="1" customWidth="1"/>
    <col min="4" max="4" width="19.109375" bestFit="1" customWidth="1"/>
    <col min="5" max="5" width="21.6640625" customWidth="1"/>
    <col min="6" max="6" width="12.109375" bestFit="1" customWidth="1"/>
    <col min="7" max="7" width="13.6640625" bestFit="1" customWidth="1"/>
    <col min="8" max="10" width="12.109375" bestFit="1" customWidth="1"/>
  </cols>
  <sheetData>
    <row r="3" spans="1:7">
      <c r="A3" s="261" t="s">
        <v>44</v>
      </c>
      <c r="B3" t="s">
        <v>45</v>
      </c>
      <c r="C3" t="s">
        <v>46</v>
      </c>
      <c r="E3" s="146" t="s">
        <v>47</v>
      </c>
      <c r="F3" s="146" t="s">
        <v>14</v>
      </c>
      <c r="G3" s="146" t="s">
        <v>48</v>
      </c>
    </row>
    <row r="4" spans="1:7">
      <c r="A4" s="262" t="s">
        <v>49</v>
      </c>
      <c r="B4">
        <v>4125139.3584226342</v>
      </c>
      <c r="C4">
        <v>13727184.232954336</v>
      </c>
      <c r="E4" s="262" t="s">
        <v>49</v>
      </c>
      <c r="F4" s="8">
        <f>B4</f>
        <v>4125139.3584226342</v>
      </c>
      <c r="G4" s="8">
        <f>C4</f>
        <v>13727184.232954336</v>
      </c>
    </row>
    <row r="5" spans="1:7">
      <c r="A5" s="262" t="s">
        <v>37</v>
      </c>
      <c r="B5">
        <v>2780775</v>
      </c>
      <c r="C5">
        <v>16565050</v>
      </c>
      <c r="E5" s="262" t="s">
        <v>37</v>
      </c>
      <c r="F5" s="8">
        <f t="shared" ref="F5:G17" si="0">B5</f>
        <v>2780775</v>
      </c>
      <c r="G5" s="8">
        <f t="shared" si="0"/>
        <v>16565050</v>
      </c>
    </row>
    <row r="6" spans="1:7">
      <c r="A6" s="262" t="s">
        <v>50</v>
      </c>
      <c r="B6">
        <v>1490212.6647006096</v>
      </c>
      <c r="C6">
        <v>5563961.3436012603</v>
      </c>
      <c r="E6" s="262" t="s">
        <v>50</v>
      </c>
      <c r="F6" s="8">
        <f t="shared" si="0"/>
        <v>1490212.6647006096</v>
      </c>
      <c r="G6" s="8">
        <f t="shared" si="0"/>
        <v>5563961.3436012603</v>
      </c>
    </row>
    <row r="7" spans="1:7">
      <c r="A7" s="262" t="s">
        <v>51</v>
      </c>
      <c r="B7">
        <v>1599093.710294419</v>
      </c>
      <c r="C7">
        <v>7041579.2984493487</v>
      </c>
      <c r="E7" s="262" t="s">
        <v>51</v>
      </c>
      <c r="F7" s="8">
        <f t="shared" si="0"/>
        <v>1599093.710294419</v>
      </c>
      <c r="G7" s="8">
        <f t="shared" si="0"/>
        <v>7041579.2984493487</v>
      </c>
    </row>
    <row r="8" spans="1:7">
      <c r="A8" s="262" t="s">
        <v>39</v>
      </c>
      <c r="B8">
        <v>1779900</v>
      </c>
      <c r="C8">
        <v>8215400</v>
      </c>
      <c r="E8" s="262" t="s">
        <v>39</v>
      </c>
      <c r="F8" s="8">
        <f t="shared" si="0"/>
        <v>1779900</v>
      </c>
      <c r="G8" s="8">
        <f t="shared" si="0"/>
        <v>8215400</v>
      </c>
    </row>
    <row r="9" spans="1:7">
      <c r="A9" s="262" t="s">
        <v>52</v>
      </c>
      <c r="B9">
        <v>945969.20774999983</v>
      </c>
      <c r="C9">
        <v>3641276.6424999996</v>
      </c>
      <c r="E9" s="262" t="s">
        <v>52</v>
      </c>
      <c r="F9" s="8">
        <f t="shared" si="0"/>
        <v>945969.20774999983</v>
      </c>
      <c r="G9" s="8">
        <f t="shared" si="0"/>
        <v>3641276.6424999996</v>
      </c>
    </row>
    <row r="10" spans="1:7">
      <c r="A10" s="262" t="s">
        <v>36</v>
      </c>
      <c r="B10">
        <v>6005250</v>
      </c>
      <c r="C10">
        <v>30257100</v>
      </c>
      <c r="E10" s="262" t="s">
        <v>36</v>
      </c>
      <c r="F10" s="8">
        <f t="shared" si="0"/>
        <v>6005250</v>
      </c>
      <c r="G10" s="8">
        <f t="shared" si="0"/>
        <v>30257100</v>
      </c>
    </row>
    <row r="11" spans="1:7">
      <c r="A11" s="262" t="s">
        <v>40</v>
      </c>
      <c r="B11">
        <v>1926525</v>
      </c>
      <c r="C11">
        <v>13034750</v>
      </c>
      <c r="E11" s="262" t="s">
        <v>40</v>
      </c>
      <c r="F11" s="8">
        <f t="shared" si="0"/>
        <v>1926525</v>
      </c>
      <c r="G11" s="8">
        <f t="shared" si="0"/>
        <v>13034750</v>
      </c>
    </row>
    <row r="12" spans="1:7">
      <c r="A12" s="262" t="s">
        <v>53</v>
      </c>
      <c r="B12">
        <v>1142556.4425000001</v>
      </c>
      <c r="C12">
        <v>3961815.5750000002</v>
      </c>
      <c r="E12" s="262" t="s">
        <v>53</v>
      </c>
      <c r="F12" s="8">
        <f t="shared" si="0"/>
        <v>1142556.4425000001</v>
      </c>
      <c r="G12" s="8">
        <f t="shared" si="0"/>
        <v>3961815.5750000002</v>
      </c>
    </row>
    <row r="13" spans="1:7">
      <c r="A13" s="262" t="s">
        <v>54</v>
      </c>
      <c r="B13">
        <v>405415.37475000002</v>
      </c>
      <c r="C13">
        <v>1560547.1324999998</v>
      </c>
      <c r="E13" s="262" t="s">
        <v>54</v>
      </c>
      <c r="F13" s="8">
        <f t="shared" si="0"/>
        <v>405415.37475000002</v>
      </c>
      <c r="G13" s="8">
        <f t="shared" si="0"/>
        <v>1560547.1324999998</v>
      </c>
    </row>
    <row r="14" spans="1:7">
      <c r="A14" s="262" t="s">
        <v>38</v>
      </c>
      <c r="B14">
        <v>3281850</v>
      </c>
      <c r="C14">
        <v>10675900</v>
      </c>
      <c r="E14" s="262" t="s">
        <v>38</v>
      </c>
      <c r="F14" s="8">
        <f t="shared" si="0"/>
        <v>3281850</v>
      </c>
      <c r="G14" s="8">
        <f t="shared" si="0"/>
        <v>10675900</v>
      </c>
    </row>
    <row r="15" spans="1:7">
      <c r="A15" s="262" t="s">
        <v>35</v>
      </c>
      <c r="B15">
        <v>4229175</v>
      </c>
      <c r="C15">
        <v>23809050</v>
      </c>
      <c r="E15" s="262" t="s">
        <v>35</v>
      </c>
      <c r="F15" s="8">
        <f t="shared" si="0"/>
        <v>4229175</v>
      </c>
      <c r="G15" s="8">
        <f t="shared" si="0"/>
        <v>23809050</v>
      </c>
    </row>
    <row r="16" spans="1:7">
      <c r="A16" s="262" t="s">
        <v>41</v>
      </c>
      <c r="B16">
        <v>1486650</v>
      </c>
      <c r="C16">
        <v>6690300</v>
      </c>
      <c r="E16" s="262" t="s">
        <v>41</v>
      </c>
      <c r="F16" s="8">
        <f t="shared" si="0"/>
        <v>1486650</v>
      </c>
      <c r="G16" s="8">
        <f t="shared" si="0"/>
        <v>6690300</v>
      </c>
    </row>
    <row r="17" spans="1:7">
      <c r="A17" s="262" t="s">
        <v>55</v>
      </c>
      <c r="B17">
        <v>4247172.5755308848</v>
      </c>
      <c r="C17">
        <v>13330424.512326766</v>
      </c>
      <c r="E17" s="262" t="s">
        <v>55</v>
      </c>
      <c r="F17" s="8">
        <f t="shared" si="0"/>
        <v>4247172.5755308848</v>
      </c>
      <c r="G17" s="8">
        <f t="shared" si="0"/>
        <v>13330424.512326766</v>
      </c>
    </row>
    <row r="18" spans="1:7">
      <c r="A18" s="262" t="s">
        <v>56</v>
      </c>
      <c r="B18">
        <v>35445684.333948545</v>
      </c>
      <c r="C18">
        <v>158074338.73733172</v>
      </c>
      <c r="E18" s="262"/>
    </row>
    <row r="19" spans="1:7">
      <c r="E19" s="262"/>
    </row>
    <row r="20" spans="1:7">
      <c r="E20" s="262"/>
    </row>
    <row r="27" spans="1:7">
      <c r="A27" s="240" t="s">
        <v>57</v>
      </c>
      <c r="B27" s="240" t="s">
        <v>34</v>
      </c>
      <c r="C27" s="240" t="s">
        <v>58</v>
      </c>
      <c r="D27" s="240" t="s">
        <v>59</v>
      </c>
      <c r="E27" s="240" t="s">
        <v>60</v>
      </c>
      <c r="F27" s="240" t="s">
        <v>12</v>
      </c>
    </row>
    <row r="28" spans="1:7">
      <c r="A28" s="222" t="s">
        <v>61</v>
      </c>
      <c r="B28" s="221" t="s">
        <v>62</v>
      </c>
      <c r="C28" s="222" t="s">
        <v>63</v>
      </c>
      <c r="D28" s="225" t="s">
        <v>64</v>
      </c>
      <c r="E28" s="222" t="s">
        <v>65</v>
      </c>
      <c r="F28" s="263">
        <f>'Media Plan Phase 1'!K52</f>
        <v>4760000</v>
      </c>
    </row>
    <row r="29" spans="1:7">
      <c r="A29" s="222" t="s">
        <v>61</v>
      </c>
      <c r="B29" s="221" t="s">
        <v>62</v>
      </c>
      <c r="C29" s="222" t="s">
        <v>63</v>
      </c>
      <c r="D29" s="225" t="s">
        <v>64</v>
      </c>
      <c r="E29" s="221" t="s">
        <v>66</v>
      </c>
      <c r="F29" s="263">
        <f>'Media Plan Phase 1'!K53</f>
        <v>4760000</v>
      </c>
    </row>
    <row r="30" spans="1:7">
      <c r="A30" s="222" t="s">
        <v>61</v>
      </c>
      <c r="B30" s="221" t="s">
        <v>67</v>
      </c>
      <c r="C30" s="222" t="s">
        <v>63</v>
      </c>
      <c r="D30" s="225" t="s">
        <v>64</v>
      </c>
      <c r="E30" s="222" t="s">
        <v>65</v>
      </c>
      <c r="F30" s="263">
        <f>'Media Plan Phase 1'!K54</f>
        <v>1659705.068</v>
      </c>
    </row>
    <row r="31" spans="1:7">
      <c r="A31" s="222" t="s">
        <v>61</v>
      </c>
      <c r="B31" s="221" t="s">
        <v>67</v>
      </c>
      <c r="C31" s="222" t="s">
        <v>63</v>
      </c>
      <c r="D31" s="225" t="s">
        <v>64</v>
      </c>
      <c r="E31" s="221" t="s">
        <v>66</v>
      </c>
      <c r="F31" s="263">
        <f>'Media Plan Phase 1'!K55</f>
        <v>1659705.068</v>
      </c>
    </row>
    <row r="32" spans="1:7">
      <c r="A32" s="240" t="s">
        <v>68</v>
      </c>
      <c r="B32" s="240"/>
      <c r="C32" s="240"/>
      <c r="D32" s="240"/>
      <c r="E32" s="240"/>
      <c r="F32" s="240"/>
    </row>
    <row r="33" spans="1:10">
      <c r="A33" s="222" t="s">
        <v>61</v>
      </c>
      <c r="B33" s="221" t="s">
        <v>67</v>
      </c>
      <c r="C33" s="222" t="s">
        <v>69</v>
      </c>
      <c r="D33" s="224" t="s">
        <v>70</v>
      </c>
      <c r="E33" s="222" t="s">
        <v>71</v>
      </c>
      <c r="F33" s="263">
        <f>'Media Plan Phase 1'!K61</f>
        <v>1764000</v>
      </c>
    </row>
    <row r="34" spans="1:10">
      <c r="A34" s="240" t="s">
        <v>72</v>
      </c>
      <c r="B34" s="240"/>
      <c r="C34" s="240"/>
      <c r="D34" s="240"/>
      <c r="E34" s="240"/>
      <c r="F34" s="240"/>
    </row>
    <row r="35" spans="1:10" s="200" customFormat="1">
      <c r="A35" s="222" t="s">
        <v>61</v>
      </c>
      <c r="B35" s="221" t="s">
        <v>73</v>
      </c>
      <c r="C35" s="222" t="s">
        <v>74</v>
      </c>
      <c r="D35" s="224" t="s">
        <v>70</v>
      </c>
      <c r="E35" s="222" t="s">
        <v>75</v>
      </c>
      <c r="F35" s="263" t="e">
        <f>'Media Plan Phase 1'!#REF!</f>
        <v>#REF!</v>
      </c>
    </row>
    <row r="36" spans="1:10">
      <c r="A36" s="222" t="s">
        <v>61</v>
      </c>
      <c r="B36" s="221" t="s">
        <v>73</v>
      </c>
      <c r="C36" s="222" t="s">
        <v>76</v>
      </c>
      <c r="D36" s="224" t="s">
        <v>70</v>
      </c>
      <c r="E36" s="222" t="s">
        <v>77</v>
      </c>
      <c r="F36" s="263">
        <f>'Media Plan Phase 1'!K63</f>
        <v>2700000</v>
      </c>
    </row>
    <row r="39" spans="1:10">
      <c r="A39" s="240" t="s">
        <v>47</v>
      </c>
      <c r="B39" s="240" t="s">
        <v>78</v>
      </c>
      <c r="C39" s="240" t="s">
        <v>79</v>
      </c>
      <c r="D39" s="240" t="s">
        <v>80</v>
      </c>
      <c r="E39" s="240" t="s">
        <v>81</v>
      </c>
      <c r="G39" s="264" t="s">
        <v>82</v>
      </c>
      <c r="H39" s="264" t="s">
        <v>83</v>
      </c>
      <c r="I39" s="264" t="s">
        <v>67</v>
      </c>
      <c r="J39" s="264" t="s">
        <v>84</v>
      </c>
    </row>
    <row r="40" spans="1:10">
      <c r="A40" s="221" t="s">
        <v>49</v>
      </c>
      <c r="B40" s="263">
        <v>6404041</v>
      </c>
      <c r="C40" s="223">
        <f>B40/$B$54</f>
        <v>0.12060377092846447</v>
      </c>
      <c r="D40" s="6"/>
      <c r="E40" s="223">
        <f>B40/$E$54</f>
        <v>0.29841978555246018</v>
      </c>
      <c r="G40" s="263" t="e">
        <f t="shared" ref="G40:G53" si="1">C40*$G$54</f>
        <v>#REF!</v>
      </c>
      <c r="H40" s="263">
        <f t="shared" ref="H40:H52" si="2">$H$54*D40</f>
        <v>0</v>
      </c>
      <c r="I40" s="263">
        <f t="shared" ref="I40:I52" si="3">$I$54*E40</f>
        <v>1516990.1626603224</v>
      </c>
      <c r="J40" s="115" t="e">
        <f>I40+H40+G40</f>
        <v>#REF!</v>
      </c>
    </row>
    <row r="41" spans="1:10">
      <c r="A41" s="221" t="s">
        <v>37</v>
      </c>
      <c r="B41" s="263">
        <v>4050000</v>
      </c>
      <c r="C41" s="223">
        <f t="shared" ref="C41:C53" si="4">B41/$B$54</f>
        <v>7.6271415542199225E-2</v>
      </c>
      <c r="D41" s="223">
        <f>B41/$D$54</f>
        <v>0.12800252844500631</v>
      </c>
      <c r="E41" s="223"/>
      <c r="G41" s="263" t="e">
        <f t="shared" si="1"/>
        <v>#REF!</v>
      </c>
      <c r="H41" s="263">
        <f t="shared" si="2"/>
        <v>1218584.0707964601</v>
      </c>
      <c r="I41" s="263">
        <f t="shared" si="3"/>
        <v>0</v>
      </c>
      <c r="J41" s="115" t="e">
        <f t="shared" ref="J41:J53" si="5">I41+H41+G41</f>
        <v>#REF!</v>
      </c>
    </row>
    <row r="42" spans="1:10">
      <c r="A42" s="221" t="s">
        <v>50</v>
      </c>
      <c r="B42" s="263">
        <v>2261420</v>
      </c>
      <c r="C42" s="223">
        <f t="shared" si="4"/>
        <v>4.258807519393585E-2</v>
      </c>
      <c r="D42" s="223"/>
      <c r="E42" s="223">
        <f>B42/$E$54</f>
        <v>0.10537916160187677</v>
      </c>
      <c r="G42" s="263" t="e">
        <f t="shared" si="1"/>
        <v>#REF!</v>
      </c>
      <c r="H42" s="263">
        <f t="shared" si="2"/>
        <v>0</v>
      </c>
      <c r="I42" s="263">
        <f t="shared" si="3"/>
        <v>535685.49821016239</v>
      </c>
      <c r="J42" s="115" t="e">
        <f t="shared" si="5"/>
        <v>#REF!</v>
      </c>
    </row>
    <row r="43" spans="1:10">
      <c r="A43" s="221" t="s">
        <v>51</v>
      </c>
      <c r="B43" s="263">
        <v>2334500</v>
      </c>
      <c r="C43" s="223">
        <f t="shared" si="4"/>
        <v>4.39643505143862E-2</v>
      </c>
      <c r="D43" s="223"/>
      <c r="E43" s="223">
        <f>B43/$E$54</f>
        <v>0.10878459231791587</v>
      </c>
      <c r="G43" s="263" t="e">
        <f t="shared" si="1"/>
        <v>#REF!</v>
      </c>
      <c r="H43" s="263">
        <f t="shared" si="2"/>
        <v>0</v>
      </c>
      <c r="I43" s="263">
        <f t="shared" si="3"/>
        <v>552996.69922952133</v>
      </c>
      <c r="J43" s="115" t="e">
        <f t="shared" si="5"/>
        <v>#REF!</v>
      </c>
    </row>
    <row r="44" spans="1:10">
      <c r="A44" s="221" t="s">
        <v>39</v>
      </c>
      <c r="B44" s="263">
        <v>2652000</v>
      </c>
      <c r="C44" s="223">
        <f t="shared" si="4"/>
        <v>4.9943652843928973E-2</v>
      </c>
      <c r="D44" s="223">
        <f>B44/$D$54</f>
        <v>8.3817951959544876E-2</v>
      </c>
      <c r="E44" s="223"/>
      <c r="G44" s="263" t="e">
        <f t="shared" si="1"/>
        <v>#REF!</v>
      </c>
      <c r="H44" s="263">
        <f t="shared" si="2"/>
        <v>797946.90265486727</v>
      </c>
      <c r="I44" s="263">
        <f t="shared" si="3"/>
        <v>0</v>
      </c>
      <c r="J44" s="115" t="e">
        <f t="shared" si="5"/>
        <v>#REF!</v>
      </c>
    </row>
    <row r="45" spans="1:10">
      <c r="A45" s="221" t="s">
        <v>52</v>
      </c>
      <c r="B45" s="263">
        <v>1426115.5999999999</v>
      </c>
      <c r="C45" s="223">
        <f t="shared" si="4"/>
        <v>2.6857248281188337E-2</v>
      </c>
      <c r="D45" s="223"/>
      <c r="E45" s="223">
        <f>B45/$E$54</f>
        <v>6.645508851754979E-2</v>
      </c>
      <c r="G45" s="263" t="e">
        <f t="shared" si="1"/>
        <v>#REF!</v>
      </c>
      <c r="H45" s="263">
        <f t="shared" si="2"/>
        <v>0</v>
      </c>
      <c r="I45" s="263">
        <f t="shared" si="3"/>
        <v>337818.47055888979</v>
      </c>
      <c r="J45" s="115" t="e">
        <f t="shared" si="5"/>
        <v>#REF!</v>
      </c>
    </row>
    <row r="46" spans="1:10">
      <c r="A46" s="221" t="s">
        <v>36</v>
      </c>
      <c r="B46" s="263">
        <v>8568000</v>
      </c>
      <c r="C46" s="223">
        <f t="shared" si="4"/>
        <v>0.16135641688038593</v>
      </c>
      <c r="D46" s="223">
        <f>B46/$D$54</f>
        <v>0.27079646017699116</v>
      </c>
      <c r="E46" s="223"/>
      <c r="G46" s="263" t="e">
        <f t="shared" si="1"/>
        <v>#REF!</v>
      </c>
      <c r="H46" s="263">
        <f t="shared" si="2"/>
        <v>2577982.300884956</v>
      </c>
      <c r="I46" s="263">
        <f t="shared" si="3"/>
        <v>0</v>
      </c>
      <c r="J46" s="115" t="e">
        <f t="shared" si="5"/>
        <v>#REF!</v>
      </c>
    </row>
    <row r="47" spans="1:10">
      <c r="A47" s="221" t="s">
        <v>40</v>
      </c>
      <c r="B47" s="263">
        <v>3110000</v>
      </c>
      <c r="C47" s="223">
        <f t="shared" si="4"/>
        <v>5.8568914157096197E-2</v>
      </c>
      <c r="D47" s="223">
        <f>B47/$D$54</f>
        <v>9.8293299620733243E-2</v>
      </c>
      <c r="E47" s="223"/>
      <c r="G47" s="263" t="e">
        <f t="shared" si="1"/>
        <v>#REF!</v>
      </c>
      <c r="H47" s="263">
        <f t="shared" si="2"/>
        <v>935752.21238938044</v>
      </c>
      <c r="I47" s="263">
        <f t="shared" si="3"/>
        <v>0</v>
      </c>
      <c r="J47" s="115" t="e">
        <f t="shared" si="5"/>
        <v>#REF!</v>
      </c>
    </row>
    <row r="48" spans="1:10">
      <c r="A48" s="221" t="s">
        <v>53</v>
      </c>
      <c r="B48" s="263">
        <v>1760010</v>
      </c>
      <c r="C48" s="223">
        <f t="shared" si="4"/>
        <v>3.3145297300845943E-2</v>
      </c>
      <c r="D48" s="223"/>
      <c r="E48" s="223">
        <f>B48/$E$54</f>
        <v>8.20141230779418E-2</v>
      </c>
      <c r="G48" s="263" t="e">
        <f t="shared" si="1"/>
        <v>#REF!</v>
      </c>
      <c r="H48" s="263">
        <f t="shared" si="2"/>
        <v>0</v>
      </c>
      <c r="I48" s="263">
        <f t="shared" si="3"/>
        <v>416911.42454956088</v>
      </c>
      <c r="J48" s="115" t="e">
        <f t="shared" si="5"/>
        <v>#REF!</v>
      </c>
    </row>
    <row r="49" spans="1:10">
      <c r="A49" s="221" t="s">
        <v>54</v>
      </c>
      <c r="B49" s="263">
        <v>611192.4</v>
      </c>
      <c r="C49" s="223">
        <f t="shared" si="4"/>
        <v>1.1510249263366431E-2</v>
      </c>
      <c r="D49" s="223"/>
      <c r="E49" s="223">
        <f>B49/$E$54</f>
        <v>2.8480752221807053E-2</v>
      </c>
      <c r="G49" s="263" t="e">
        <f t="shared" si="1"/>
        <v>#REF!</v>
      </c>
      <c r="H49" s="263">
        <f t="shared" si="2"/>
        <v>0</v>
      </c>
      <c r="I49" s="263">
        <f t="shared" si="3"/>
        <v>144779.3445252385</v>
      </c>
      <c r="J49" s="115" t="e">
        <f t="shared" si="5"/>
        <v>#REF!</v>
      </c>
    </row>
    <row r="50" spans="1:10">
      <c r="A50" s="221" t="s">
        <v>38</v>
      </c>
      <c r="B50" s="263">
        <v>5202000</v>
      </c>
      <c r="C50" s="223">
        <f t="shared" si="4"/>
        <v>9.7966395963091452E-2</v>
      </c>
      <c r="D50" s="223">
        <f>B50/$D$54</f>
        <v>0.16441213653603035</v>
      </c>
      <c r="E50" s="223"/>
      <c r="G50" s="263" t="e">
        <f t="shared" si="1"/>
        <v>#REF!</v>
      </c>
      <c r="H50" s="263">
        <f t="shared" si="2"/>
        <v>1565203.5398230089</v>
      </c>
      <c r="I50" s="263">
        <f t="shared" si="3"/>
        <v>0</v>
      </c>
      <c r="J50" s="115" t="e">
        <f t="shared" si="5"/>
        <v>#REF!</v>
      </c>
    </row>
    <row r="51" spans="1:10">
      <c r="A51" s="221" t="s">
        <v>35</v>
      </c>
      <c r="B51" s="263">
        <v>5814000</v>
      </c>
      <c r="C51" s="223">
        <f t="shared" si="4"/>
        <v>0.10949185431169045</v>
      </c>
      <c r="D51" s="223">
        <f>B51/$D$54</f>
        <v>0.18375474083438686</v>
      </c>
      <c r="E51" s="223"/>
      <c r="G51" s="263" t="e">
        <f t="shared" si="1"/>
        <v>#REF!</v>
      </c>
      <c r="H51" s="263">
        <f t="shared" si="2"/>
        <v>1749345.132743363</v>
      </c>
      <c r="I51" s="263">
        <f t="shared" si="3"/>
        <v>0</v>
      </c>
      <c r="J51" s="115" t="e">
        <f t="shared" si="5"/>
        <v>#REF!</v>
      </c>
    </row>
    <row r="52" spans="1:10">
      <c r="A52" s="221" t="s">
        <v>41</v>
      </c>
      <c r="B52" s="263">
        <v>2244000</v>
      </c>
      <c r="C52" s="223">
        <f t="shared" si="4"/>
        <v>4.2260013944862979E-2</v>
      </c>
      <c r="D52" s="223">
        <f>B52/$D$54</f>
        <v>7.092288242730721E-2</v>
      </c>
      <c r="E52" s="223"/>
      <c r="G52" s="263" t="e">
        <f t="shared" si="1"/>
        <v>#REF!</v>
      </c>
      <c r="H52" s="263">
        <f t="shared" si="2"/>
        <v>675185.84070796461</v>
      </c>
      <c r="I52" s="263">
        <f t="shared" si="3"/>
        <v>0</v>
      </c>
      <c r="J52" s="115" t="e">
        <f t="shared" si="5"/>
        <v>#REF!</v>
      </c>
    </row>
    <row r="53" spans="1:10">
      <c r="A53" s="221" t="s">
        <v>55</v>
      </c>
      <c r="B53" s="263">
        <v>6662561.5</v>
      </c>
      <c r="C53" s="223">
        <f t="shared" si="4"/>
        <v>0.12547234487455758</v>
      </c>
      <c r="D53" s="223"/>
      <c r="E53" s="223">
        <f>B53/$E$54</f>
        <v>0.31046649671044851</v>
      </c>
      <c r="G53" s="263" t="e">
        <f t="shared" si="1"/>
        <v>#REF!</v>
      </c>
      <c r="H53" s="263">
        <f>$H$54*D53</f>
        <v>0</v>
      </c>
      <c r="I53" s="263">
        <f>$I$54*E53</f>
        <v>1578228.5362663046</v>
      </c>
      <c r="J53" s="115" t="e">
        <f t="shared" si="5"/>
        <v>#REF!</v>
      </c>
    </row>
    <row r="54" spans="1:10">
      <c r="A54" s="265" t="s">
        <v>84</v>
      </c>
      <c r="B54" s="263">
        <f>SUM(B40:B53)</f>
        <v>53099840.5</v>
      </c>
      <c r="C54" s="263"/>
      <c r="D54" s="263">
        <f>B52+B51+B50+B47+B46+B44+B41</f>
        <v>31640000</v>
      </c>
      <c r="E54" s="263">
        <f>B54-D54</f>
        <v>21459840.5</v>
      </c>
      <c r="G54" s="263" t="e">
        <f>SUM(F35:F36)</f>
        <v>#REF!</v>
      </c>
      <c r="H54" s="263">
        <f>F28+F29</f>
        <v>9520000</v>
      </c>
      <c r="I54" s="263">
        <f>F30+F31+F33</f>
        <v>5083410.1359999999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2CBA-8C2E-4133-9538-F5AC2A15C04F}">
  <dimension ref="B2:C27"/>
  <sheetViews>
    <sheetView showGridLines="0" topLeftCell="A4" workbookViewId="0">
      <selection activeCell="C10" sqref="B10:C27"/>
    </sheetView>
  </sheetViews>
  <sheetFormatPr defaultRowHeight="14.4"/>
  <cols>
    <col min="2" max="2" width="15.109375" customWidth="1"/>
  </cols>
  <sheetData>
    <row r="2" spans="2:3">
      <c r="B2" s="378" t="s">
        <v>647</v>
      </c>
    </row>
    <row r="3" spans="2:3">
      <c r="B3" s="379" t="s">
        <v>648</v>
      </c>
      <c r="C3" s="825" t="s">
        <v>83</v>
      </c>
    </row>
    <row r="4" spans="2:3">
      <c r="B4" s="379" t="s">
        <v>649</v>
      </c>
      <c r="C4" s="825"/>
    </row>
    <row r="5" spans="2:3">
      <c r="B5" s="379" t="s">
        <v>650</v>
      </c>
      <c r="C5" s="825"/>
    </row>
    <row r="6" spans="2:3">
      <c r="B6" s="379" t="s">
        <v>651</v>
      </c>
      <c r="C6" s="825"/>
    </row>
    <row r="7" spans="2:3">
      <c r="B7" s="379" t="s">
        <v>652</v>
      </c>
      <c r="C7" s="825"/>
    </row>
    <row r="8" spans="2:3">
      <c r="B8" s="379" t="s">
        <v>653</v>
      </c>
      <c r="C8" s="825"/>
    </row>
    <row r="9" spans="2:3">
      <c r="B9" s="379" t="s">
        <v>654</v>
      </c>
      <c r="C9" s="825"/>
    </row>
    <row r="10" spans="2:3">
      <c r="B10" s="379" t="s">
        <v>655</v>
      </c>
      <c r="C10" s="825" t="s">
        <v>656</v>
      </c>
    </row>
    <row r="11" spans="2:3">
      <c r="B11" s="379" t="s">
        <v>657</v>
      </c>
      <c r="C11" s="825"/>
    </row>
    <row r="12" spans="2:3">
      <c r="B12" s="379" t="s">
        <v>658</v>
      </c>
      <c r="C12" s="825"/>
    </row>
    <row r="13" spans="2:3">
      <c r="B13" s="379" t="s">
        <v>659</v>
      </c>
      <c r="C13" s="825"/>
    </row>
    <row r="14" spans="2:3">
      <c r="B14" s="379" t="s">
        <v>660</v>
      </c>
      <c r="C14" s="825"/>
    </row>
    <row r="15" spans="2:3">
      <c r="B15" s="379" t="s">
        <v>661</v>
      </c>
      <c r="C15" s="825"/>
    </row>
    <row r="16" spans="2:3">
      <c r="B16" s="379" t="s">
        <v>662</v>
      </c>
      <c r="C16" s="825"/>
    </row>
    <row r="17" spans="2:3">
      <c r="B17" s="379" t="s">
        <v>663</v>
      </c>
      <c r="C17" s="825"/>
    </row>
    <row r="18" spans="2:3">
      <c r="B18" s="379" t="s">
        <v>664</v>
      </c>
      <c r="C18" s="825"/>
    </row>
    <row r="19" spans="2:3">
      <c r="B19" s="379" t="s">
        <v>665</v>
      </c>
      <c r="C19" s="825"/>
    </row>
    <row r="20" spans="2:3">
      <c r="B20" s="379" t="s">
        <v>666</v>
      </c>
      <c r="C20" s="825"/>
    </row>
    <row r="21" spans="2:3">
      <c r="B21" s="380" t="s">
        <v>667</v>
      </c>
      <c r="C21" s="825"/>
    </row>
    <row r="22" spans="2:3">
      <c r="B22" s="380" t="s">
        <v>668</v>
      </c>
      <c r="C22" s="825"/>
    </row>
    <row r="23" spans="2:3">
      <c r="B23" s="380" t="s">
        <v>669</v>
      </c>
      <c r="C23" s="825"/>
    </row>
    <row r="24" spans="2:3">
      <c r="B24" s="380" t="s">
        <v>670</v>
      </c>
      <c r="C24" s="825"/>
    </row>
    <row r="25" spans="2:3">
      <c r="B25" s="380" t="s">
        <v>671</v>
      </c>
      <c r="C25" s="825"/>
    </row>
    <row r="26" spans="2:3">
      <c r="B26" s="380" t="s">
        <v>672</v>
      </c>
      <c r="C26" s="825"/>
    </row>
    <row r="27" spans="2:3">
      <c r="B27" s="380" t="s">
        <v>673</v>
      </c>
      <c r="C27" s="825"/>
    </row>
  </sheetData>
  <mergeCells count="2">
    <mergeCell ref="C3:C9"/>
    <mergeCell ref="C10:C2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535C-F8F4-4F17-8EE9-4B04933D12D0}">
  <dimension ref="A1:A26"/>
  <sheetViews>
    <sheetView showGridLines="0" workbookViewId="0">
      <selection activeCell="K12" sqref="K12"/>
    </sheetView>
  </sheetViews>
  <sheetFormatPr defaultRowHeight="14.4"/>
  <cols>
    <col min="1" max="1" width="17.6640625" bestFit="1" customWidth="1"/>
  </cols>
  <sheetData>
    <row r="1" spans="1:1">
      <c r="A1" s="334" t="s">
        <v>674</v>
      </c>
    </row>
    <row r="2" spans="1:1">
      <c r="A2" s="6" t="s">
        <v>675</v>
      </c>
    </row>
    <row r="3" spans="1:1">
      <c r="A3" s="6" t="s">
        <v>676</v>
      </c>
    </row>
    <row r="4" spans="1:1">
      <c r="A4" s="6" t="s">
        <v>677</v>
      </c>
    </row>
    <row r="5" spans="1:1">
      <c r="A5" s="6" t="s">
        <v>678</v>
      </c>
    </row>
    <row r="6" spans="1:1">
      <c r="A6" s="6" t="s">
        <v>679</v>
      </c>
    </row>
    <row r="7" spans="1:1">
      <c r="A7" s="6" t="s">
        <v>680</v>
      </c>
    </row>
    <row r="8" spans="1:1">
      <c r="A8" s="6" t="s">
        <v>681</v>
      </c>
    </row>
    <row r="9" spans="1:1">
      <c r="A9" s="6" t="s">
        <v>682</v>
      </c>
    </row>
    <row r="10" spans="1:1">
      <c r="A10" s="6" t="s">
        <v>683</v>
      </c>
    </row>
    <row r="11" spans="1:1">
      <c r="A11" s="6" t="s">
        <v>684</v>
      </c>
    </row>
    <row r="12" spans="1:1">
      <c r="A12" s="6" t="s">
        <v>685</v>
      </c>
    </row>
    <row r="13" spans="1:1">
      <c r="A13" s="6" t="s">
        <v>686</v>
      </c>
    </row>
    <row r="14" spans="1:1">
      <c r="A14" s="6" t="s">
        <v>687</v>
      </c>
    </row>
    <row r="15" spans="1:1">
      <c r="A15" s="6" t="s">
        <v>688</v>
      </c>
    </row>
    <row r="16" spans="1:1">
      <c r="A16" s="6" t="s">
        <v>689</v>
      </c>
    </row>
    <row r="17" spans="1:1">
      <c r="A17" s="6" t="s">
        <v>690</v>
      </c>
    </row>
    <row r="18" spans="1:1">
      <c r="A18" s="6" t="s">
        <v>691</v>
      </c>
    </row>
    <row r="19" spans="1:1">
      <c r="A19" s="6" t="s">
        <v>692</v>
      </c>
    </row>
    <row r="20" spans="1:1">
      <c r="A20" s="6" t="s">
        <v>693</v>
      </c>
    </row>
    <row r="21" spans="1:1">
      <c r="A21" s="6" t="s">
        <v>694</v>
      </c>
    </row>
    <row r="22" spans="1:1">
      <c r="A22" s="6" t="s">
        <v>695</v>
      </c>
    </row>
    <row r="23" spans="1:1">
      <c r="A23" s="6" t="s">
        <v>696</v>
      </c>
    </row>
    <row r="24" spans="1:1">
      <c r="A24" s="6" t="s">
        <v>697</v>
      </c>
    </row>
    <row r="25" spans="1:1">
      <c r="A25" s="6" t="s">
        <v>698</v>
      </c>
    </row>
    <row r="26" spans="1:1">
      <c r="A26" s="6" t="s">
        <v>699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06DF-D739-4A14-BA9F-33EFA0E05470}">
  <dimension ref="C3:F8"/>
  <sheetViews>
    <sheetView showGridLines="0" workbookViewId="0">
      <selection activeCell="E15" sqref="E15"/>
    </sheetView>
  </sheetViews>
  <sheetFormatPr defaultRowHeight="14.4"/>
  <cols>
    <col min="4" max="4" width="10.109375" bestFit="1" customWidth="1"/>
    <col min="5" max="5" width="10.44140625" bestFit="1" customWidth="1"/>
  </cols>
  <sheetData>
    <row r="3" spans="3:6">
      <c r="C3" s="402" t="s">
        <v>86</v>
      </c>
      <c r="D3" s="402" t="s">
        <v>119</v>
      </c>
      <c r="E3" s="402" t="s">
        <v>12</v>
      </c>
      <c r="F3" s="402" t="s">
        <v>184</v>
      </c>
    </row>
    <row r="4" spans="3:6">
      <c r="C4" s="403" t="s">
        <v>700</v>
      </c>
      <c r="D4" s="404">
        <v>6144996</v>
      </c>
      <c r="E4" s="405">
        <v>55163087</v>
      </c>
      <c r="F4" s="406">
        <f>D4*1000/E4</f>
        <v>111.39688393435995</v>
      </c>
    </row>
    <row r="5" spans="3:6">
      <c r="C5" s="403" t="s">
        <v>701</v>
      </c>
      <c r="D5" s="404">
        <v>3078504</v>
      </c>
      <c r="E5" s="407">
        <v>26769600</v>
      </c>
      <c r="F5" s="406">
        <f>D5*1000/E5</f>
        <v>115</v>
      </c>
    </row>
    <row r="6" spans="3:6">
      <c r="C6" s="408" t="s">
        <v>84</v>
      </c>
      <c r="D6" s="409">
        <f>SUM(D4:D5)</f>
        <v>9223500</v>
      </c>
      <c r="E6" s="405">
        <f>SUM(E4:E5)</f>
        <v>81932687</v>
      </c>
      <c r="F6" s="406">
        <f>D6*1000/E6</f>
        <v>112.57411831251183</v>
      </c>
    </row>
    <row r="8" spans="3:6">
      <c r="C8" s="410" t="s">
        <v>702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01409-9C18-4A8C-9646-5A44237837C5}">
  <dimension ref="G2:T18"/>
  <sheetViews>
    <sheetView topLeftCell="D1" workbookViewId="0">
      <selection activeCell="I17" sqref="I17"/>
    </sheetView>
  </sheetViews>
  <sheetFormatPr defaultRowHeight="14.4"/>
  <cols>
    <col min="9" max="9" width="10.5546875" customWidth="1"/>
    <col min="10" max="10" width="9.109375" customWidth="1"/>
    <col min="20" max="20" width="11.33203125" bestFit="1" customWidth="1"/>
  </cols>
  <sheetData>
    <row r="2" spans="7:20">
      <c r="G2" s="266"/>
      <c r="H2" s="266"/>
      <c r="I2" s="266"/>
      <c r="J2" s="266"/>
      <c r="K2" s="361"/>
      <c r="L2" s="361"/>
      <c r="M2" s="361"/>
      <c r="N2" s="361"/>
      <c r="O2" s="361"/>
      <c r="P2" s="361"/>
      <c r="Q2" s="361"/>
      <c r="R2" s="266"/>
      <c r="S2" s="266"/>
    </row>
    <row r="3" spans="7:20" ht="14.4" customHeight="1">
      <c r="H3" s="367"/>
      <c r="I3" s="367"/>
      <c r="J3" s="266"/>
      <c r="K3" s="820" t="s">
        <v>191</v>
      </c>
      <c r="L3" s="820"/>
      <c r="M3" s="820"/>
      <c r="N3" s="820"/>
      <c r="O3" s="820"/>
      <c r="P3" s="820"/>
      <c r="Q3" s="820"/>
      <c r="R3" s="819" t="s">
        <v>528</v>
      </c>
      <c r="S3" s="819"/>
    </row>
    <row r="4" spans="7:20">
      <c r="G4" s="367"/>
      <c r="I4" s="368" t="s">
        <v>11</v>
      </c>
      <c r="J4" s="266"/>
      <c r="K4" s="337" t="s">
        <v>538</v>
      </c>
      <c r="L4" s="337" t="s">
        <v>539</v>
      </c>
      <c r="M4" s="337" t="s">
        <v>540</v>
      </c>
      <c r="N4" s="337" t="s">
        <v>541</v>
      </c>
      <c r="O4" s="337" t="s">
        <v>542</v>
      </c>
      <c r="P4" s="337" t="s">
        <v>543</v>
      </c>
      <c r="Q4" s="337" t="s">
        <v>544</v>
      </c>
      <c r="R4" s="337" t="s">
        <v>545</v>
      </c>
      <c r="S4" s="337" t="s">
        <v>546</v>
      </c>
    </row>
    <row r="5" spans="7:20">
      <c r="G5" s="367"/>
      <c r="H5" s="367"/>
      <c r="I5" s="367"/>
      <c r="J5" s="266"/>
      <c r="K5" s="258">
        <v>23725032.682885531</v>
      </c>
      <c r="L5" s="258">
        <v>23725032.682885531</v>
      </c>
      <c r="M5" s="258">
        <v>23725032.682885531</v>
      </c>
      <c r="N5" s="258">
        <v>23725032.682885531</v>
      </c>
      <c r="O5" s="258">
        <v>37284750.066218868</v>
      </c>
      <c r="P5" s="258">
        <v>37284750.066218868</v>
      </c>
      <c r="Q5" s="258">
        <v>37284750.066218868</v>
      </c>
      <c r="R5" s="282">
        <v>1567084203.4074237</v>
      </c>
      <c r="S5" s="282">
        <v>453116685.62152129</v>
      </c>
      <c r="T5" s="366"/>
    </row>
    <row r="7" spans="7:20">
      <c r="K7" s="820" t="s">
        <v>191</v>
      </c>
      <c r="L7" s="820"/>
      <c r="M7" s="820"/>
      <c r="N7" s="820"/>
      <c r="O7" s="820"/>
      <c r="P7" s="820"/>
      <c r="Q7" s="820"/>
      <c r="R7" s="819" t="s">
        <v>528</v>
      </c>
      <c r="S7" s="819"/>
    </row>
    <row r="8" spans="7:20">
      <c r="I8" t="s">
        <v>703</v>
      </c>
      <c r="K8" s="337" t="s">
        <v>538</v>
      </c>
      <c r="L8" s="337" t="s">
        <v>539</v>
      </c>
      <c r="M8" s="337" t="s">
        <v>540</v>
      </c>
      <c r="N8" s="337" t="s">
        <v>541</v>
      </c>
      <c r="O8" s="337" t="s">
        <v>542</v>
      </c>
      <c r="P8" s="337" t="s">
        <v>543</v>
      </c>
      <c r="Q8" s="337" t="s">
        <v>544</v>
      </c>
      <c r="R8" s="337" t="s">
        <v>545</v>
      </c>
      <c r="S8" s="337" t="s">
        <v>546</v>
      </c>
    </row>
    <row r="9" spans="7:20">
      <c r="K9" s="282">
        <v>25254088.575431388</v>
      </c>
      <c r="L9" s="282">
        <v>25254088.575431388</v>
      </c>
      <c r="M9" s="282">
        <v>25254088.575431388</v>
      </c>
      <c r="N9" s="282">
        <v>25254088.575431388</v>
      </c>
      <c r="O9" s="358">
        <v>38813805.958764717</v>
      </c>
      <c r="P9" s="358">
        <v>38813805.958764717</v>
      </c>
      <c r="Q9" s="358">
        <v>38813805.958764717</v>
      </c>
      <c r="R9" s="282">
        <v>1567084203.4074237</v>
      </c>
      <c r="S9" s="282">
        <v>453116685.62152129</v>
      </c>
    </row>
    <row r="12" spans="7:20">
      <c r="K12" s="820" t="s">
        <v>191</v>
      </c>
      <c r="L12" s="820"/>
      <c r="M12" s="820"/>
      <c r="N12" s="820"/>
      <c r="O12" s="820"/>
      <c r="P12" s="820"/>
      <c r="Q12" s="820"/>
      <c r="R12" s="819" t="s">
        <v>528</v>
      </c>
      <c r="S12" s="819"/>
    </row>
    <row r="13" spans="7:20">
      <c r="I13" s="146" t="s">
        <v>704</v>
      </c>
      <c r="K13" s="337" t="s">
        <v>538</v>
      </c>
      <c r="L13" s="337" t="s">
        <v>539</v>
      </c>
      <c r="M13" s="337" t="s">
        <v>540</v>
      </c>
      <c r="N13" s="337" t="s">
        <v>541</v>
      </c>
      <c r="O13" s="337" t="s">
        <v>542</v>
      </c>
      <c r="P13" s="337" t="s">
        <v>543</v>
      </c>
      <c r="Q13" s="337" t="s">
        <v>544</v>
      </c>
      <c r="R13" s="337" t="s">
        <v>545</v>
      </c>
      <c r="S13" s="337" t="s">
        <v>546</v>
      </c>
    </row>
    <row r="14" spans="7:20">
      <c r="K14" s="358">
        <v>24159926.722793043</v>
      </c>
      <c r="L14" s="282">
        <v>24159926.722793043</v>
      </c>
      <c r="M14" s="282">
        <v>24159926.722793043</v>
      </c>
      <c r="N14" s="282">
        <v>24159926.722793043</v>
      </c>
      <c r="O14" s="282">
        <v>36431587.582793042</v>
      </c>
      <c r="P14" s="282">
        <v>36431587.582793042</v>
      </c>
      <c r="Q14" s="282">
        <v>56431587.582793042</v>
      </c>
      <c r="R14" s="282">
        <v>1566388551.2335107</v>
      </c>
      <c r="S14" s="282">
        <v>453116685.62152129</v>
      </c>
    </row>
    <row r="16" spans="7:20">
      <c r="K16" s="820" t="s">
        <v>191</v>
      </c>
      <c r="L16" s="820"/>
      <c r="M16" s="820"/>
      <c r="N16" s="820"/>
      <c r="O16" s="820"/>
      <c r="P16" s="820"/>
      <c r="Q16" s="820"/>
      <c r="R16" s="819" t="s">
        <v>528</v>
      </c>
      <c r="S16" s="819"/>
    </row>
    <row r="17" spans="9:19">
      <c r="I17" s="146" t="s">
        <v>705</v>
      </c>
      <c r="K17" s="337" t="s">
        <v>538</v>
      </c>
      <c r="L17" s="337" t="s">
        <v>539</v>
      </c>
      <c r="M17" s="337" t="s">
        <v>540</v>
      </c>
      <c r="N17" s="337" t="s">
        <v>541</v>
      </c>
      <c r="O17" s="337" t="s">
        <v>542</v>
      </c>
      <c r="P17" s="337" t="s">
        <v>543</v>
      </c>
      <c r="Q17" s="337" t="s">
        <v>544</v>
      </c>
      <c r="R17" s="337" t="s">
        <v>545</v>
      </c>
      <c r="S17" s="337" t="s">
        <v>546</v>
      </c>
    </row>
    <row r="18" spans="9:19">
      <c r="K18" s="282">
        <v>27984155.294221614</v>
      </c>
      <c r="L18" s="282">
        <v>27984155.294221614</v>
      </c>
      <c r="M18" s="282">
        <v>27984155.294221614</v>
      </c>
      <c r="N18" s="282">
        <v>27984155.294221614</v>
      </c>
      <c r="O18" s="282">
        <v>40255816.154221609</v>
      </c>
      <c r="P18" s="282">
        <v>40255816.154221609</v>
      </c>
      <c r="Q18" s="282">
        <v>60255816.154221609</v>
      </c>
      <c r="R18" s="282">
        <v>1559470551.2335107</v>
      </c>
      <c r="S18" s="282">
        <v>441912971.33580703</v>
      </c>
    </row>
  </sheetData>
  <mergeCells count="8">
    <mergeCell ref="K3:Q3"/>
    <mergeCell ref="R3:S3"/>
    <mergeCell ref="K16:Q16"/>
    <mergeCell ref="R16:S16"/>
    <mergeCell ref="K12:Q12"/>
    <mergeCell ref="R12:S12"/>
    <mergeCell ref="K7:Q7"/>
    <mergeCell ref="R7:S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D81F-EDC1-4653-A6C5-1E82C775AC5A}">
  <dimension ref="A3:E11"/>
  <sheetViews>
    <sheetView workbookViewId="0"/>
  </sheetViews>
  <sheetFormatPr defaultRowHeight="14.4"/>
  <cols>
    <col min="1" max="1" width="12.88671875" bestFit="1" customWidth="1"/>
    <col min="2" max="2" width="13.5546875" bestFit="1" customWidth="1"/>
    <col min="3" max="3" width="19.109375" bestFit="1" customWidth="1"/>
  </cols>
  <sheetData>
    <row r="3" spans="1:5">
      <c r="A3" s="261" t="s">
        <v>44</v>
      </c>
      <c r="B3" t="s">
        <v>46</v>
      </c>
      <c r="C3" t="s">
        <v>85</v>
      </c>
    </row>
    <row r="4" spans="1:5">
      <c r="A4" s="262" t="s">
        <v>86</v>
      </c>
      <c r="B4">
        <v>38469459.143045157</v>
      </c>
      <c r="C4">
        <v>4039293.2100197421</v>
      </c>
      <c r="E4" s="626">
        <f t="shared" ref="E4:E10" si="0">C4*1000/B4</f>
        <v>105.00000000000001</v>
      </c>
    </row>
    <row r="5" spans="1:5">
      <c r="A5" s="262" t="s">
        <v>87</v>
      </c>
      <c r="B5">
        <v>62716608.600000001</v>
      </c>
      <c r="C5">
        <v>4390162.6020000009</v>
      </c>
      <c r="E5" s="626">
        <f t="shared" si="0"/>
        <v>70.000000000000014</v>
      </c>
    </row>
    <row r="6" spans="1:5">
      <c r="A6" s="262" t="s">
        <v>74</v>
      </c>
      <c r="B6">
        <v>3125000</v>
      </c>
      <c r="C6">
        <v>500000</v>
      </c>
      <c r="E6" s="626">
        <f t="shared" si="0"/>
        <v>160</v>
      </c>
    </row>
    <row r="7" spans="1:5">
      <c r="A7" s="262" t="s">
        <v>76</v>
      </c>
      <c r="B7">
        <v>4000000</v>
      </c>
      <c r="C7">
        <v>600000</v>
      </c>
      <c r="E7" s="626">
        <f t="shared" si="0"/>
        <v>150</v>
      </c>
    </row>
    <row r="8" spans="1:5">
      <c r="A8" s="262" t="s">
        <v>69</v>
      </c>
      <c r="B8">
        <v>11500000</v>
      </c>
      <c r="C8">
        <v>1950000</v>
      </c>
      <c r="E8" s="626">
        <f t="shared" si="0"/>
        <v>169.56521739130434</v>
      </c>
    </row>
    <row r="9" spans="1:5">
      <c r="A9" s="262" t="s">
        <v>63</v>
      </c>
      <c r="B9">
        <v>56912902.329286553</v>
      </c>
      <c r="C9">
        <v>4710938.2919858936</v>
      </c>
      <c r="E9" s="626">
        <f t="shared" si="0"/>
        <v>82.774522106241506</v>
      </c>
    </row>
    <row r="10" spans="1:5">
      <c r="A10" s="262" t="s">
        <v>88</v>
      </c>
      <c r="B10">
        <v>176723970.07233173</v>
      </c>
      <c r="C10">
        <v>16190394.104005635</v>
      </c>
      <c r="E10" s="626">
        <f t="shared" si="0"/>
        <v>91.614024387178688</v>
      </c>
    </row>
    <row r="11" spans="1:5">
      <c r="A11" s="262" t="s">
        <v>56</v>
      </c>
      <c r="B11">
        <v>353447940.14466345</v>
      </c>
      <c r="C11">
        <v>32380788.20801127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B7EB-D173-486C-BBCA-4F3457F377B4}">
  <dimension ref="A1:EW81"/>
  <sheetViews>
    <sheetView showGridLines="0" tabSelected="1" zoomScale="90" zoomScaleNormal="90" workbookViewId="0">
      <pane xSplit="3" topLeftCell="J1" activePane="topRight" state="frozen"/>
      <selection pane="topRight" activeCell="M1" sqref="M1"/>
    </sheetView>
  </sheetViews>
  <sheetFormatPr defaultColWidth="8.6640625" defaultRowHeight="12"/>
  <cols>
    <col min="1" max="1" width="36.109375" style="293" bestFit="1" customWidth="1"/>
    <col min="2" max="2" width="4.88671875" style="293" bestFit="1" customWidth="1"/>
    <col min="3" max="3" width="19.88671875" style="293" customWidth="1"/>
    <col min="4" max="4" width="19.109375" style="293" customWidth="1"/>
    <col min="5" max="5" width="10.5546875" style="293" bestFit="1" customWidth="1"/>
    <col min="6" max="6" width="12.6640625" style="293" bestFit="1" customWidth="1"/>
    <col min="7" max="7" width="15.88671875" style="293" bestFit="1" customWidth="1"/>
    <col min="8" max="8" width="24.44140625" style="293" bestFit="1" customWidth="1"/>
    <col min="9" max="9" width="7.5546875" style="293" bestFit="1" customWidth="1"/>
    <col min="10" max="10" width="41.88671875" style="293" customWidth="1"/>
    <col min="11" max="11" width="10.44140625" style="293" bestFit="1" customWidth="1"/>
    <col min="12" max="12" width="4.88671875" style="293" bestFit="1" customWidth="1"/>
    <col min="13" max="13" width="11.5546875" style="293" bestFit="1" customWidth="1"/>
    <col min="14" max="14" width="3.5546875" style="293" bestFit="1" customWidth="1"/>
    <col min="15" max="15" width="15.109375" style="293" bestFit="1" customWidth="1"/>
    <col min="16" max="16" width="11.109375" style="293" bestFit="1" customWidth="1"/>
    <col min="17" max="17" width="10.44140625" style="293" bestFit="1" customWidth="1"/>
    <col min="18" max="18" width="15.44140625" style="530" bestFit="1" customWidth="1"/>
    <col min="19" max="19" width="12.6640625" style="293" bestFit="1" customWidth="1"/>
    <col min="20" max="20" width="9.5546875" style="293" bestFit="1" customWidth="1"/>
    <col min="21" max="21" width="8.5546875" style="293" customWidth="1"/>
    <col min="22" max="23" width="11.44140625" style="293" customWidth="1"/>
    <col min="24" max="24" width="10.6640625" style="293" customWidth="1"/>
    <col min="25" max="26" width="8.44140625" style="293" bestFit="1" customWidth="1"/>
    <col min="27" max="27" width="12.109375" style="293" customWidth="1"/>
    <col min="28" max="28" width="11.5546875" style="293" bestFit="1" customWidth="1"/>
    <col min="29" max="30" width="9.44140625" style="244" customWidth="1"/>
    <col min="31" max="31" width="9" style="244" bestFit="1" customWidth="1"/>
    <col min="32" max="32" width="8.6640625" style="293" customWidth="1"/>
    <col min="33" max="33" width="9.88671875" style="293" hidden="1" customWidth="1"/>
    <col min="34" max="34" width="8.109375" style="293" hidden="1" customWidth="1"/>
    <col min="35" max="35" width="9.88671875" style="293" hidden="1" customWidth="1"/>
    <col min="36" max="36" width="10.44140625" style="293" hidden="1" customWidth="1"/>
    <col min="37" max="37" width="9.88671875" style="360" hidden="1" customWidth="1"/>
    <col min="38" max="38" width="7.109375" style="293" hidden="1" customWidth="1"/>
    <col min="39" max="40" width="8.6640625" style="293" hidden="1" customWidth="1"/>
    <col min="41" max="41" width="8.109375" style="293" hidden="1" customWidth="1"/>
    <col min="42" max="42" width="4.88671875" style="293" hidden="1" customWidth="1"/>
    <col min="43" max="43" width="8.5546875" style="293" hidden="1" customWidth="1"/>
    <col min="44" max="44" width="4.109375" style="293" hidden="1" customWidth="1"/>
    <col min="45" max="45" width="8.6640625" style="293" hidden="1" customWidth="1"/>
    <col min="46" max="46" width="3.5546875" style="293" hidden="1" customWidth="1"/>
    <col min="47" max="47" width="8.6640625" style="293" hidden="1" customWidth="1"/>
    <col min="48" max="48" width="12.44140625" style="293" bestFit="1" customWidth="1"/>
    <col min="49" max="49" width="6.44140625" style="293" bestFit="1" customWidth="1"/>
    <col min="50" max="50" width="7.33203125" style="293" bestFit="1" customWidth="1"/>
    <col min="51" max="51" width="9" style="293" bestFit="1" customWidth="1"/>
    <col min="52" max="52" width="9.33203125" style="293" bestFit="1" customWidth="1"/>
    <col min="53" max="16384" width="8.6640625" style="293"/>
  </cols>
  <sheetData>
    <row r="1" spans="1:52" ht="14.4">
      <c r="A1" s="147" t="s">
        <v>89</v>
      </c>
      <c r="B1" s="147" t="s">
        <v>90</v>
      </c>
      <c r="C1" s="147" t="s">
        <v>34</v>
      </c>
      <c r="D1" s="147" t="s">
        <v>91</v>
      </c>
      <c r="E1" s="147" t="s">
        <v>92</v>
      </c>
      <c r="F1" s="147" t="s">
        <v>93</v>
      </c>
      <c r="G1" s="147" t="s">
        <v>94</v>
      </c>
      <c r="H1" s="147" t="s">
        <v>95</v>
      </c>
      <c r="I1" s="147" t="s">
        <v>96</v>
      </c>
      <c r="J1" s="148" t="s">
        <v>97</v>
      </c>
      <c r="K1" s="149" t="s">
        <v>98</v>
      </c>
      <c r="L1" s="150" t="s">
        <v>99</v>
      </c>
      <c r="M1" s="151" t="s">
        <v>100</v>
      </c>
      <c r="N1" s="151" t="s">
        <v>101</v>
      </c>
      <c r="O1" s="151" t="s">
        <v>102</v>
      </c>
      <c r="P1" s="152" t="s">
        <v>103</v>
      </c>
      <c r="Q1" s="152" t="s">
        <v>104</v>
      </c>
      <c r="R1" s="208" t="s">
        <v>105</v>
      </c>
      <c r="S1" s="203" t="s">
        <v>106</v>
      </c>
      <c r="T1" s="147" t="s">
        <v>107</v>
      </c>
      <c r="U1" s="147" t="s">
        <v>108</v>
      </c>
      <c r="V1" s="151" t="s">
        <v>14</v>
      </c>
      <c r="W1" s="151" t="s">
        <v>109</v>
      </c>
      <c r="X1" s="204" t="s">
        <v>78</v>
      </c>
      <c r="Y1" s="132" t="s">
        <v>15</v>
      </c>
      <c r="Z1" s="204" t="s">
        <v>13</v>
      </c>
      <c r="AA1" s="204" t="s">
        <v>110</v>
      </c>
      <c r="AB1" s="204" t="s">
        <v>111</v>
      </c>
      <c r="AC1" s="204" t="s">
        <v>4</v>
      </c>
      <c r="AD1" s="204" t="s">
        <v>6</v>
      </c>
      <c r="AE1" s="204" t="s">
        <v>8</v>
      </c>
      <c r="AG1" s="241" t="s">
        <v>113</v>
      </c>
      <c r="AH1" s="241" t="s">
        <v>114</v>
      </c>
      <c r="AI1" s="241" t="s">
        <v>115</v>
      </c>
      <c r="AJ1" s="241" t="s">
        <v>116</v>
      </c>
      <c r="AO1" s="399" t="s">
        <v>117</v>
      </c>
      <c r="AP1" s="399" t="s">
        <v>118</v>
      </c>
      <c r="AQ1" s="399" t="s">
        <v>119</v>
      </c>
      <c r="AR1" s="399" t="s">
        <v>120</v>
      </c>
      <c r="AV1" s="523" t="s">
        <v>121</v>
      </c>
      <c r="AW1" s="399" t="s">
        <v>122</v>
      </c>
      <c r="AX1" s="399" t="s">
        <v>123</v>
      </c>
      <c r="AY1" s="293" t="s">
        <v>124</v>
      </c>
      <c r="AZ1" s="293" t="s">
        <v>125</v>
      </c>
    </row>
    <row r="2" spans="1:52">
      <c r="A2" s="101" t="s">
        <v>126</v>
      </c>
      <c r="B2" s="101"/>
      <c r="C2" s="101"/>
      <c r="D2" s="101"/>
      <c r="E2" s="101"/>
      <c r="F2" s="101"/>
      <c r="G2" s="101"/>
      <c r="H2" s="101"/>
      <c r="I2" s="101"/>
      <c r="J2" s="101"/>
      <c r="K2" s="103"/>
      <c r="L2" s="104"/>
      <c r="M2" s="105"/>
      <c r="N2" s="105"/>
      <c r="O2" s="105"/>
      <c r="P2" s="106"/>
      <c r="Q2" s="106"/>
      <c r="R2" s="567"/>
      <c r="S2" s="107"/>
      <c r="T2" s="107"/>
      <c r="U2" s="108"/>
      <c r="V2" s="105"/>
      <c r="W2" s="105"/>
      <c r="X2" s="105"/>
      <c r="Y2" s="105"/>
      <c r="Z2" s="105"/>
      <c r="AA2" s="105"/>
      <c r="AB2" s="105"/>
      <c r="AC2" s="105"/>
      <c r="AD2" s="105"/>
      <c r="AE2" s="105"/>
      <c r="AK2" s="293"/>
    </row>
    <row r="3" spans="1:52" s="244" customFormat="1">
      <c r="A3" s="155" t="s">
        <v>61</v>
      </c>
      <c r="B3" s="156" t="s">
        <v>127</v>
      </c>
      <c r="C3" s="156" t="s">
        <v>35</v>
      </c>
      <c r="D3" s="156" t="s">
        <v>128</v>
      </c>
      <c r="E3" s="155" t="s">
        <v>63</v>
      </c>
      <c r="F3" s="48" t="s">
        <v>70</v>
      </c>
      <c r="G3" s="157" t="s">
        <v>129</v>
      </c>
      <c r="H3" s="155" t="s">
        <v>130</v>
      </c>
      <c r="I3" s="48" t="s">
        <v>131</v>
      </c>
      <c r="J3" s="156" t="s">
        <v>132</v>
      </c>
      <c r="K3" s="45">
        <f>V3*AB3</f>
        <v>3486000</v>
      </c>
      <c r="L3" s="42">
        <v>4.0000000000000001E-3</v>
      </c>
      <c r="M3" s="43">
        <f>K3*L3</f>
        <v>13944</v>
      </c>
      <c r="N3" s="46">
        <v>0.35</v>
      </c>
      <c r="O3" s="43">
        <f>N3*K3</f>
        <v>1220100</v>
      </c>
      <c r="P3" s="158">
        <f>(S3*1000)/K3</f>
        <v>105</v>
      </c>
      <c r="Q3" s="158">
        <f>S3/M3</f>
        <v>26.25</v>
      </c>
      <c r="R3" s="803">
        <v>0.3</v>
      </c>
      <c r="S3" s="145">
        <f>O3*R3</f>
        <v>366030</v>
      </c>
      <c r="T3" s="44">
        <f t="shared" ref="T3:T34" si="0">S3/$S$70</f>
        <v>3.1510408458833995E-2</v>
      </c>
      <c r="U3" s="46">
        <v>0.8</v>
      </c>
      <c r="V3" s="45">
        <f>X3*Y3</f>
        <v>2324000</v>
      </c>
      <c r="W3" s="45">
        <f t="shared" ref="W3:W5" si="1">(1-U3)*V3</f>
        <v>464799.99999999988</v>
      </c>
      <c r="X3" s="45">
        <v>5810000</v>
      </c>
      <c r="Y3" s="46">
        <v>0.4</v>
      </c>
      <c r="Z3" s="51"/>
      <c r="AA3" s="46" t="e">
        <f t="shared" ref="AA3:AA5" si="2">W3/Z3</f>
        <v>#DIV/0!</v>
      </c>
      <c r="AB3" s="47">
        <v>1.5</v>
      </c>
      <c r="AC3" s="202">
        <v>45475</v>
      </c>
      <c r="AD3" s="202">
        <f>AC3+7</f>
        <v>45482</v>
      </c>
      <c r="AE3" s="374">
        <f>AD3-AC3+1</f>
        <v>8</v>
      </c>
      <c r="AF3" s="804"/>
      <c r="AG3" s="795">
        <f>X3*40%</f>
        <v>2324000</v>
      </c>
      <c r="AH3" s="796">
        <f>AB3</f>
        <v>1.5</v>
      </c>
      <c r="AI3" s="795">
        <f>AG3*AH3</f>
        <v>3486000</v>
      </c>
      <c r="AJ3" s="795">
        <f>AI3*105/1000</f>
        <v>366030</v>
      </c>
      <c r="AK3" s="797"/>
      <c r="AL3" s="798"/>
      <c r="AM3" s="798"/>
      <c r="AN3" s="798"/>
      <c r="AO3" s="798"/>
      <c r="AP3" s="798"/>
      <c r="AQ3" s="798"/>
      <c r="AR3" s="798"/>
      <c r="AS3" s="798"/>
      <c r="AT3" s="798"/>
      <c r="AU3" s="798"/>
      <c r="AW3" s="244">
        <v>2.13</v>
      </c>
    </row>
    <row r="4" spans="1:52" s="244" customFormat="1">
      <c r="A4" s="155" t="s">
        <v>61</v>
      </c>
      <c r="B4" s="156" t="s">
        <v>127</v>
      </c>
      <c r="C4" s="156" t="s">
        <v>35</v>
      </c>
      <c r="D4" s="156" t="s">
        <v>128</v>
      </c>
      <c r="E4" s="155" t="s">
        <v>63</v>
      </c>
      <c r="F4" s="48" t="s">
        <v>70</v>
      </c>
      <c r="G4" s="157" t="s">
        <v>133</v>
      </c>
      <c r="H4" s="156" t="s">
        <v>134</v>
      </c>
      <c r="I4" s="48" t="s">
        <v>118</v>
      </c>
      <c r="J4" s="156" t="s">
        <v>132</v>
      </c>
      <c r="K4" s="45">
        <f>V4*AB4</f>
        <v>4648000</v>
      </c>
      <c r="L4" s="42">
        <v>4.0000000000000001E-3</v>
      </c>
      <c r="M4" s="43">
        <f>K4*L4</f>
        <v>18592</v>
      </c>
      <c r="N4" s="46">
        <v>0.85</v>
      </c>
      <c r="O4" s="43">
        <f>K4*N4</f>
        <v>3950800</v>
      </c>
      <c r="P4" s="158">
        <f>(S4*1000)/K4</f>
        <v>60</v>
      </c>
      <c r="Q4" s="158">
        <f t="shared" ref="Q4:Q5" si="3">S4/M4</f>
        <v>15</v>
      </c>
      <c r="R4" s="375">
        <v>60</v>
      </c>
      <c r="S4" s="145">
        <f>R4*K4/1000</f>
        <v>278880</v>
      </c>
      <c r="T4" s="44">
        <f t="shared" si="0"/>
        <v>2.4007930254349712E-2</v>
      </c>
      <c r="U4" s="46">
        <v>0.9</v>
      </c>
      <c r="V4" s="45">
        <f>X4*Y4</f>
        <v>2324000</v>
      </c>
      <c r="W4" s="45">
        <f t="shared" si="1"/>
        <v>232399.99999999994</v>
      </c>
      <c r="X4" s="45">
        <f>5.81*1000000</f>
        <v>5810000</v>
      </c>
      <c r="Y4" s="46">
        <v>0.4</v>
      </c>
      <c r="Z4" s="51"/>
      <c r="AA4" s="46" t="e">
        <f t="shared" si="2"/>
        <v>#DIV/0!</v>
      </c>
      <c r="AB4" s="47">
        <v>2</v>
      </c>
      <c r="AC4" s="202">
        <v>45475</v>
      </c>
      <c r="AD4" s="202">
        <f t="shared" ref="AD4:AD5" si="4">AC4+7</f>
        <v>45482</v>
      </c>
      <c r="AE4" s="374">
        <f t="shared" ref="AE4:AE5" si="5">AD4-AC4+1</f>
        <v>8</v>
      </c>
      <c r="AG4" s="293">
        <f>X4*50%</f>
        <v>2905000</v>
      </c>
      <c r="AH4" s="293">
        <v>2</v>
      </c>
      <c r="AI4" s="293">
        <f>AG4*AH4</f>
        <v>5810000</v>
      </c>
      <c r="AJ4" s="294">
        <f>AI4*60/1000</f>
        <v>348600</v>
      </c>
      <c r="AK4" s="620"/>
      <c r="AL4" s="293"/>
      <c r="AM4" s="293"/>
      <c r="AN4" s="293"/>
      <c r="AO4" s="293"/>
      <c r="AP4" s="293"/>
      <c r="AQ4" s="293"/>
      <c r="AR4" s="293"/>
      <c r="AS4" s="293"/>
      <c r="AT4" s="293"/>
      <c r="AU4" s="293"/>
      <c r="AW4" s="244">
        <v>2.13</v>
      </c>
    </row>
    <row r="5" spans="1:52" s="244" customFormat="1">
      <c r="A5" s="155" t="s">
        <v>61</v>
      </c>
      <c r="B5" s="156" t="s">
        <v>127</v>
      </c>
      <c r="C5" s="156" t="s">
        <v>35</v>
      </c>
      <c r="D5" s="156" t="s">
        <v>128</v>
      </c>
      <c r="E5" s="155" t="s">
        <v>135</v>
      </c>
      <c r="F5" s="48" t="s">
        <v>70</v>
      </c>
      <c r="G5" s="157" t="s">
        <v>136</v>
      </c>
      <c r="H5" s="155" t="s">
        <v>137</v>
      </c>
      <c r="I5" s="48" t="s">
        <v>118</v>
      </c>
      <c r="J5" s="156" t="s">
        <v>138</v>
      </c>
      <c r="K5" s="45">
        <f>V5*AB5</f>
        <v>1820696.4000000001</v>
      </c>
      <c r="L5" s="42">
        <v>3.0000000000000001E-3</v>
      </c>
      <c r="M5" s="43">
        <f>K5*L5</f>
        <v>5462.0892000000003</v>
      </c>
      <c r="N5" s="46">
        <v>0.85</v>
      </c>
      <c r="O5" s="43">
        <f t="shared" ref="O5" si="6">K5*N5</f>
        <v>1547591.9400000002</v>
      </c>
      <c r="P5" s="158">
        <f t="shared" ref="P5" si="7">S5/(K5/1000)</f>
        <v>285</v>
      </c>
      <c r="Q5" s="159">
        <f t="shared" si="3"/>
        <v>95</v>
      </c>
      <c r="R5" s="375">
        <v>285</v>
      </c>
      <c r="S5" s="158">
        <f>R5*K5/1000</f>
        <v>518898.47400000005</v>
      </c>
      <c r="T5" s="44">
        <f t="shared" si="0"/>
        <v>4.4670390034712057E-2</v>
      </c>
      <c r="U5" s="46">
        <v>1</v>
      </c>
      <c r="V5" s="45">
        <f>Y5*X5</f>
        <v>1213797.6000000001</v>
      </c>
      <c r="W5" s="45">
        <f t="shared" si="1"/>
        <v>0</v>
      </c>
      <c r="X5" s="43">
        <v>3034494</v>
      </c>
      <c r="Y5" s="46">
        <v>0.4</v>
      </c>
      <c r="Z5" s="51"/>
      <c r="AA5" s="44" t="e">
        <f t="shared" si="2"/>
        <v>#DIV/0!</v>
      </c>
      <c r="AB5" s="47">
        <v>1.5</v>
      </c>
      <c r="AC5" s="202">
        <v>45475</v>
      </c>
      <c r="AD5" s="202">
        <f t="shared" si="4"/>
        <v>45482</v>
      </c>
      <c r="AE5" s="374">
        <f t="shared" si="5"/>
        <v>8</v>
      </c>
      <c r="AG5" s="293"/>
      <c r="AH5" s="293"/>
      <c r="AI5" s="293"/>
      <c r="AJ5" s="293"/>
      <c r="AK5" s="294"/>
      <c r="AL5" s="293"/>
      <c r="AM5" s="293"/>
      <c r="AN5" s="293"/>
      <c r="AO5" s="293"/>
      <c r="AP5" s="293"/>
      <c r="AQ5" s="293"/>
      <c r="AR5" s="293"/>
      <c r="AS5" s="293"/>
      <c r="AT5" s="293"/>
      <c r="AU5" s="293"/>
      <c r="AV5" s="244" t="s">
        <v>139</v>
      </c>
      <c r="AW5" s="244">
        <v>6.2</v>
      </c>
    </row>
    <row r="6" spans="1:52">
      <c r="A6" s="101" t="s">
        <v>140</v>
      </c>
      <c r="B6" s="101"/>
      <c r="C6" s="101"/>
      <c r="D6" s="101"/>
      <c r="E6" s="101"/>
      <c r="F6" s="101"/>
      <c r="G6" s="101"/>
      <c r="H6" s="101"/>
      <c r="I6" s="101"/>
      <c r="J6" s="101"/>
      <c r="K6" s="103"/>
      <c r="L6" s="104"/>
      <c r="M6" s="105"/>
      <c r="N6" s="105"/>
      <c r="O6" s="105"/>
      <c r="P6" s="106"/>
      <c r="Q6" s="106"/>
      <c r="R6" s="107"/>
      <c r="S6" s="107"/>
      <c r="T6" s="44">
        <f t="shared" si="0"/>
        <v>0</v>
      </c>
      <c r="U6" s="108"/>
      <c r="V6" s="105"/>
      <c r="W6" s="105"/>
      <c r="X6" s="105"/>
      <c r="Y6" s="108"/>
      <c r="Z6" s="105"/>
      <c r="AA6" s="105"/>
      <c r="AB6" s="105"/>
      <c r="AC6" s="105"/>
      <c r="AD6" s="105"/>
      <c r="AE6" s="105"/>
      <c r="AK6" s="293"/>
    </row>
    <row r="7" spans="1:52" s="244" customFormat="1">
      <c r="A7" s="155" t="s">
        <v>61</v>
      </c>
      <c r="B7" s="156" t="s">
        <v>127</v>
      </c>
      <c r="C7" s="156" t="s">
        <v>36</v>
      </c>
      <c r="D7" s="156" t="s">
        <v>128</v>
      </c>
      <c r="E7" s="155" t="s">
        <v>63</v>
      </c>
      <c r="F7" s="48" t="s">
        <v>70</v>
      </c>
      <c r="G7" s="157" t="s">
        <v>129</v>
      </c>
      <c r="H7" s="155" t="s">
        <v>130</v>
      </c>
      <c r="I7" s="48" t="s">
        <v>131</v>
      </c>
      <c r="J7" s="156" t="s">
        <v>132</v>
      </c>
      <c r="K7" s="45">
        <f>V7*AB7</f>
        <v>4678200</v>
      </c>
      <c r="L7" s="42">
        <v>4.0000000000000001E-3</v>
      </c>
      <c r="M7" s="43">
        <f>K7*L7</f>
        <v>18712.8</v>
      </c>
      <c r="N7" s="46">
        <v>0.35</v>
      </c>
      <c r="O7" s="43">
        <f>N7*K7</f>
        <v>1637370</v>
      </c>
      <c r="P7" s="158">
        <f>S7/(K7/1000)</f>
        <v>105</v>
      </c>
      <c r="Q7" s="158">
        <f t="shared" ref="Q7:Q9" si="8">S7/M7</f>
        <v>26.25</v>
      </c>
      <c r="R7" s="803">
        <v>0.3</v>
      </c>
      <c r="S7" s="145">
        <f>O7*R7</f>
        <v>491211</v>
      </c>
      <c r="T7" s="44">
        <f t="shared" si="0"/>
        <v>4.2286859682190821E-2</v>
      </c>
      <c r="U7" s="46">
        <v>0.8</v>
      </c>
      <c r="V7" s="45">
        <f>X7*Y7</f>
        <v>3118800</v>
      </c>
      <c r="W7" s="45">
        <f>(1-U7)*V7</f>
        <v>623759.99999999988</v>
      </c>
      <c r="X7" s="45">
        <v>7796999.9999999991</v>
      </c>
      <c r="Y7" s="46">
        <v>0.4</v>
      </c>
      <c r="Z7" s="51"/>
      <c r="AA7" s="46" t="e">
        <f>W7/Z7</f>
        <v>#DIV/0!</v>
      </c>
      <c r="AB7" s="47">
        <v>1.5</v>
      </c>
      <c r="AC7" s="202">
        <v>45475</v>
      </c>
      <c r="AD7" s="202">
        <f t="shared" ref="AD7:AD9" si="9">AC7+7</f>
        <v>45482</v>
      </c>
      <c r="AE7" s="374">
        <f t="shared" ref="AE7:AE9" si="10">AD7-AC7+1</f>
        <v>8</v>
      </c>
      <c r="AG7" s="795">
        <f>X7*40%</f>
        <v>3118800</v>
      </c>
      <c r="AH7" s="796">
        <f>AB7</f>
        <v>1.5</v>
      </c>
      <c r="AI7" s="795">
        <f>AG7*AH7</f>
        <v>4678200</v>
      </c>
      <c r="AJ7" s="795">
        <f>AI7*105/1000</f>
        <v>491211</v>
      </c>
      <c r="AK7" s="797"/>
      <c r="AL7" s="798"/>
      <c r="AM7" s="798"/>
      <c r="AN7" s="798"/>
      <c r="AO7" s="798"/>
      <c r="AP7" s="798"/>
      <c r="AQ7" s="798"/>
      <c r="AR7" s="798"/>
      <c r="AS7" s="798"/>
      <c r="AT7" s="798"/>
      <c r="AU7" s="798"/>
      <c r="AW7" s="244">
        <v>2.13</v>
      </c>
    </row>
    <row r="8" spans="1:52" s="244" customFormat="1">
      <c r="A8" s="155" t="s">
        <v>61</v>
      </c>
      <c r="B8" s="156" t="s">
        <v>127</v>
      </c>
      <c r="C8" s="156" t="s">
        <v>36</v>
      </c>
      <c r="D8" s="156" t="s">
        <v>128</v>
      </c>
      <c r="E8" s="155" t="s">
        <v>63</v>
      </c>
      <c r="F8" s="48" t="s">
        <v>70</v>
      </c>
      <c r="G8" s="157" t="s">
        <v>133</v>
      </c>
      <c r="H8" s="156" t="s">
        <v>134</v>
      </c>
      <c r="I8" s="48" t="s">
        <v>118</v>
      </c>
      <c r="J8" s="156" t="s">
        <v>132</v>
      </c>
      <c r="K8" s="45">
        <f>V8*AB8</f>
        <v>6237600</v>
      </c>
      <c r="L8" s="42">
        <v>4.0000000000000001E-3</v>
      </c>
      <c r="M8" s="43">
        <f>K8*L8</f>
        <v>24950.400000000001</v>
      </c>
      <c r="N8" s="46">
        <v>0.85</v>
      </c>
      <c r="O8" s="43">
        <f>K8*N8</f>
        <v>5301960</v>
      </c>
      <c r="P8" s="158">
        <f>(S8*1000)/K8</f>
        <v>60</v>
      </c>
      <c r="Q8" s="158">
        <f t="shared" si="8"/>
        <v>15</v>
      </c>
      <c r="R8" s="375">
        <v>60</v>
      </c>
      <c r="S8" s="145">
        <f>R8*K8/1000</f>
        <v>374256</v>
      </c>
      <c r="T8" s="44">
        <f t="shared" si="0"/>
        <v>3.2218559757859672E-2</v>
      </c>
      <c r="U8" s="46">
        <v>0.9</v>
      </c>
      <c r="V8" s="45">
        <f>X8*Y8</f>
        <v>3118800</v>
      </c>
      <c r="W8" s="45">
        <f t="shared" ref="W8:W9" si="11">(1-U8)*V8</f>
        <v>311879.99999999994</v>
      </c>
      <c r="X8" s="45">
        <v>7796999.9999999991</v>
      </c>
      <c r="Y8" s="46">
        <v>0.4</v>
      </c>
      <c r="Z8" s="51"/>
      <c r="AA8" s="46" t="e">
        <f>W8/Z8</f>
        <v>#DIV/0!</v>
      </c>
      <c r="AB8" s="47">
        <v>2</v>
      </c>
      <c r="AC8" s="202">
        <v>45475</v>
      </c>
      <c r="AD8" s="202">
        <f t="shared" si="9"/>
        <v>45482</v>
      </c>
      <c r="AE8" s="374">
        <f t="shared" si="10"/>
        <v>8</v>
      </c>
      <c r="AG8" s="293">
        <f>X8*50%</f>
        <v>3898499.9999999995</v>
      </c>
      <c r="AH8" s="293">
        <v>2</v>
      </c>
      <c r="AI8" s="293">
        <f>AG8*AH8</f>
        <v>7796999.9999999991</v>
      </c>
      <c r="AJ8" s="294">
        <f>AI8*60/1000</f>
        <v>467819.99999999994</v>
      </c>
      <c r="AK8" s="620"/>
      <c r="AL8" s="293"/>
      <c r="AM8" s="293"/>
      <c r="AN8" s="293"/>
      <c r="AO8" s="293"/>
      <c r="AP8" s="293"/>
      <c r="AQ8" s="293"/>
      <c r="AR8" s="293"/>
      <c r="AS8" s="293"/>
      <c r="AT8" s="293"/>
      <c r="AU8" s="293"/>
      <c r="AW8" s="244">
        <v>2.13</v>
      </c>
    </row>
    <row r="9" spans="1:52" s="244" customFormat="1">
      <c r="A9" s="155" t="s">
        <v>61</v>
      </c>
      <c r="B9" s="156" t="s">
        <v>127</v>
      </c>
      <c r="C9" s="156" t="s">
        <v>36</v>
      </c>
      <c r="D9" s="156" t="s">
        <v>128</v>
      </c>
      <c r="E9" s="155" t="s">
        <v>135</v>
      </c>
      <c r="F9" s="48" t="s">
        <v>70</v>
      </c>
      <c r="G9" s="157" t="s">
        <v>136</v>
      </c>
      <c r="H9" s="155" t="s">
        <v>137</v>
      </c>
      <c r="I9" s="48" t="s">
        <v>118</v>
      </c>
      <c r="J9" s="156" t="s">
        <v>138</v>
      </c>
      <c r="K9" s="45">
        <f>V9*AB9</f>
        <v>2683113</v>
      </c>
      <c r="L9" s="42">
        <v>3.0000000000000001E-3</v>
      </c>
      <c r="M9" s="43">
        <f t="shared" ref="M9" si="12">K9*L9</f>
        <v>8049.3389999999999</v>
      </c>
      <c r="N9" s="46">
        <v>0.85</v>
      </c>
      <c r="O9" s="43">
        <f t="shared" ref="O9" si="13">K9*N9</f>
        <v>2280646.0499999998</v>
      </c>
      <c r="P9" s="158">
        <f t="shared" ref="P9" si="14">S9/(K9/1000)</f>
        <v>285</v>
      </c>
      <c r="Q9" s="159">
        <f t="shared" si="8"/>
        <v>95</v>
      </c>
      <c r="R9" s="375">
        <v>285</v>
      </c>
      <c r="S9" s="158">
        <f>R9*K9/1000</f>
        <v>764687.20499999996</v>
      </c>
      <c r="T9" s="44">
        <f t="shared" si="0"/>
        <v>6.5829593674819345E-2</v>
      </c>
      <c r="U9" s="46">
        <v>1</v>
      </c>
      <c r="V9" s="45">
        <f>Y9*X9</f>
        <v>1788742</v>
      </c>
      <c r="W9" s="45">
        <f t="shared" si="11"/>
        <v>0</v>
      </c>
      <c r="X9" s="43">
        <v>4471855</v>
      </c>
      <c r="Y9" s="46">
        <v>0.4</v>
      </c>
      <c r="Z9" s="51"/>
      <c r="AA9" s="44" t="e">
        <f t="shared" ref="AA9" si="15">W9/Z9</f>
        <v>#DIV/0!</v>
      </c>
      <c r="AB9" s="47">
        <v>1.5</v>
      </c>
      <c r="AC9" s="202">
        <v>45475</v>
      </c>
      <c r="AD9" s="202">
        <f t="shared" si="9"/>
        <v>45482</v>
      </c>
      <c r="AE9" s="374">
        <f t="shared" si="10"/>
        <v>8</v>
      </c>
      <c r="AG9" s="293"/>
      <c r="AH9" s="293"/>
      <c r="AI9" s="293"/>
      <c r="AJ9" s="293"/>
      <c r="AK9" s="294"/>
      <c r="AL9" s="293"/>
      <c r="AM9" s="293"/>
      <c r="AN9" s="293"/>
      <c r="AO9" s="293"/>
      <c r="AP9" s="293"/>
      <c r="AQ9" s="293"/>
      <c r="AR9" s="293"/>
      <c r="AS9" s="293"/>
      <c r="AT9" s="293"/>
      <c r="AU9" s="293"/>
      <c r="AV9" s="244" t="s">
        <v>139</v>
      </c>
      <c r="AW9" s="244">
        <v>6.2</v>
      </c>
    </row>
    <row r="10" spans="1:52">
      <c r="A10" s="101" t="s">
        <v>141</v>
      </c>
      <c r="B10" s="101"/>
      <c r="C10" s="101"/>
      <c r="D10" s="101"/>
      <c r="E10" s="101"/>
      <c r="F10" s="101"/>
      <c r="G10" s="101"/>
      <c r="H10" s="101"/>
      <c r="I10" s="101"/>
      <c r="J10" s="101"/>
      <c r="K10" s="103"/>
      <c r="L10" s="104"/>
      <c r="M10" s="105"/>
      <c r="N10" s="105"/>
      <c r="O10" s="105"/>
      <c r="P10" s="106"/>
      <c r="Q10" s="106"/>
      <c r="R10" s="107"/>
      <c r="S10" s="107"/>
      <c r="T10" s="44">
        <f t="shared" si="0"/>
        <v>0</v>
      </c>
      <c r="U10" s="108"/>
      <c r="V10" s="105"/>
      <c r="W10" s="105"/>
      <c r="X10" s="105"/>
      <c r="Y10" s="105"/>
      <c r="Z10" s="105"/>
      <c r="AA10" s="105"/>
      <c r="AB10" s="105"/>
      <c r="AC10" s="105"/>
      <c r="AD10" s="105"/>
      <c r="AE10" s="105"/>
      <c r="AK10" s="293"/>
    </row>
    <row r="11" spans="1:52" s="244" customFormat="1">
      <c r="A11" s="155" t="s">
        <v>61</v>
      </c>
      <c r="B11" s="156" t="s">
        <v>127</v>
      </c>
      <c r="C11" s="156" t="s">
        <v>37</v>
      </c>
      <c r="D11" s="156" t="s">
        <v>128</v>
      </c>
      <c r="E11" s="155" t="s">
        <v>63</v>
      </c>
      <c r="F11" s="48" t="s">
        <v>70</v>
      </c>
      <c r="G11" s="157" t="s">
        <v>129</v>
      </c>
      <c r="H11" s="155" t="s">
        <v>130</v>
      </c>
      <c r="I11" s="48" t="s">
        <v>131</v>
      </c>
      <c r="J11" s="156" t="s">
        <v>132</v>
      </c>
      <c r="K11" s="45">
        <f>V11*AB11</f>
        <v>2430000</v>
      </c>
      <c r="L11" s="42">
        <v>4.0000000000000001E-3</v>
      </c>
      <c r="M11" s="43">
        <f>K11*L11</f>
        <v>9720</v>
      </c>
      <c r="N11" s="46">
        <v>0.35</v>
      </c>
      <c r="O11" s="43">
        <f>N11*K11</f>
        <v>850500</v>
      </c>
      <c r="P11" s="158">
        <f>S11/(K11/1000)</f>
        <v>105</v>
      </c>
      <c r="Q11" s="158">
        <f t="shared" ref="Q11:Q13" si="16">S11/M11</f>
        <v>26.25</v>
      </c>
      <c r="R11" s="803">
        <v>0.3</v>
      </c>
      <c r="S11" s="145">
        <f>O11*R11</f>
        <v>255150</v>
      </c>
      <c r="T11" s="44">
        <f t="shared" si="0"/>
        <v>2.1965086791441945E-2</v>
      </c>
      <c r="U11" s="46">
        <v>0.8</v>
      </c>
      <c r="V11" s="45">
        <f>X11*Y11</f>
        <v>1620000</v>
      </c>
      <c r="W11" s="45">
        <f>(1-U11)*V11</f>
        <v>323999.99999999994</v>
      </c>
      <c r="X11" s="45">
        <v>4050000</v>
      </c>
      <c r="Y11" s="46">
        <v>0.4</v>
      </c>
      <c r="Z11" s="51"/>
      <c r="AA11" s="46" t="e">
        <f>W11/Z11</f>
        <v>#DIV/0!</v>
      </c>
      <c r="AB11" s="47">
        <v>1.5</v>
      </c>
      <c r="AC11" s="202">
        <v>45475</v>
      </c>
      <c r="AD11" s="202">
        <f t="shared" ref="AD11:AD13" si="17">AC11+7</f>
        <v>45482</v>
      </c>
      <c r="AE11" s="374">
        <f t="shared" ref="AE11:AE13" si="18">AD11-AC11+1</f>
        <v>8</v>
      </c>
      <c r="AG11" s="795">
        <f>X11*40%</f>
        <v>1620000</v>
      </c>
      <c r="AH11" s="796">
        <f>AB11</f>
        <v>1.5</v>
      </c>
      <c r="AI11" s="795">
        <f>AG11*AH11</f>
        <v>2430000</v>
      </c>
      <c r="AJ11" s="795">
        <f>AI11*105/1000</f>
        <v>255150</v>
      </c>
      <c r="AK11" s="797"/>
      <c r="AL11" s="798"/>
      <c r="AM11" s="798"/>
      <c r="AN11" s="798"/>
      <c r="AO11" s="798"/>
      <c r="AP11" s="798"/>
      <c r="AQ11" s="798"/>
      <c r="AR11" s="798"/>
      <c r="AS11" s="798"/>
      <c r="AT11" s="798"/>
      <c r="AU11" s="798"/>
      <c r="AW11" s="244">
        <v>2.13</v>
      </c>
    </row>
    <row r="12" spans="1:52" s="244" customFormat="1">
      <c r="A12" s="155" t="s">
        <v>61</v>
      </c>
      <c r="B12" s="156" t="s">
        <v>127</v>
      </c>
      <c r="C12" s="156" t="s">
        <v>37</v>
      </c>
      <c r="D12" s="156" t="s">
        <v>128</v>
      </c>
      <c r="E12" s="155" t="s">
        <v>63</v>
      </c>
      <c r="F12" s="48" t="s">
        <v>70</v>
      </c>
      <c r="G12" s="157" t="s">
        <v>133</v>
      </c>
      <c r="H12" s="156" t="s">
        <v>134</v>
      </c>
      <c r="I12" s="48" t="s">
        <v>118</v>
      </c>
      <c r="J12" s="156" t="s">
        <v>132</v>
      </c>
      <c r="K12" s="45">
        <f>V12*AB12</f>
        <v>3240000</v>
      </c>
      <c r="L12" s="42">
        <v>4.0000000000000001E-3</v>
      </c>
      <c r="M12" s="43">
        <f>K12*L12</f>
        <v>12960</v>
      </c>
      <c r="N12" s="46">
        <v>0.85</v>
      </c>
      <c r="O12" s="43">
        <f>K12*N12</f>
        <v>2754000</v>
      </c>
      <c r="P12" s="158">
        <f>(S12*1000)/K12</f>
        <v>60</v>
      </c>
      <c r="Q12" s="158">
        <f t="shared" si="16"/>
        <v>15</v>
      </c>
      <c r="R12" s="375">
        <v>60</v>
      </c>
      <c r="S12" s="145">
        <f>R12*K12/1000</f>
        <v>194400</v>
      </c>
      <c r="T12" s="44">
        <f t="shared" si="0"/>
        <v>1.6735304222051006E-2</v>
      </c>
      <c r="U12" s="46">
        <v>0.9</v>
      </c>
      <c r="V12" s="45">
        <f>X12*Y12</f>
        <v>1620000</v>
      </c>
      <c r="W12" s="45">
        <f t="shared" ref="W12:W13" si="19">(1-U12)*V12</f>
        <v>161999.99999999997</v>
      </c>
      <c r="X12" s="45">
        <v>4050000</v>
      </c>
      <c r="Y12" s="46">
        <v>0.4</v>
      </c>
      <c r="Z12" s="51"/>
      <c r="AA12" s="46" t="e">
        <f>W12/Z12</f>
        <v>#DIV/0!</v>
      </c>
      <c r="AB12" s="47">
        <v>2</v>
      </c>
      <c r="AC12" s="202">
        <v>45475</v>
      </c>
      <c r="AD12" s="202">
        <f t="shared" si="17"/>
        <v>45482</v>
      </c>
      <c r="AE12" s="374">
        <f t="shared" si="18"/>
        <v>8</v>
      </c>
      <c r="AG12" s="293">
        <f>X12*50%</f>
        <v>2025000</v>
      </c>
      <c r="AH12" s="293">
        <v>2</v>
      </c>
      <c r="AI12" s="293">
        <f>AG12*AH12</f>
        <v>4050000</v>
      </c>
      <c r="AJ12" s="294">
        <f>AI12*60/1000</f>
        <v>243000</v>
      </c>
      <c r="AK12" s="620"/>
      <c r="AL12" s="293"/>
      <c r="AM12" s="293"/>
      <c r="AN12" s="293"/>
      <c r="AO12" s="293"/>
      <c r="AP12" s="293"/>
      <c r="AQ12" s="293"/>
      <c r="AR12" s="293"/>
      <c r="AS12" s="293"/>
      <c r="AT12" s="293"/>
      <c r="AU12" s="293"/>
      <c r="AW12" s="244">
        <v>2.13</v>
      </c>
    </row>
    <row r="13" spans="1:52" s="244" customFormat="1">
      <c r="A13" s="155" t="s">
        <v>61</v>
      </c>
      <c r="B13" s="156" t="s">
        <v>127</v>
      </c>
      <c r="C13" s="156" t="s">
        <v>37</v>
      </c>
      <c r="D13" s="156" t="s">
        <v>128</v>
      </c>
      <c r="E13" s="155" t="s">
        <v>135</v>
      </c>
      <c r="F13" s="48" t="s">
        <v>70</v>
      </c>
      <c r="G13" s="157" t="s">
        <v>136</v>
      </c>
      <c r="H13" s="155" t="s">
        <v>137</v>
      </c>
      <c r="I13" s="48" t="s">
        <v>118</v>
      </c>
      <c r="J13" s="156" t="s">
        <v>138</v>
      </c>
      <c r="K13" s="45">
        <f>V13*AB13</f>
        <v>1181855.4206708174</v>
      </c>
      <c r="L13" s="42">
        <v>3.0000000000000001E-3</v>
      </c>
      <c r="M13" s="43">
        <f t="shared" ref="M13" si="20">K13*L13</f>
        <v>3545.5662620124522</v>
      </c>
      <c r="N13" s="46">
        <v>0.85</v>
      </c>
      <c r="O13" s="43">
        <f t="shared" ref="O13" si="21">K13*N13</f>
        <v>1004577.1075701948</v>
      </c>
      <c r="P13" s="158">
        <f t="shared" ref="P13" si="22">S13/(K13/1000)</f>
        <v>285</v>
      </c>
      <c r="Q13" s="159">
        <f t="shared" si="16"/>
        <v>95</v>
      </c>
      <c r="R13" s="375">
        <v>285</v>
      </c>
      <c r="S13" s="158">
        <f>R13*K13/1000</f>
        <v>336828.79489118297</v>
      </c>
      <c r="T13" s="44">
        <f t="shared" si="0"/>
        <v>2.8996565603141802E-2</v>
      </c>
      <c r="U13" s="46">
        <v>1</v>
      </c>
      <c r="V13" s="45">
        <f>Y13*X13</f>
        <v>787903.61378054495</v>
      </c>
      <c r="W13" s="45">
        <f t="shared" si="19"/>
        <v>0</v>
      </c>
      <c r="X13" s="43">
        <v>1969759.0344513622</v>
      </c>
      <c r="Y13" s="46">
        <v>0.4</v>
      </c>
      <c r="Z13" s="51"/>
      <c r="AA13" s="44" t="e">
        <f t="shared" ref="AA13" si="23">W13/Z13</f>
        <v>#DIV/0!</v>
      </c>
      <c r="AB13" s="47">
        <v>1.5</v>
      </c>
      <c r="AC13" s="202">
        <v>45475</v>
      </c>
      <c r="AD13" s="202">
        <f t="shared" si="17"/>
        <v>45482</v>
      </c>
      <c r="AE13" s="374">
        <f t="shared" si="18"/>
        <v>8</v>
      </c>
      <c r="AG13" s="293"/>
      <c r="AH13" s="293"/>
      <c r="AI13" s="293"/>
      <c r="AJ13" s="293"/>
      <c r="AK13" s="294"/>
      <c r="AL13" s="293"/>
      <c r="AM13" s="293"/>
      <c r="AN13" s="293"/>
      <c r="AO13" s="293"/>
      <c r="AP13" s="293"/>
      <c r="AQ13" s="293"/>
      <c r="AR13" s="293"/>
      <c r="AS13" s="293"/>
      <c r="AT13" s="293"/>
      <c r="AU13" s="293"/>
      <c r="AV13" s="244" t="s">
        <v>139</v>
      </c>
      <c r="AW13" s="244">
        <v>6.2</v>
      </c>
    </row>
    <row r="14" spans="1:52">
      <c r="A14" s="101" t="s">
        <v>142</v>
      </c>
      <c r="B14" s="101"/>
      <c r="C14" s="101"/>
      <c r="D14" s="101"/>
      <c r="E14" s="101"/>
      <c r="F14" s="101"/>
      <c r="G14" s="101"/>
      <c r="H14" s="101"/>
      <c r="I14" s="101"/>
      <c r="J14" s="101"/>
      <c r="K14" s="103"/>
      <c r="L14" s="104"/>
      <c r="M14" s="105"/>
      <c r="N14" s="105"/>
      <c r="O14" s="105"/>
      <c r="P14" s="106"/>
      <c r="Q14" s="106"/>
      <c r="R14" s="107"/>
      <c r="S14" s="107"/>
      <c r="T14" s="44">
        <f t="shared" si="0"/>
        <v>0</v>
      </c>
      <c r="U14" s="108"/>
      <c r="V14" s="105"/>
      <c r="W14" s="105"/>
      <c r="X14" s="105"/>
      <c r="Y14" s="105"/>
      <c r="Z14" s="105"/>
      <c r="AA14" s="105"/>
      <c r="AB14" s="105"/>
      <c r="AC14" s="105"/>
      <c r="AD14" s="105"/>
      <c r="AE14" s="105"/>
      <c r="AK14" s="293"/>
    </row>
    <row r="15" spans="1:52" s="244" customFormat="1">
      <c r="A15" s="155" t="s">
        <v>61</v>
      </c>
      <c r="B15" s="156" t="s">
        <v>127</v>
      </c>
      <c r="C15" s="156" t="s">
        <v>39</v>
      </c>
      <c r="D15" s="156" t="s">
        <v>128</v>
      </c>
      <c r="E15" s="155" t="s">
        <v>63</v>
      </c>
      <c r="F15" s="48" t="s">
        <v>70</v>
      </c>
      <c r="G15" s="157" t="s">
        <v>129</v>
      </c>
      <c r="H15" s="155" t="s">
        <v>130</v>
      </c>
      <c r="I15" s="48" t="s">
        <v>131</v>
      </c>
      <c r="J15" s="156" t="s">
        <v>132</v>
      </c>
      <c r="K15" s="45">
        <f>V15*AB15</f>
        <v>888000</v>
      </c>
      <c r="L15" s="42">
        <v>4.0000000000000001E-3</v>
      </c>
      <c r="M15" s="43">
        <f>K15*L15</f>
        <v>3552</v>
      </c>
      <c r="N15" s="46">
        <v>0.35</v>
      </c>
      <c r="O15" s="43">
        <f>N15*K15</f>
        <v>310800</v>
      </c>
      <c r="P15" s="158">
        <f>S15/(K15/1000)</f>
        <v>105</v>
      </c>
      <c r="Q15" s="158">
        <f t="shared" ref="Q15:Q17" si="24">S15/M15</f>
        <v>26.25</v>
      </c>
      <c r="R15" s="803">
        <v>0.3</v>
      </c>
      <c r="S15" s="145">
        <f>O15*R15</f>
        <v>93240</v>
      </c>
      <c r="T15" s="44">
        <f t="shared" si="0"/>
        <v>8.0267477657615001E-3</v>
      </c>
      <c r="U15" s="46">
        <v>0.8</v>
      </c>
      <c r="V15" s="45">
        <f>X15*Y15</f>
        <v>592000</v>
      </c>
      <c r="W15" s="45">
        <f t="shared" ref="W15:W17" si="25">(1-U15)*V15</f>
        <v>118399.99999999997</v>
      </c>
      <c r="X15" s="45">
        <v>1480000</v>
      </c>
      <c r="Y15" s="46">
        <v>0.4</v>
      </c>
      <c r="Z15" s="51"/>
      <c r="AA15" s="46" t="e">
        <f>W15/Z15</f>
        <v>#DIV/0!</v>
      </c>
      <c r="AB15" s="47">
        <v>1.5</v>
      </c>
      <c r="AC15" s="202">
        <v>45475</v>
      </c>
      <c r="AD15" s="202">
        <f t="shared" ref="AD15:AD17" si="26">AC15+7</f>
        <v>45482</v>
      </c>
      <c r="AE15" s="374">
        <f t="shared" ref="AE15:AE17" si="27">AD15-AC15+1</f>
        <v>8</v>
      </c>
      <c r="AG15" s="795">
        <f>X15*40%</f>
        <v>592000</v>
      </c>
      <c r="AH15" s="796">
        <f>AB15</f>
        <v>1.5</v>
      </c>
      <c r="AI15" s="795">
        <f>AG15*AH15</f>
        <v>888000</v>
      </c>
      <c r="AJ15" s="795">
        <f>AI15*105/1000</f>
        <v>93240</v>
      </c>
      <c r="AK15" s="797"/>
      <c r="AL15" s="798"/>
      <c r="AM15" s="798"/>
      <c r="AN15" s="798"/>
      <c r="AO15" s="798"/>
      <c r="AP15" s="798"/>
      <c r="AQ15" s="798"/>
      <c r="AR15" s="798"/>
      <c r="AS15" s="798"/>
      <c r="AT15" s="798"/>
      <c r="AU15" s="798"/>
      <c r="AW15" s="244">
        <v>2.13</v>
      </c>
    </row>
    <row r="16" spans="1:52" s="244" customFormat="1">
      <c r="A16" s="155" t="s">
        <v>61</v>
      </c>
      <c r="B16" s="156" t="s">
        <v>127</v>
      </c>
      <c r="C16" s="156" t="s">
        <v>39</v>
      </c>
      <c r="D16" s="156" t="s">
        <v>128</v>
      </c>
      <c r="E16" s="155" t="s">
        <v>63</v>
      </c>
      <c r="F16" s="48" t="s">
        <v>70</v>
      </c>
      <c r="G16" s="157" t="s">
        <v>133</v>
      </c>
      <c r="H16" s="156" t="s">
        <v>134</v>
      </c>
      <c r="I16" s="48" t="s">
        <v>118</v>
      </c>
      <c r="J16" s="156" t="s">
        <v>132</v>
      </c>
      <c r="K16" s="45">
        <f>V16*AB16</f>
        <v>1184000</v>
      </c>
      <c r="L16" s="42">
        <v>4.0000000000000001E-3</v>
      </c>
      <c r="M16" s="43">
        <f>K16*L16</f>
        <v>4736</v>
      </c>
      <c r="N16" s="46">
        <v>0.85</v>
      </c>
      <c r="O16" s="43">
        <f>K16*N16</f>
        <v>1006400</v>
      </c>
      <c r="P16" s="158">
        <f>(S16*1000)/K16</f>
        <v>60</v>
      </c>
      <c r="Q16" s="158">
        <f t="shared" si="24"/>
        <v>15</v>
      </c>
      <c r="R16" s="375">
        <v>60</v>
      </c>
      <c r="S16" s="145">
        <f>R16*K16/1000</f>
        <v>71040</v>
      </c>
      <c r="T16" s="44">
        <f t="shared" si="0"/>
        <v>6.1156173453420955E-3</v>
      </c>
      <c r="U16" s="46">
        <v>0.9</v>
      </c>
      <c r="V16" s="45">
        <f>X16*Y16</f>
        <v>592000</v>
      </c>
      <c r="W16" s="45">
        <f t="shared" si="25"/>
        <v>59199.999999999985</v>
      </c>
      <c r="X16" s="45">
        <v>1480000</v>
      </c>
      <c r="Y16" s="46">
        <v>0.4</v>
      </c>
      <c r="Z16" s="51"/>
      <c r="AA16" s="46" t="e">
        <f>W16/Z16</f>
        <v>#DIV/0!</v>
      </c>
      <c r="AB16" s="47">
        <v>2</v>
      </c>
      <c r="AC16" s="202">
        <v>45475</v>
      </c>
      <c r="AD16" s="202">
        <f t="shared" si="26"/>
        <v>45482</v>
      </c>
      <c r="AE16" s="374">
        <f t="shared" si="27"/>
        <v>8</v>
      </c>
      <c r="AG16" s="293">
        <f>X16*50%</f>
        <v>740000</v>
      </c>
      <c r="AH16" s="293">
        <v>2</v>
      </c>
      <c r="AI16" s="293">
        <f>AG16*AH16</f>
        <v>1480000</v>
      </c>
      <c r="AJ16" s="294">
        <f>AI16*60/1000</f>
        <v>88800</v>
      </c>
      <c r="AK16" s="620"/>
      <c r="AL16" s="293"/>
      <c r="AM16" s="293"/>
      <c r="AN16" s="293"/>
      <c r="AO16" s="293"/>
      <c r="AP16" s="293"/>
      <c r="AQ16" s="293"/>
      <c r="AR16" s="293"/>
      <c r="AS16" s="293"/>
      <c r="AT16" s="293"/>
      <c r="AU16" s="293"/>
      <c r="AW16" s="244">
        <v>2.13</v>
      </c>
    </row>
    <row r="17" spans="1:49" s="244" customFormat="1">
      <c r="A17" s="155" t="s">
        <v>61</v>
      </c>
      <c r="B17" s="156" t="s">
        <v>127</v>
      </c>
      <c r="C17" s="156" t="s">
        <v>39</v>
      </c>
      <c r="D17" s="156" t="s">
        <v>128</v>
      </c>
      <c r="E17" s="155" t="s">
        <v>135</v>
      </c>
      <c r="F17" s="48" t="s">
        <v>70</v>
      </c>
      <c r="G17" s="157" t="s">
        <v>136</v>
      </c>
      <c r="H17" s="155" t="s">
        <v>137</v>
      </c>
      <c r="I17" s="48" t="s">
        <v>118</v>
      </c>
      <c r="J17" s="156" t="s">
        <v>138</v>
      </c>
      <c r="K17" s="45">
        <f>V17*AB17</f>
        <v>1021915.8</v>
      </c>
      <c r="L17" s="42">
        <v>3.0000000000000001E-3</v>
      </c>
      <c r="M17" s="43">
        <f t="shared" ref="M17" si="28">K17*L17</f>
        <v>3065.7474000000002</v>
      </c>
      <c r="N17" s="46">
        <v>0.85</v>
      </c>
      <c r="O17" s="43">
        <f t="shared" ref="O17" si="29">K17*N17</f>
        <v>868628.43</v>
      </c>
      <c r="P17" s="158">
        <f t="shared" ref="P17" si="30">S17/(K17/1000)</f>
        <v>285</v>
      </c>
      <c r="Q17" s="159">
        <f t="shared" si="24"/>
        <v>95</v>
      </c>
      <c r="R17" s="375">
        <v>285</v>
      </c>
      <c r="S17" s="158">
        <f>R17*K17/1000</f>
        <v>291246.00300000003</v>
      </c>
      <c r="T17" s="44">
        <f t="shared" si="0"/>
        <v>2.5072481808957717E-2</v>
      </c>
      <c r="U17" s="46">
        <v>1</v>
      </c>
      <c r="V17" s="45">
        <f>Y17*X17</f>
        <v>681277.20000000007</v>
      </c>
      <c r="W17" s="45">
        <f t="shared" si="25"/>
        <v>0</v>
      </c>
      <c r="X17" s="43">
        <v>1703193</v>
      </c>
      <c r="Y17" s="46">
        <v>0.4</v>
      </c>
      <c r="Z17" s="51"/>
      <c r="AA17" s="44" t="e">
        <f t="shared" ref="AA17" si="31">W17/Z17</f>
        <v>#DIV/0!</v>
      </c>
      <c r="AB17" s="47">
        <v>1.5</v>
      </c>
      <c r="AC17" s="202">
        <v>45475</v>
      </c>
      <c r="AD17" s="202">
        <f t="shared" si="26"/>
        <v>45482</v>
      </c>
      <c r="AE17" s="374">
        <f t="shared" si="27"/>
        <v>8</v>
      </c>
      <c r="AG17" s="293"/>
      <c r="AH17" s="293"/>
      <c r="AI17" s="293"/>
      <c r="AJ17" s="293"/>
      <c r="AK17" s="294"/>
      <c r="AL17" s="293"/>
      <c r="AM17" s="293"/>
      <c r="AN17" s="293"/>
      <c r="AO17" s="293"/>
      <c r="AP17" s="293"/>
      <c r="AQ17" s="293"/>
      <c r="AR17" s="293"/>
      <c r="AS17" s="293"/>
      <c r="AT17" s="293"/>
      <c r="AU17" s="293"/>
      <c r="AV17" s="244" t="s">
        <v>139</v>
      </c>
      <c r="AW17" s="244">
        <v>6.2</v>
      </c>
    </row>
    <row r="18" spans="1:49">
      <c r="A18" s="101" t="s">
        <v>143</v>
      </c>
      <c r="B18" s="101"/>
      <c r="C18" s="101"/>
      <c r="D18" s="101"/>
      <c r="E18" s="101"/>
      <c r="F18" s="101"/>
      <c r="G18" s="101"/>
      <c r="H18" s="101"/>
      <c r="I18" s="101"/>
      <c r="J18" s="101"/>
      <c r="K18" s="103"/>
      <c r="L18" s="104"/>
      <c r="M18" s="105"/>
      <c r="N18" s="105"/>
      <c r="O18" s="105"/>
      <c r="P18" s="106"/>
      <c r="Q18" s="106"/>
      <c r="R18" s="107"/>
      <c r="S18" s="107"/>
      <c r="T18" s="44">
        <f t="shared" si="0"/>
        <v>0</v>
      </c>
      <c r="U18" s="108"/>
      <c r="V18" s="105"/>
      <c r="W18" s="105"/>
      <c r="X18" s="105"/>
      <c r="Y18" s="105"/>
      <c r="Z18" s="105"/>
      <c r="AA18" s="105"/>
      <c r="AB18" s="105"/>
      <c r="AC18" s="105"/>
      <c r="AD18" s="105"/>
      <c r="AE18" s="105"/>
      <c r="AK18" s="293"/>
    </row>
    <row r="19" spans="1:49" s="244" customFormat="1">
      <c r="A19" s="155" t="s">
        <v>61</v>
      </c>
      <c r="B19" s="156" t="s">
        <v>127</v>
      </c>
      <c r="C19" s="156" t="s">
        <v>40</v>
      </c>
      <c r="D19" s="156" t="s">
        <v>128</v>
      </c>
      <c r="E19" s="155" t="s">
        <v>63</v>
      </c>
      <c r="F19" s="48" t="s">
        <v>70</v>
      </c>
      <c r="G19" s="157" t="s">
        <v>129</v>
      </c>
      <c r="H19" s="155" t="s">
        <v>130</v>
      </c>
      <c r="I19" s="48" t="s">
        <v>131</v>
      </c>
      <c r="J19" s="156" t="s">
        <v>132</v>
      </c>
      <c r="K19" s="45">
        <f>V19*AB19</f>
        <v>1866000</v>
      </c>
      <c r="L19" s="42">
        <v>4.0000000000000001E-3</v>
      </c>
      <c r="M19" s="43">
        <f>K19*L19</f>
        <v>7464</v>
      </c>
      <c r="N19" s="46">
        <v>0.35</v>
      </c>
      <c r="O19" s="43">
        <f>N19*K19</f>
        <v>653100</v>
      </c>
      <c r="P19" s="158">
        <f>S19/(K19/1000)</f>
        <v>105</v>
      </c>
      <c r="Q19" s="158">
        <f t="shared" ref="Q19:Q21" si="32">S19/M19</f>
        <v>26.25</v>
      </c>
      <c r="R19" s="803">
        <v>0.3</v>
      </c>
      <c r="S19" s="145">
        <f>O19*R19</f>
        <v>195930</v>
      </c>
      <c r="T19" s="44">
        <f t="shared" si="0"/>
        <v>1.6867017264539368E-2</v>
      </c>
      <c r="U19" s="46">
        <v>0.8</v>
      </c>
      <c r="V19" s="45">
        <f>X19*Y19</f>
        <v>1244000</v>
      </c>
      <c r="W19" s="45">
        <f>(1-U19)*V19</f>
        <v>248799.99999999994</v>
      </c>
      <c r="X19" s="235">
        <v>3110000</v>
      </c>
      <c r="Y19" s="46">
        <v>0.4</v>
      </c>
      <c r="Z19" s="51"/>
      <c r="AA19" s="46" t="e">
        <f>W19/Z19</f>
        <v>#DIV/0!</v>
      </c>
      <c r="AB19" s="47">
        <v>1.5</v>
      </c>
      <c r="AC19" s="202">
        <v>45475</v>
      </c>
      <c r="AD19" s="202">
        <f t="shared" ref="AD19:AD21" si="33">AC19+7</f>
        <v>45482</v>
      </c>
      <c r="AE19" s="374">
        <f t="shared" ref="AE19:AE21" si="34">AD19-AC19+1</f>
        <v>8</v>
      </c>
      <c r="AG19" s="795">
        <f>X19*40%</f>
        <v>1244000</v>
      </c>
      <c r="AH19" s="796">
        <f>AB19</f>
        <v>1.5</v>
      </c>
      <c r="AI19" s="795">
        <f>AG19*AH19</f>
        <v>1866000</v>
      </c>
      <c r="AJ19" s="795">
        <f>AI19*105/1000</f>
        <v>195930</v>
      </c>
      <c r="AK19" s="797"/>
      <c r="AL19" s="798"/>
      <c r="AM19" s="798"/>
      <c r="AN19" s="798"/>
      <c r="AO19" s="798"/>
      <c r="AP19" s="798"/>
      <c r="AQ19" s="798"/>
      <c r="AR19" s="798"/>
      <c r="AS19" s="798"/>
      <c r="AT19" s="798"/>
      <c r="AU19" s="798"/>
      <c r="AW19" s="244">
        <v>2.13</v>
      </c>
    </row>
    <row r="20" spans="1:49" s="244" customFormat="1">
      <c r="A20" s="155" t="s">
        <v>61</v>
      </c>
      <c r="B20" s="156" t="s">
        <v>127</v>
      </c>
      <c r="C20" s="156" t="s">
        <v>40</v>
      </c>
      <c r="D20" s="156" t="s">
        <v>128</v>
      </c>
      <c r="E20" s="155" t="s">
        <v>63</v>
      </c>
      <c r="F20" s="48" t="s">
        <v>70</v>
      </c>
      <c r="G20" s="157" t="s">
        <v>133</v>
      </c>
      <c r="H20" s="156" t="s">
        <v>134</v>
      </c>
      <c r="I20" s="48" t="s">
        <v>118</v>
      </c>
      <c r="J20" s="156" t="s">
        <v>132</v>
      </c>
      <c r="K20" s="45">
        <f>V20*AB20</f>
        <v>2488000</v>
      </c>
      <c r="L20" s="42">
        <v>4.0000000000000001E-3</v>
      </c>
      <c r="M20" s="43">
        <f>K20*L20</f>
        <v>9952</v>
      </c>
      <c r="N20" s="46">
        <v>0.85</v>
      </c>
      <c r="O20" s="43">
        <f>K20*N20</f>
        <v>2114800</v>
      </c>
      <c r="P20" s="158">
        <f>(S20*1000)/K20</f>
        <v>60</v>
      </c>
      <c r="Q20" s="158">
        <f t="shared" si="32"/>
        <v>15</v>
      </c>
      <c r="R20" s="375">
        <v>60</v>
      </c>
      <c r="S20" s="145">
        <f>R20*K20/1000</f>
        <v>149280</v>
      </c>
      <c r="T20" s="44">
        <f t="shared" si="0"/>
        <v>1.2851060772982377E-2</v>
      </c>
      <c r="U20" s="46">
        <v>0.9</v>
      </c>
      <c r="V20" s="45">
        <f>X20*Y20</f>
        <v>1244000</v>
      </c>
      <c r="W20" s="45">
        <f t="shared" ref="W20:W21" si="35">(1-U20)*V20</f>
        <v>124399.99999999997</v>
      </c>
      <c r="X20" s="235">
        <v>3110000</v>
      </c>
      <c r="Y20" s="46">
        <v>0.4</v>
      </c>
      <c r="Z20" s="51"/>
      <c r="AA20" s="46" t="e">
        <f>W20/Z20</f>
        <v>#DIV/0!</v>
      </c>
      <c r="AB20" s="47">
        <v>2</v>
      </c>
      <c r="AC20" s="202">
        <v>45475</v>
      </c>
      <c r="AD20" s="202">
        <f t="shared" si="33"/>
        <v>45482</v>
      </c>
      <c r="AE20" s="374">
        <f t="shared" si="34"/>
        <v>8</v>
      </c>
      <c r="AG20" s="293">
        <f>X20*50%</f>
        <v>1555000</v>
      </c>
      <c r="AH20" s="293">
        <v>2</v>
      </c>
      <c r="AI20" s="293">
        <f>AG20*AH20</f>
        <v>3110000</v>
      </c>
      <c r="AJ20" s="294">
        <f>AI20*60/1000</f>
        <v>186600</v>
      </c>
      <c r="AK20" s="620"/>
      <c r="AL20" s="293"/>
      <c r="AM20" s="293"/>
      <c r="AN20" s="293"/>
      <c r="AO20" s="293"/>
      <c r="AP20" s="293"/>
      <c r="AQ20" s="293"/>
      <c r="AR20" s="293"/>
      <c r="AS20" s="293"/>
      <c r="AT20" s="293"/>
      <c r="AU20" s="293"/>
      <c r="AW20" s="244">
        <v>2.13</v>
      </c>
    </row>
    <row r="21" spans="1:49" s="244" customFormat="1">
      <c r="A21" s="155" t="s">
        <v>61</v>
      </c>
      <c r="B21" s="156" t="s">
        <v>127</v>
      </c>
      <c r="C21" s="156" t="s">
        <v>40</v>
      </c>
      <c r="D21" s="156" t="s">
        <v>128</v>
      </c>
      <c r="E21" s="155" t="s">
        <v>135</v>
      </c>
      <c r="F21" s="48" t="s">
        <v>70</v>
      </c>
      <c r="G21" s="157" t="s">
        <v>136</v>
      </c>
      <c r="H21" s="155" t="s">
        <v>137</v>
      </c>
      <c r="I21" s="48" t="s">
        <v>118</v>
      </c>
      <c r="J21" s="156" t="s">
        <v>138</v>
      </c>
      <c r="K21" s="45">
        <f>V21*AB21</f>
        <v>1830634.7999999998</v>
      </c>
      <c r="L21" s="42">
        <v>3.0000000000000001E-3</v>
      </c>
      <c r="M21" s="43">
        <f t="shared" ref="M21" si="36">K21*L21</f>
        <v>5491.9043999999994</v>
      </c>
      <c r="N21" s="46">
        <v>0.85</v>
      </c>
      <c r="O21" s="43">
        <f t="shared" ref="O21" si="37">K21*N21</f>
        <v>1556039.5799999998</v>
      </c>
      <c r="P21" s="158">
        <f t="shared" ref="P21" si="38">S21/(K21/1000)</f>
        <v>285</v>
      </c>
      <c r="Q21" s="159">
        <f t="shared" si="32"/>
        <v>95</v>
      </c>
      <c r="R21" s="375">
        <v>285</v>
      </c>
      <c r="S21" s="158">
        <f>R21*K21/1000</f>
        <v>521730.91799999995</v>
      </c>
      <c r="T21" s="44">
        <f t="shared" si="0"/>
        <v>4.4914226516357743E-2</v>
      </c>
      <c r="U21" s="46">
        <v>1</v>
      </c>
      <c r="V21" s="45">
        <f>Y21*X21</f>
        <v>1220423.2</v>
      </c>
      <c r="W21" s="45">
        <f t="shared" si="35"/>
        <v>0</v>
      </c>
      <c r="X21" s="43">
        <v>3051058</v>
      </c>
      <c r="Y21" s="46">
        <v>0.4</v>
      </c>
      <c r="Z21" s="51"/>
      <c r="AA21" s="44" t="e">
        <f t="shared" ref="AA21" si="39">W21/Z21</f>
        <v>#DIV/0!</v>
      </c>
      <c r="AB21" s="47">
        <v>1.5</v>
      </c>
      <c r="AC21" s="202">
        <v>45475</v>
      </c>
      <c r="AD21" s="202">
        <f t="shared" si="33"/>
        <v>45482</v>
      </c>
      <c r="AE21" s="374">
        <f t="shared" si="34"/>
        <v>8</v>
      </c>
      <c r="AG21" s="293"/>
      <c r="AH21" s="293"/>
      <c r="AI21" s="293"/>
      <c r="AJ21" s="293"/>
      <c r="AK21" s="294"/>
      <c r="AL21" s="293"/>
      <c r="AM21" s="293"/>
      <c r="AN21" s="293"/>
      <c r="AO21" s="293"/>
      <c r="AP21" s="293"/>
      <c r="AQ21" s="293"/>
      <c r="AR21" s="293"/>
      <c r="AS21" s="293"/>
      <c r="AT21" s="293"/>
      <c r="AU21" s="293"/>
      <c r="AV21" s="244" t="s">
        <v>139</v>
      </c>
      <c r="AW21" s="244">
        <v>6.2</v>
      </c>
    </row>
    <row r="22" spans="1:49">
      <c r="A22" s="101" t="s">
        <v>144</v>
      </c>
      <c r="B22" s="101"/>
      <c r="C22" s="101"/>
      <c r="D22" s="101"/>
      <c r="E22" s="101"/>
      <c r="F22" s="101"/>
      <c r="G22" s="101"/>
      <c r="H22" s="101"/>
      <c r="I22" s="101"/>
      <c r="J22" s="101"/>
      <c r="K22" s="103"/>
      <c r="L22" s="104"/>
      <c r="M22" s="105"/>
      <c r="N22" s="105"/>
      <c r="O22" s="105"/>
      <c r="P22" s="106"/>
      <c r="Q22" s="106"/>
      <c r="R22" s="107"/>
      <c r="S22" s="107"/>
      <c r="T22" s="44">
        <f t="shared" si="0"/>
        <v>0</v>
      </c>
      <c r="U22" s="108"/>
      <c r="V22" s="105"/>
      <c r="W22" s="105"/>
      <c r="X22" s="105"/>
      <c r="Y22" s="105"/>
      <c r="Z22" s="105"/>
      <c r="AA22" s="105"/>
      <c r="AB22" s="105"/>
      <c r="AC22" s="105"/>
      <c r="AD22" s="105"/>
      <c r="AE22" s="105"/>
      <c r="AK22" s="293"/>
    </row>
    <row r="23" spans="1:49" s="244" customFormat="1">
      <c r="A23" s="155" t="s">
        <v>61</v>
      </c>
      <c r="B23" s="156" t="s">
        <v>127</v>
      </c>
      <c r="C23" s="156" t="s">
        <v>38</v>
      </c>
      <c r="D23" s="156" t="s">
        <v>128</v>
      </c>
      <c r="E23" s="155" t="s">
        <v>63</v>
      </c>
      <c r="F23" s="48" t="s">
        <v>70</v>
      </c>
      <c r="G23" s="157" t="s">
        <v>129</v>
      </c>
      <c r="H23" s="155" t="s">
        <v>130</v>
      </c>
      <c r="I23" s="48" t="s">
        <v>131</v>
      </c>
      <c r="J23" s="156" t="s">
        <v>132</v>
      </c>
      <c r="K23" s="45">
        <f>V23*AB23</f>
        <v>756000</v>
      </c>
      <c r="L23" s="42">
        <v>4.0000000000000001E-3</v>
      </c>
      <c r="M23" s="43">
        <f>K23*L23</f>
        <v>3024</v>
      </c>
      <c r="N23" s="46">
        <v>0.35</v>
      </c>
      <c r="O23" s="43">
        <f>N23*K23</f>
        <v>264600</v>
      </c>
      <c r="P23" s="158">
        <f>S23/(K23/1000)</f>
        <v>105</v>
      </c>
      <c r="Q23" s="159">
        <f t="shared" ref="Q23:Q25" si="40">S23/M23</f>
        <v>26.25</v>
      </c>
      <c r="R23" s="803">
        <v>0.3</v>
      </c>
      <c r="S23" s="145">
        <f>O23*R23</f>
        <v>79380</v>
      </c>
      <c r="T23" s="44">
        <f t="shared" si="0"/>
        <v>6.8335825573374934E-3</v>
      </c>
      <c r="U23" s="46">
        <v>0.8</v>
      </c>
      <c r="V23" s="45">
        <f>X23*Y23</f>
        <v>504000</v>
      </c>
      <c r="W23" s="45">
        <f t="shared" ref="W23:W25" si="41">(1-U23)*V23</f>
        <v>100799.99999999997</v>
      </c>
      <c r="X23" s="235">
        <v>1260000</v>
      </c>
      <c r="Y23" s="46">
        <v>0.4</v>
      </c>
      <c r="Z23" s="51"/>
      <c r="AA23" s="46" t="e">
        <f>W23/Z23</f>
        <v>#DIV/0!</v>
      </c>
      <c r="AB23" s="47">
        <v>1.5</v>
      </c>
      <c r="AC23" s="202">
        <v>45475</v>
      </c>
      <c r="AD23" s="202">
        <f t="shared" ref="AD23:AD25" si="42">AC23+7</f>
        <v>45482</v>
      </c>
      <c r="AE23" s="374">
        <f t="shared" ref="AE23:AE25" si="43">AD23-AC23+1</f>
        <v>8</v>
      </c>
      <c r="AG23" s="795">
        <f>X23*40%</f>
        <v>504000</v>
      </c>
      <c r="AH23" s="796">
        <f>AB23</f>
        <v>1.5</v>
      </c>
      <c r="AI23" s="795">
        <f>AG23*AH23</f>
        <v>756000</v>
      </c>
      <c r="AJ23" s="795">
        <f>AI23*105/1000</f>
        <v>79380</v>
      </c>
      <c r="AK23" s="797"/>
      <c r="AL23" s="798"/>
      <c r="AM23" s="798"/>
      <c r="AN23" s="798"/>
      <c r="AO23" s="798"/>
      <c r="AP23" s="798"/>
      <c r="AQ23" s="798"/>
      <c r="AR23" s="798"/>
      <c r="AS23" s="798"/>
      <c r="AT23" s="798"/>
      <c r="AU23" s="798"/>
      <c r="AW23" s="244">
        <v>2.13</v>
      </c>
    </row>
    <row r="24" spans="1:49" s="244" customFormat="1">
      <c r="A24" s="155" t="s">
        <v>61</v>
      </c>
      <c r="B24" s="156" t="s">
        <v>127</v>
      </c>
      <c r="C24" s="156" t="s">
        <v>38</v>
      </c>
      <c r="D24" s="156" t="s">
        <v>128</v>
      </c>
      <c r="E24" s="155" t="s">
        <v>63</v>
      </c>
      <c r="F24" s="48" t="s">
        <v>70</v>
      </c>
      <c r="G24" s="157" t="s">
        <v>133</v>
      </c>
      <c r="H24" s="156" t="s">
        <v>134</v>
      </c>
      <c r="I24" s="48" t="s">
        <v>118</v>
      </c>
      <c r="J24" s="156" t="s">
        <v>132</v>
      </c>
      <c r="K24" s="45">
        <f>V24*AB24</f>
        <v>1008000</v>
      </c>
      <c r="L24" s="42">
        <v>4.0000000000000001E-3</v>
      </c>
      <c r="M24" s="43">
        <f>K24*L24</f>
        <v>4032</v>
      </c>
      <c r="N24" s="46">
        <v>0.85</v>
      </c>
      <c r="O24" s="43">
        <f>K24*N24</f>
        <v>856800</v>
      </c>
      <c r="P24" s="158">
        <f>(S24*1000)/K24</f>
        <v>60</v>
      </c>
      <c r="Q24" s="158">
        <f t="shared" si="40"/>
        <v>15</v>
      </c>
      <c r="R24" s="375">
        <v>60</v>
      </c>
      <c r="S24" s="145">
        <f>R24*K24/1000</f>
        <v>60480</v>
      </c>
      <c r="T24" s="44">
        <f t="shared" si="0"/>
        <v>5.2065390913047568E-3</v>
      </c>
      <c r="U24" s="46">
        <v>0.9</v>
      </c>
      <c r="V24" s="45">
        <f>X24*Y24</f>
        <v>504000</v>
      </c>
      <c r="W24" s="45">
        <f t="shared" si="41"/>
        <v>50399.999999999985</v>
      </c>
      <c r="X24" s="235">
        <v>1260000</v>
      </c>
      <c r="Y24" s="46">
        <v>0.4</v>
      </c>
      <c r="Z24" s="51"/>
      <c r="AA24" s="46" t="e">
        <f>W24/Z24</f>
        <v>#DIV/0!</v>
      </c>
      <c r="AB24" s="47">
        <v>2</v>
      </c>
      <c r="AC24" s="202">
        <v>45475</v>
      </c>
      <c r="AD24" s="202">
        <f t="shared" si="42"/>
        <v>45482</v>
      </c>
      <c r="AE24" s="374">
        <f t="shared" si="43"/>
        <v>8</v>
      </c>
      <c r="AG24" s="293">
        <f>X24*50%</f>
        <v>630000</v>
      </c>
      <c r="AH24" s="293">
        <v>2</v>
      </c>
      <c r="AI24" s="293">
        <f>AG24*AH24</f>
        <v>1260000</v>
      </c>
      <c r="AJ24" s="294">
        <f>AI24*60/1000</f>
        <v>75600</v>
      </c>
      <c r="AK24" s="620"/>
      <c r="AL24" s="293"/>
      <c r="AM24" s="293"/>
      <c r="AN24" s="293"/>
      <c r="AO24" s="293"/>
      <c r="AP24" s="293"/>
      <c r="AQ24" s="293"/>
      <c r="AR24" s="293"/>
      <c r="AS24" s="293"/>
      <c r="AT24" s="293"/>
      <c r="AU24" s="293"/>
      <c r="AW24" s="244">
        <v>2.13</v>
      </c>
    </row>
    <row r="25" spans="1:49" s="244" customFormat="1">
      <c r="A25" s="155" t="s">
        <v>61</v>
      </c>
      <c r="B25" s="156" t="s">
        <v>127</v>
      </c>
      <c r="C25" s="156" t="s">
        <v>38</v>
      </c>
      <c r="D25" s="156" t="s">
        <v>128</v>
      </c>
      <c r="E25" s="155" t="s">
        <v>135</v>
      </c>
      <c r="F25" s="48" t="s">
        <v>70</v>
      </c>
      <c r="G25" s="157" t="s">
        <v>136</v>
      </c>
      <c r="H25" s="155" t="s">
        <v>137</v>
      </c>
      <c r="I25" s="48" t="s">
        <v>118</v>
      </c>
      <c r="J25" s="156" t="s">
        <v>138</v>
      </c>
      <c r="K25" s="45">
        <f>V25*AB25</f>
        <v>916590.60000000009</v>
      </c>
      <c r="L25" s="42">
        <v>3.0000000000000001E-3</v>
      </c>
      <c r="M25" s="43">
        <f t="shared" ref="M25" si="44">K25*L25</f>
        <v>2749.7718000000004</v>
      </c>
      <c r="N25" s="46">
        <v>0.85</v>
      </c>
      <c r="O25" s="43">
        <f t="shared" ref="O25" si="45">K25*N25</f>
        <v>779102.01</v>
      </c>
      <c r="P25" s="158">
        <f t="shared" ref="P25" si="46">S25/(K25/1000)</f>
        <v>285</v>
      </c>
      <c r="Q25" s="159">
        <f t="shared" si="40"/>
        <v>95</v>
      </c>
      <c r="R25" s="375">
        <v>285</v>
      </c>
      <c r="S25" s="158">
        <f>R25*K25/1000</f>
        <v>261228.32100000003</v>
      </c>
      <c r="T25" s="44">
        <f t="shared" si="0"/>
        <v>2.2488350943161501E-2</v>
      </c>
      <c r="U25" s="46">
        <v>1</v>
      </c>
      <c r="V25" s="45">
        <f>Y25*X25</f>
        <v>611060.4</v>
      </c>
      <c r="W25" s="45">
        <f t="shared" si="41"/>
        <v>0</v>
      </c>
      <c r="X25" s="43">
        <v>1527651</v>
      </c>
      <c r="Y25" s="46">
        <v>0.4</v>
      </c>
      <c r="Z25" s="51"/>
      <c r="AA25" s="44" t="e">
        <f t="shared" ref="AA25" si="47">W25/Z25</f>
        <v>#DIV/0!</v>
      </c>
      <c r="AB25" s="47">
        <v>1.5</v>
      </c>
      <c r="AC25" s="202">
        <v>45475</v>
      </c>
      <c r="AD25" s="202">
        <f t="shared" si="42"/>
        <v>45482</v>
      </c>
      <c r="AE25" s="374">
        <f t="shared" si="43"/>
        <v>8</v>
      </c>
      <c r="AG25" s="293"/>
      <c r="AH25" s="293"/>
      <c r="AI25" s="293"/>
      <c r="AJ25" s="293"/>
      <c r="AK25" s="294"/>
      <c r="AL25" s="293"/>
      <c r="AM25" s="293"/>
      <c r="AN25" s="293"/>
      <c r="AO25" s="293"/>
      <c r="AP25" s="293"/>
      <c r="AQ25" s="293"/>
      <c r="AR25" s="293"/>
      <c r="AS25" s="293"/>
      <c r="AT25" s="293"/>
      <c r="AU25" s="293"/>
      <c r="AV25" s="244" t="s">
        <v>139</v>
      </c>
      <c r="AW25" s="244">
        <v>6.2</v>
      </c>
    </row>
    <row r="26" spans="1:49">
      <c r="A26" s="101" t="s">
        <v>145</v>
      </c>
      <c r="B26" s="101"/>
      <c r="C26" s="101"/>
      <c r="D26" s="101"/>
      <c r="E26" s="101"/>
      <c r="F26" s="101"/>
      <c r="G26" s="101"/>
      <c r="H26" s="101"/>
      <c r="I26" s="101"/>
      <c r="J26" s="101"/>
      <c r="K26" s="103"/>
      <c r="L26" s="104"/>
      <c r="M26" s="105"/>
      <c r="N26" s="105"/>
      <c r="O26" s="105"/>
      <c r="P26" s="106"/>
      <c r="Q26" s="106"/>
      <c r="R26" s="107"/>
      <c r="S26" s="107"/>
      <c r="T26" s="44">
        <f t="shared" si="0"/>
        <v>0</v>
      </c>
      <c r="U26" s="108"/>
      <c r="V26" s="105"/>
      <c r="W26" s="105"/>
      <c r="X26" s="105"/>
      <c r="Y26" s="105"/>
      <c r="Z26" s="105"/>
      <c r="AA26" s="105"/>
      <c r="AB26" s="105"/>
      <c r="AC26" s="105"/>
      <c r="AD26" s="105"/>
      <c r="AE26" s="105"/>
      <c r="AK26" s="293"/>
    </row>
    <row r="27" spans="1:49" s="244" customFormat="1">
      <c r="A27" s="155" t="s">
        <v>61</v>
      </c>
      <c r="B27" s="156" t="s">
        <v>127</v>
      </c>
      <c r="C27" s="156" t="s">
        <v>41</v>
      </c>
      <c r="D27" s="156" t="s">
        <v>128</v>
      </c>
      <c r="E27" s="155" t="s">
        <v>63</v>
      </c>
      <c r="F27" s="48" t="s">
        <v>70</v>
      </c>
      <c r="G27" s="157" t="s">
        <v>129</v>
      </c>
      <c r="H27" s="155" t="s">
        <v>130</v>
      </c>
      <c r="I27" s="48" t="s">
        <v>131</v>
      </c>
      <c r="J27" s="156" t="s">
        <v>132</v>
      </c>
      <c r="K27" s="45">
        <f>V27*AB27</f>
        <v>1140000</v>
      </c>
      <c r="L27" s="42">
        <v>4.0000000000000001E-3</v>
      </c>
      <c r="M27" s="43">
        <f>K27*L27</f>
        <v>4560</v>
      </c>
      <c r="N27" s="46">
        <v>0.35</v>
      </c>
      <c r="O27" s="43">
        <f>N27*K27</f>
        <v>399000</v>
      </c>
      <c r="P27" s="158">
        <f>S27/(K27/1000)</f>
        <v>105</v>
      </c>
      <c r="Q27" s="158">
        <f t="shared" ref="Q27:Q29" si="48">S27/M27</f>
        <v>26.25</v>
      </c>
      <c r="R27" s="803">
        <v>0.3</v>
      </c>
      <c r="S27" s="145">
        <f>O27*R27</f>
        <v>119700</v>
      </c>
      <c r="T27" s="44">
        <f t="shared" si="0"/>
        <v>1.0304608618207331E-2</v>
      </c>
      <c r="U27" s="46">
        <v>0.8</v>
      </c>
      <c r="V27" s="45">
        <f>X27*Y27</f>
        <v>760000</v>
      </c>
      <c r="W27" s="45">
        <f t="shared" ref="W27:W29" si="49">(1-U27)*V27</f>
        <v>151999.99999999997</v>
      </c>
      <c r="X27" s="235">
        <v>1900000</v>
      </c>
      <c r="Y27" s="46">
        <v>0.4</v>
      </c>
      <c r="Z27" s="51"/>
      <c r="AA27" s="46" t="e">
        <f>W27/Z27</f>
        <v>#DIV/0!</v>
      </c>
      <c r="AB27" s="47">
        <v>1.5</v>
      </c>
      <c r="AC27" s="202">
        <v>45475</v>
      </c>
      <c r="AD27" s="202">
        <f t="shared" ref="AD27:AD29" si="50">AC27+7</f>
        <v>45482</v>
      </c>
      <c r="AE27" s="374">
        <f t="shared" ref="AE27:AE29" si="51">AD27-AC27+1</f>
        <v>8</v>
      </c>
      <c r="AG27" s="795">
        <f>X27*40%</f>
        <v>760000</v>
      </c>
      <c r="AH27" s="796">
        <f>AB27</f>
        <v>1.5</v>
      </c>
      <c r="AI27" s="795">
        <f>AG27*AH27</f>
        <v>1140000</v>
      </c>
      <c r="AJ27" s="795">
        <f>AI27*105/1000</f>
        <v>119700</v>
      </c>
      <c r="AK27" s="797"/>
      <c r="AL27" s="798"/>
      <c r="AM27" s="798"/>
      <c r="AN27" s="798"/>
      <c r="AO27" s="798"/>
      <c r="AP27" s="798"/>
      <c r="AQ27" s="798"/>
      <c r="AR27" s="798"/>
      <c r="AS27" s="798"/>
      <c r="AT27" s="798"/>
      <c r="AU27" s="798"/>
      <c r="AW27" s="244">
        <v>2.13</v>
      </c>
    </row>
    <row r="28" spans="1:49" s="244" customFormat="1">
      <c r="A28" s="155" t="s">
        <v>61</v>
      </c>
      <c r="B28" s="156" t="s">
        <v>127</v>
      </c>
      <c r="C28" s="156" t="s">
        <v>41</v>
      </c>
      <c r="D28" s="156" t="s">
        <v>128</v>
      </c>
      <c r="E28" s="155" t="s">
        <v>63</v>
      </c>
      <c r="F28" s="48" t="s">
        <v>70</v>
      </c>
      <c r="G28" s="157" t="s">
        <v>133</v>
      </c>
      <c r="H28" s="156" t="s">
        <v>134</v>
      </c>
      <c r="I28" s="48" t="s">
        <v>118</v>
      </c>
      <c r="J28" s="156" t="s">
        <v>132</v>
      </c>
      <c r="K28" s="45">
        <f>V28*AB28</f>
        <v>1520000</v>
      </c>
      <c r="L28" s="42">
        <v>4.0000000000000001E-3</v>
      </c>
      <c r="M28" s="43">
        <f>K28*L28</f>
        <v>6080</v>
      </c>
      <c r="N28" s="46">
        <v>0.85</v>
      </c>
      <c r="O28" s="43">
        <f>K28*N28</f>
        <v>1292000</v>
      </c>
      <c r="P28" s="158">
        <f>(S28*1000)/K28</f>
        <v>60</v>
      </c>
      <c r="Q28" s="158">
        <f t="shared" si="48"/>
        <v>15</v>
      </c>
      <c r="R28" s="375">
        <v>60</v>
      </c>
      <c r="S28" s="145">
        <f>R28*K28/1000</f>
        <v>91200</v>
      </c>
      <c r="T28" s="44">
        <f t="shared" si="0"/>
        <v>7.851130375777015E-3</v>
      </c>
      <c r="U28" s="46">
        <v>0.9</v>
      </c>
      <c r="V28" s="45">
        <f>X28*Y28</f>
        <v>760000</v>
      </c>
      <c r="W28" s="45">
        <f t="shared" si="49"/>
        <v>75999.999999999985</v>
      </c>
      <c r="X28" s="235">
        <v>1900000</v>
      </c>
      <c r="Y28" s="46">
        <v>0.4</v>
      </c>
      <c r="Z28" s="51"/>
      <c r="AA28" s="46" t="e">
        <f>W28/Z28</f>
        <v>#DIV/0!</v>
      </c>
      <c r="AB28" s="47">
        <v>2</v>
      </c>
      <c r="AC28" s="202">
        <v>45475</v>
      </c>
      <c r="AD28" s="202">
        <f t="shared" si="50"/>
        <v>45482</v>
      </c>
      <c r="AE28" s="374">
        <f t="shared" si="51"/>
        <v>8</v>
      </c>
      <c r="AG28" s="293">
        <f>X28*50%</f>
        <v>950000</v>
      </c>
      <c r="AH28" s="293">
        <v>2</v>
      </c>
      <c r="AI28" s="293">
        <f>AG28*AH28</f>
        <v>1900000</v>
      </c>
      <c r="AJ28" s="294">
        <f>AI28*60/1000</f>
        <v>114000</v>
      </c>
      <c r="AK28" s="620"/>
      <c r="AL28" s="293"/>
      <c r="AM28" s="293"/>
      <c r="AN28" s="293"/>
      <c r="AO28" s="293"/>
      <c r="AP28" s="293"/>
      <c r="AQ28" s="293"/>
      <c r="AR28" s="293"/>
      <c r="AS28" s="293"/>
      <c r="AT28" s="293"/>
      <c r="AU28" s="293"/>
      <c r="AW28" s="244">
        <v>2.13</v>
      </c>
    </row>
    <row r="29" spans="1:49" s="244" customFormat="1">
      <c r="A29" s="155" t="s">
        <v>61</v>
      </c>
      <c r="B29" s="156" t="s">
        <v>127</v>
      </c>
      <c r="C29" s="156" t="s">
        <v>41</v>
      </c>
      <c r="D29" s="156" t="s">
        <v>128</v>
      </c>
      <c r="E29" s="155" t="s">
        <v>135</v>
      </c>
      <c r="F29" s="48" t="s">
        <v>70</v>
      </c>
      <c r="G29" s="157" t="s">
        <v>136</v>
      </c>
      <c r="H29" s="155" t="s">
        <v>137</v>
      </c>
      <c r="I29" s="48" t="s">
        <v>118</v>
      </c>
      <c r="J29" s="156" t="s">
        <v>138</v>
      </c>
      <c r="K29" s="45">
        <f>V29*AB29</f>
        <v>638225.4</v>
      </c>
      <c r="L29" s="42">
        <v>3.0000000000000001E-3</v>
      </c>
      <c r="M29" s="43">
        <f t="shared" ref="M29" si="52">K29*L29</f>
        <v>1914.6762000000001</v>
      </c>
      <c r="N29" s="46">
        <v>0.85</v>
      </c>
      <c r="O29" s="43">
        <f t="shared" ref="O29" si="53">K29*N29</f>
        <v>542491.59</v>
      </c>
      <c r="P29" s="158">
        <f t="shared" ref="P29" si="54">S29/(K29/1000)</f>
        <v>285</v>
      </c>
      <c r="Q29" s="159">
        <f t="shared" si="48"/>
        <v>95</v>
      </c>
      <c r="R29" s="375">
        <v>285</v>
      </c>
      <c r="S29" s="158">
        <f>R29*K29/1000</f>
        <v>181894.239</v>
      </c>
      <c r="T29" s="44">
        <f t="shared" si="0"/>
        <v>1.565872132666386E-2</v>
      </c>
      <c r="U29" s="46">
        <v>1</v>
      </c>
      <c r="V29" s="45">
        <f>Y29*X29</f>
        <v>425483.60000000003</v>
      </c>
      <c r="W29" s="45">
        <f t="shared" si="49"/>
        <v>0</v>
      </c>
      <c r="X29" s="43">
        <v>1063709</v>
      </c>
      <c r="Y29" s="46">
        <v>0.4</v>
      </c>
      <c r="Z29" s="51"/>
      <c r="AA29" s="44" t="e">
        <f t="shared" ref="AA29" si="55">W29/Z29</f>
        <v>#DIV/0!</v>
      </c>
      <c r="AB29" s="47">
        <v>1.5</v>
      </c>
      <c r="AC29" s="202">
        <v>45475</v>
      </c>
      <c r="AD29" s="202">
        <f t="shared" si="50"/>
        <v>45482</v>
      </c>
      <c r="AE29" s="374">
        <f t="shared" si="51"/>
        <v>8</v>
      </c>
      <c r="AG29" s="293"/>
      <c r="AH29" s="293"/>
      <c r="AI29" s="294"/>
      <c r="AJ29" s="293"/>
      <c r="AK29" s="620"/>
      <c r="AL29" s="293"/>
      <c r="AM29" s="293"/>
      <c r="AN29" s="293"/>
      <c r="AO29" s="293"/>
      <c r="AP29" s="293"/>
      <c r="AQ29" s="293"/>
      <c r="AR29" s="293"/>
      <c r="AS29" s="293"/>
      <c r="AT29" s="293"/>
      <c r="AU29" s="293"/>
      <c r="AV29" s="244" t="s">
        <v>139</v>
      </c>
      <c r="AW29" s="244">
        <v>6.2</v>
      </c>
    </row>
    <row r="30" spans="1:49">
      <c r="A30" s="101" t="s">
        <v>146</v>
      </c>
      <c r="B30" s="101"/>
      <c r="C30" s="101"/>
      <c r="D30" s="101"/>
      <c r="E30" s="101"/>
      <c r="F30" s="101"/>
      <c r="G30" s="101"/>
      <c r="H30" s="101"/>
      <c r="I30" s="101"/>
      <c r="J30" s="101"/>
      <c r="K30" s="103"/>
      <c r="L30" s="104"/>
      <c r="M30" s="105"/>
      <c r="N30" s="105"/>
      <c r="O30" s="105"/>
      <c r="P30" s="106"/>
      <c r="Q30" s="106"/>
      <c r="R30" s="107"/>
      <c r="S30" s="107"/>
      <c r="T30" s="44">
        <f t="shared" si="0"/>
        <v>0</v>
      </c>
      <c r="U30" s="108"/>
      <c r="V30" s="105"/>
      <c r="W30" s="105"/>
      <c r="X30" s="105"/>
      <c r="Y30" s="105"/>
      <c r="Z30" s="105"/>
      <c r="AA30" s="105"/>
      <c r="AB30" s="105"/>
      <c r="AC30" s="105"/>
      <c r="AD30" s="105"/>
      <c r="AE30" s="105"/>
      <c r="AK30" s="293"/>
    </row>
    <row r="31" spans="1:49" s="244" customFormat="1">
      <c r="A31" s="155" t="s">
        <v>61</v>
      </c>
      <c r="B31" s="156" t="s">
        <v>127</v>
      </c>
      <c r="C31" s="156" t="s">
        <v>55</v>
      </c>
      <c r="D31" s="156" t="s">
        <v>128</v>
      </c>
      <c r="E31" s="155" t="s">
        <v>63</v>
      </c>
      <c r="F31" s="48" t="s">
        <v>70</v>
      </c>
      <c r="G31" s="157" t="s">
        <v>129</v>
      </c>
      <c r="H31" s="155" t="s">
        <v>130</v>
      </c>
      <c r="I31" s="48" t="s">
        <v>131</v>
      </c>
      <c r="J31" s="156" t="s">
        <v>132</v>
      </c>
      <c r="K31" s="45">
        <f>V31*AB31</f>
        <v>1174756.1201453432</v>
      </c>
      <c r="L31" s="42">
        <v>4.0000000000000001E-3</v>
      </c>
      <c r="M31" s="43">
        <f>K31*L31</f>
        <v>4699.0244805813727</v>
      </c>
      <c r="N31" s="46">
        <v>0.35</v>
      </c>
      <c r="O31" s="43">
        <f>N31*K31</f>
        <v>411164.64205087011</v>
      </c>
      <c r="P31" s="158">
        <f>S31/(K31/1000)</f>
        <v>104.99999999999999</v>
      </c>
      <c r="Q31" s="158">
        <f t="shared" ref="Q31:Q32" si="56">S31/M31</f>
        <v>26.249999999999996</v>
      </c>
      <c r="R31" s="803">
        <v>0.3</v>
      </c>
      <c r="S31" s="145">
        <f>O31*R31</f>
        <v>123349.39261526102</v>
      </c>
      <c r="T31" s="44">
        <f t="shared" si="0"/>
        <v>1.0618773719246938E-2</v>
      </c>
      <c r="U31" s="46">
        <v>0.8</v>
      </c>
      <c r="V31" s="45">
        <f>X31*Y31</f>
        <v>783170.74676356209</v>
      </c>
      <c r="W31" s="45">
        <f t="shared" ref="W31:W32" si="57">(1-U31)*V31</f>
        <v>156634.14935271238</v>
      </c>
      <c r="X31" s="45">
        <v>1957926.8669089051</v>
      </c>
      <c r="Y31" s="46">
        <v>0.4</v>
      </c>
      <c r="Z31" s="51"/>
      <c r="AA31" s="46" t="e">
        <f>W31/Z31</f>
        <v>#DIV/0!</v>
      </c>
      <c r="AB31" s="47">
        <v>1.5</v>
      </c>
      <c r="AC31" s="202">
        <v>45475</v>
      </c>
      <c r="AD31" s="202">
        <f t="shared" ref="AD31:AD32" si="58">AC31+7</f>
        <v>45482</v>
      </c>
      <c r="AE31" s="374">
        <f t="shared" ref="AE31:AE32" si="59">AD31-AC31+1</f>
        <v>8</v>
      </c>
      <c r="AG31" s="795">
        <f>X31*40%</f>
        <v>783170.74676356209</v>
      </c>
      <c r="AH31" s="796">
        <f>AB31</f>
        <v>1.5</v>
      </c>
      <c r="AI31" s="795">
        <f>AG31*AH31</f>
        <v>1174756.1201453432</v>
      </c>
      <c r="AJ31" s="795">
        <f>AI31*105/1000</f>
        <v>123349.39261526105</v>
      </c>
      <c r="AK31" s="797"/>
      <c r="AL31" s="798"/>
      <c r="AM31" s="798"/>
      <c r="AN31" s="798"/>
      <c r="AO31" s="798"/>
      <c r="AP31" s="798"/>
      <c r="AQ31" s="798"/>
      <c r="AR31" s="798"/>
      <c r="AS31" s="798"/>
      <c r="AT31" s="798"/>
      <c r="AU31" s="798"/>
      <c r="AW31" s="244">
        <v>2.13</v>
      </c>
    </row>
    <row r="32" spans="1:49" s="244" customFormat="1">
      <c r="A32" s="155" t="s">
        <v>61</v>
      </c>
      <c r="B32" s="156" t="s">
        <v>127</v>
      </c>
      <c r="C32" s="156" t="s">
        <v>55</v>
      </c>
      <c r="D32" s="156" t="s">
        <v>128</v>
      </c>
      <c r="E32" s="155" t="s">
        <v>63</v>
      </c>
      <c r="F32" s="48" t="s">
        <v>70</v>
      </c>
      <c r="G32" s="157" t="s">
        <v>133</v>
      </c>
      <c r="H32" s="156" t="s">
        <v>134</v>
      </c>
      <c r="I32" s="48" t="s">
        <v>118</v>
      </c>
      <c r="J32" s="156" t="s">
        <v>132</v>
      </c>
      <c r="K32" s="45">
        <f>V32*AB32</f>
        <v>1566341.4935271242</v>
      </c>
      <c r="L32" s="42">
        <v>4.0000000000000001E-3</v>
      </c>
      <c r="M32" s="43">
        <f>K32*L32</f>
        <v>6265.3659741084966</v>
      </c>
      <c r="N32" s="46">
        <v>0.85</v>
      </c>
      <c r="O32" s="43">
        <f>K32*N32</f>
        <v>1331390.2694980556</v>
      </c>
      <c r="P32" s="158">
        <f>(S32*1000)/K32</f>
        <v>59.999999999999993</v>
      </c>
      <c r="Q32" s="158">
        <f t="shared" si="56"/>
        <v>15</v>
      </c>
      <c r="R32" s="375">
        <v>60</v>
      </c>
      <c r="S32" s="145">
        <f>R32*K32/1000</f>
        <v>93980.489611627447</v>
      </c>
      <c r="T32" s="44">
        <f t="shared" si="0"/>
        <v>8.0904942622833809E-3</v>
      </c>
      <c r="U32" s="46">
        <v>0.9</v>
      </c>
      <c r="V32" s="45">
        <f>X32*Y32</f>
        <v>783170.74676356209</v>
      </c>
      <c r="W32" s="45">
        <f t="shared" si="57"/>
        <v>78317.074676356191</v>
      </c>
      <c r="X32" s="45">
        <v>1957926.8669089051</v>
      </c>
      <c r="Y32" s="46">
        <v>0.4</v>
      </c>
      <c r="Z32" s="51"/>
      <c r="AA32" s="46" t="e">
        <f>W32/Z32</f>
        <v>#DIV/0!</v>
      </c>
      <c r="AB32" s="47">
        <v>2</v>
      </c>
      <c r="AC32" s="202">
        <v>45475</v>
      </c>
      <c r="AD32" s="202">
        <f t="shared" si="58"/>
        <v>45482</v>
      </c>
      <c r="AE32" s="374">
        <f t="shared" si="59"/>
        <v>8</v>
      </c>
      <c r="AG32" s="293">
        <f>X32*50%</f>
        <v>978963.43345445255</v>
      </c>
      <c r="AH32" s="293">
        <v>2</v>
      </c>
      <c r="AI32" s="293">
        <f>AG32*AH32</f>
        <v>1957926.8669089051</v>
      </c>
      <c r="AJ32" s="294">
        <f>AI32*60/1000</f>
        <v>117475.61201453432</v>
      </c>
      <c r="AK32" s="620"/>
      <c r="AL32" s="293"/>
      <c r="AM32" s="293"/>
      <c r="AN32" s="293"/>
      <c r="AO32" s="293"/>
      <c r="AP32" s="293"/>
      <c r="AQ32" s="293"/>
      <c r="AR32" s="293"/>
      <c r="AS32" s="293"/>
      <c r="AT32" s="293"/>
      <c r="AU32" s="293"/>
      <c r="AW32" s="244">
        <v>2.13</v>
      </c>
    </row>
    <row r="33" spans="1:153">
      <c r="A33" s="101" t="s">
        <v>147</v>
      </c>
      <c r="B33" s="101"/>
      <c r="C33" s="101"/>
      <c r="D33" s="101"/>
      <c r="E33" s="101"/>
      <c r="F33" s="101"/>
      <c r="G33" s="101"/>
      <c r="H33" s="101"/>
      <c r="I33" s="101"/>
      <c r="J33" s="101"/>
      <c r="K33" s="103"/>
      <c r="L33" s="104"/>
      <c r="M33" s="105"/>
      <c r="N33" s="105"/>
      <c r="O33" s="105"/>
      <c r="P33" s="106"/>
      <c r="Q33" s="106"/>
      <c r="R33" s="107"/>
      <c r="S33" s="107"/>
      <c r="T33" s="44">
        <f t="shared" si="0"/>
        <v>0</v>
      </c>
      <c r="U33" s="108"/>
      <c r="V33" s="105"/>
      <c r="W33" s="105"/>
      <c r="X33" s="105"/>
      <c r="Y33" s="105"/>
      <c r="Z33" s="105"/>
      <c r="AA33" s="105"/>
      <c r="AB33" s="105"/>
      <c r="AC33" s="105"/>
      <c r="AD33" s="105"/>
      <c r="AE33" s="105"/>
      <c r="AK33" s="293"/>
    </row>
    <row r="34" spans="1:153" s="244" customFormat="1">
      <c r="A34" s="155" t="s">
        <v>61</v>
      </c>
      <c r="B34" s="156" t="s">
        <v>127</v>
      </c>
      <c r="C34" s="156" t="s">
        <v>49</v>
      </c>
      <c r="D34" s="156" t="s">
        <v>128</v>
      </c>
      <c r="E34" s="155" t="s">
        <v>63</v>
      </c>
      <c r="F34" s="168" t="s">
        <v>70</v>
      </c>
      <c r="G34" s="157" t="s">
        <v>129</v>
      </c>
      <c r="H34" s="155" t="s">
        <v>130</v>
      </c>
      <c r="I34" s="48" t="s">
        <v>131</v>
      </c>
      <c r="J34" s="156" t="s">
        <v>132</v>
      </c>
      <c r="K34" s="45">
        <f>V34*AB34</f>
        <v>1330422.3925771017</v>
      </c>
      <c r="L34" s="42">
        <v>4.0000000000000001E-3</v>
      </c>
      <c r="M34" s="43">
        <f>K34*L34</f>
        <v>5321.6895703084074</v>
      </c>
      <c r="N34" s="46">
        <v>0.35</v>
      </c>
      <c r="O34" s="43">
        <f>N34*K34</f>
        <v>465647.83740198554</v>
      </c>
      <c r="P34" s="158">
        <f>S34/(K34/1000)</f>
        <v>104.99999999999999</v>
      </c>
      <c r="Q34" s="158">
        <f>S34/M34</f>
        <v>26.249999999999993</v>
      </c>
      <c r="R34" s="803">
        <v>0.3</v>
      </c>
      <c r="S34" s="145">
        <f>O34*R34</f>
        <v>139694.35122059565</v>
      </c>
      <c r="T34" s="44">
        <f t="shared" si="0"/>
        <v>1.2025861449478962E-2</v>
      </c>
      <c r="U34" s="46">
        <v>0.8</v>
      </c>
      <c r="V34" s="45">
        <f>X34*Y34</f>
        <v>886948.26171806781</v>
      </c>
      <c r="W34" s="45">
        <f t="shared" ref="W34:W35" si="60">(1-U34)*V34</f>
        <v>177389.65234361353</v>
      </c>
      <c r="X34" s="45">
        <v>2217370.6542951693</v>
      </c>
      <c r="Y34" s="46">
        <v>0.4</v>
      </c>
      <c r="Z34" s="51"/>
      <c r="AA34" s="46" t="e">
        <f>W34/Z34</f>
        <v>#DIV/0!</v>
      </c>
      <c r="AB34" s="47">
        <v>1.5</v>
      </c>
      <c r="AC34" s="202">
        <v>45475</v>
      </c>
      <c r="AD34" s="202">
        <f t="shared" ref="AD34:AD35" si="61">AC34+7</f>
        <v>45482</v>
      </c>
      <c r="AE34" s="374">
        <f t="shared" ref="AE34:AE35" si="62">AD34-AC34+1</f>
        <v>8</v>
      </c>
      <c r="AG34" s="795">
        <f>X34*40%</f>
        <v>886948.26171806781</v>
      </c>
      <c r="AH34" s="796">
        <f>AB34</f>
        <v>1.5</v>
      </c>
      <c r="AI34" s="795">
        <f>AG34*AH34</f>
        <v>1330422.3925771017</v>
      </c>
      <c r="AJ34" s="795">
        <f>AI34*105/1000</f>
        <v>139694.35122059568</v>
      </c>
      <c r="AK34" s="797"/>
      <c r="AL34" s="798"/>
      <c r="AM34" s="798"/>
      <c r="AN34" s="798"/>
      <c r="AO34" s="798"/>
      <c r="AP34" s="798"/>
      <c r="AQ34" s="798"/>
      <c r="AR34" s="798"/>
      <c r="AS34" s="798"/>
      <c r="AT34" s="798"/>
      <c r="AU34" s="798"/>
      <c r="AW34" s="244">
        <v>2.13</v>
      </c>
    </row>
    <row r="35" spans="1:153" s="244" customFormat="1">
      <c r="A35" s="155" t="s">
        <v>61</v>
      </c>
      <c r="B35" s="156" t="s">
        <v>127</v>
      </c>
      <c r="C35" s="156" t="s">
        <v>49</v>
      </c>
      <c r="D35" s="156" t="s">
        <v>128</v>
      </c>
      <c r="E35" s="155" t="s">
        <v>63</v>
      </c>
      <c r="F35" s="48" t="s">
        <v>70</v>
      </c>
      <c r="G35" s="157" t="s">
        <v>133</v>
      </c>
      <c r="H35" s="156" t="s">
        <v>134</v>
      </c>
      <c r="I35" s="48" t="s">
        <v>118</v>
      </c>
      <c r="J35" s="156" t="s">
        <v>132</v>
      </c>
      <c r="K35" s="45">
        <f>V35*AB35</f>
        <v>1773896.5234361356</v>
      </c>
      <c r="L35" s="42">
        <v>4.0000000000000001E-3</v>
      </c>
      <c r="M35" s="43">
        <f>K35*L35</f>
        <v>7095.5860937445423</v>
      </c>
      <c r="N35" s="46">
        <v>0.85</v>
      </c>
      <c r="O35" s="43">
        <f>K35*N35</f>
        <v>1507812.0449207153</v>
      </c>
      <c r="P35" s="158">
        <f>(S35*1000)/K35</f>
        <v>60</v>
      </c>
      <c r="Q35" s="158">
        <f t="shared" ref="Q35" si="63">S35/M35</f>
        <v>15</v>
      </c>
      <c r="R35" s="375">
        <v>60</v>
      </c>
      <c r="S35" s="145">
        <f>R35*K35/1000</f>
        <v>106433.79140616814</v>
      </c>
      <c r="T35" s="44">
        <f t="shared" ref="T35:T52" si="64">S35/$S$70</f>
        <v>9.162561104364926E-3</v>
      </c>
      <c r="U35" s="46">
        <v>0.9</v>
      </c>
      <c r="V35" s="45">
        <f>X35*Y35</f>
        <v>886948.26171806781</v>
      </c>
      <c r="W35" s="45">
        <f t="shared" si="60"/>
        <v>88694.826171806766</v>
      </c>
      <c r="X35" s="45">
        <v>2217370.6542951693</v>
      </c>
      <c r="Y35" s="46">
        <v>0.4</v>
      </c>
      <c r="Z35" s="51"/>
      <c r="AA35" s="46" t="e">
        <f>W35/Z35</f>
        <v>#DIV/0!</v>
      </c>
      <c r="AB35" s="47">
        <v>2</v>
      </c>
      <c r="AC35" s="202">
        <v>45475</v>
      </c>
      <c r="AD35" s="202">
        <f t="shared" si="61"/>
        <v>45482</v>
      </c>
      <c r="AE35" s="374">
        <f t="shared" si="62"/>
        <v>8</v>
      </c>
      <c r="AG35" s="293">
        <f>X35*50%</f>
        <v>1108685.3271475846</v>
      </c>
      <c r="AH35" s="293">
        <v>2</v>
      </c>
      <c r="AI35" s="293">
        <f>AG35*AH35</f>
        <v>2217370.6542951693</v>
      </c>
      <c r="AJ35" s="294">
        <f>AI35*60/1000</f>
        <v>133042.23925771017</v>
      </c>
      <c r="AK35" s="620"/>
      <c r="AL35" s="293"/>
      <c r="AM35" s="293"/>
      <c r="AN35" s="293"/>
      <c r="AO35" s="293"/>
      <c r="AP35" s="293"/>
      <c r="AQ35" s="293"/>
      <c r="AR35" s="293"/>
      <c r="AS35" s="293"/>
      <c r="AT35" s="293"/>
      <c r="AU35" s="293"/>
      <c r="AW35" s="244">
        <v>2.13</v>
      </c>
    </row>
    <row r="36" spans="1:153">
      <c r="A36" s="101" t="s">
        <v>148</v>
      </c>
      <c r="B36" s="101"/>
      <c r="C36" s="101"/>
      <c r="D36" s="101"/>
      <c r="E36" s="101"/>
      <c r="F36" s="101"/>
      <c r="G36" s="101"/>
      <c r="H36" s="101"/>
      <c r="I36" s="101"/>
      <c r="J36" s="101"/>
      <c r="K36" s="103"/>
      <c r="L36" s="104"/>
      <c r="M36" s="105"/>
      <c r="N36" s="105"/>
      <c r="O36" s="105"/>
      <c r="P36" s="106"/>
      <c r="Q36" s="106"/>
      <c r="R36" s="107"/>
      <c r="S36" s="107"/>
      <c r="T36" s="44">
        <f t="shared" si="64"/>
        <v>0</v>
      </c>
      <c r="U36" s="108"/>
      <c r="V36" s="105"/>
      <c r="W36" s="105"/>
      <c r="X36" s="105"/>
      <c r="Y36" s="105"/>
      <c r="Z36" s="105"/>
      <c r="AA36" s="105"/>
      <c r="AB36" s="105"/>
      <c r="AC36" s="105"/>
      <c r="AD36" s="105"/>
      <c r="AE36" s="105"/>
    </row>
    <row r="37" spans="1:153" s="244" customFormat="1">
      <c r="A37" s="155" t="s">
        <v>61</v>
      </c>
      <c r="B37" s="156" t="s">
        <v>127</v>
      </c>
      <c r="C37" s="156" t="s">
        <v>50</v>
      </c>
      <c r="D37" s="156" t="s">
        <v>128</v>
      </c>
      <c r="E37" s="155" t="s">
        <v>63</v>
      </c>
      <c r="F37" s="48" t="s">
        <v>70</v>
      </c>
      <c r="G37" s="157" t="s">
        <v>129</v>
      </c>
      <c r="H37" s="155" t="s">
        <v>130</v>
      </c>
      <c r="I37" s="48" t="s">
        <v>131</v>
      </c>
      <c r="J37" s="156" t="s">
        <v>149</v>
      </c>
      <c r="K37" s="45">
        <f>V37*AB37</f>
        <v>921579.60000000009</v>
      </c>
      <c r="L37" s="42">
        <v>4.0000000000000001E-3</v>
      </c>
      <c r="M37" s="43">
        <f>K37*L37</f>
        <v>3686.3184000000006</v>
      </c>
      <c r="N37" s="46">
        <v>0.35</v>
      </c>
      <c r="O37" s="43">
        <f>N37*K37</f>
        <v>322552.86</v>
      </c>
      <c r="P37" s="158">
        <f>S37/(K37/1000)</f>
        <v>104.99999999999997</v>
      </c>
      <c r="Q37" s="158">
        <f>S37/M37</f>
        <v>26.249999999999993</v>
      </c>
      <c r="R37" s="803">
        <v>0.3</v>
      </c>
      <c r="S37" s="145">
        <f>O37*R37</f>
        <v>96765.857999999993</v>
      </c>
      <c r="T37" s="44">
        <f t="shared" si="64"/>
        <v>8.3302781478281265E-3</v>
      </c>
      <c r="U37" s="46">
        <v>0.8</v>
      </c>
      <c r="V37" s="45">
        <f>X37*Y37</f>
        <v>614386.4</v>
      </c>
      <c r="W37" s="45">
        <f t="shared" ref="W37:W38" si="65">(1-U37)*V37</f>
        <v>122877.27999999998</v>
      </c>
      <c r="X37" s="45">
        <v>1535966</v>
      </c>
      <c r="Y37" s="46">
        <v>0.4</v>
      </c>
      <c r="Z37" s="51"/>
      <c r="AA37" s="46" t="e">
        <f>W37/Z37</f>
        <v>#DIV/0!</v>
      </c>
      <c r="AB37" s="47">
        <v>1.5</v>
      </c>
      <c r="AC37" s="202">
        <v>45475</v>
      </c>
      <c r="AD37" s="202">
        <f t="shared" ref="AD37:AD38" si="66">AC37+7</f>
        <v>45482</v>
      </c>
      <c r="AE37" s="374">
        <f t="shared" ref="AE37:AE38" si="67">AD37-AC37+1</f>
        <v>8</v>
      </c>
      <c r="AG37" s="795">
        <f>X37*40%</f>
        <v>614386.4</v>
      </c>
      <c r="AH37" s="796">
        <f>AB37</f>
        <v>1.5</v>
      </c>
      <c r="AI37" s="795">
        <f>AG37*AH37</f>
        <v>921579.60000000009</v>
      </c>
      <c r="AJ37" s="795">
        <f>AI37*105/1000</f>
        <v>96765.858000000022</v>
      </c>
      <c r="AK37" s="797"/>
      <c r="AL37" s="798"/>
      <c r="AM37" s="798"/>
      <c r="AN37" s="798"/>
      <c r="AO37" s="798"/>
      <c r="AP37" s="798"/>
      <c r="AQ37" s="798"/>
      <c r="AR37" s="798"/>
      <c r="AS37" s="798"/>
      <c r="AT37" s="798"/>
      <c r="AU37" s="798"/>
      <c r="AW37" s="244">
        <v>2.13</v>
      </c>
    </row>
    <row r="38" spans="1:153" s="244" customFormat="1">
      <c r="A38" s="155" t="s">
        <v>61</v>
      </c>
      <c r="B38" s="156" t="s">
        <v>127</v>
      </c>
      <c r="C38" s="156" t="s">
        <v>50</v>
      </c>
      <c r="D38" s="156" t="s">
        <v>128</v>
      </c>
      <c r="E38" s="155" t="s">
        <v>63</v>
      </c>
      <c r="F38" s="48" t="s">
        <v>70</v>
      </c>
      <c r="G38" s="157" t="s">
        <v>133</v>
      </c>
      <c r="H38" s="156" t="s">
        <v>134</v>
      </c>
      <c r="I38" s="48" t="s">
        <v>118</v>
      </c>
      <c r="J38" s="156" t="s">
        <v>132</v>
      </c>
      <c r="K38" s="45">
        <f>V38*AB38</f>
        <v>1228772.8</v>
      </c>
      <c r="L38" s="42">
        <v>4.0000000000000001E-3</v>
      </c>
      <c r="M38" s="43">
        <f>K38*L38</f>
        <v>4915.0911999999998</v>
      </c>
      <c r="N38" s="46">
        <v>0.85</v>
      </c>
      <c r="O38" s="43">
        <f>K38*N38</f>
        <v>1044456.88</v>
      </c>
      <c r="P38" s="158">
        <f>(S38*1000)/K38</f>
        <v>60</v>
      </c>
      <c r="Q38" s="158">
        <f t="shared" ref="Q38" si="68">S38/M38</f>
        <v>15.000000000000002</v>
      </c>
      <c r="R38" s="375">
        <v>60</v>
      </c>
      <c r="S38" s="145">
        <f>R38*K38/1000</f>
        <v>73726.368000000002</v>
      </c>
      <c r="T38" s="44">
        <f t="shared" si="64"/>
        <v>6.3468785888214302E-3</v>
      </c>
      <c r="U38" s="46">
        <v>0.9</v>
      </c>
      <c r="V38" s="45">
        <f>X38*Y38</f>
        <v>614386.4</v>
      </c>
      <c r="W38" s="45">
        <f t="shared" si="65"/>
        <v>61438.639999999992</v>
      </c>
      <c r="X38" s="45">
        <v>1535966</v>
      </c>
      <c r="Y38" s="46">
        <v>0.4</v>
      </c>
      <c r="Z38" s="51"/>
      <c r="AA38" s="46" t="e">
        <f>W38/Z38</f>
        <v>#DIV/0!</v>
      </c>
      <c r="AB38" s="47">
        <v>2</v>
      </c>
      <c r="AC38" s="202">
        <v>45475</v>
      </c>
      <c r="AD38" s="202">
        <f t="shared" si="66"/>
        <v>45482</v>
      </c>
      <c r="AE38" s="374">
        <f t="shared" si="67"/>
        <v>8</v>
      </c>
      <c r="AG38" s="293">
        <f>X38*50%</f>
        <v>767983</v>
      </c>
      <c r="AH38" s="293">
        <v>2</v>
      </c>
      <c r="AI38" s="293">
        <f>AG38*AH38</f>
        <v>1535966</v>
      </c>
      <c r="AJ38" s="294">
        <f>AI38*60/1000</f>
        <v>92157.96</v>
      </c>
      <c r="AK38" s="620"/>
      <c r="AL38" s="293"/>
      <c r="AM38" s="293"/>
      <c r="AN38" s="293"/>
      <c r="AO38" s="293"/>
      <c r="AP38" s="293"/>
      <c r="AQ38" s="293"/>
      <c r="AR38" s="293"/>
      <c r="AS38" s="293"/>
      <c r="AT38" s="293"/>
      <c r="AU38" s="293"/>
      <c r="AW38" s="244">
        <v>2.13</v>
      </c>
    </row>
    <row r="39" spans="1:153" s="526" customFormat="1">
      <c r="A39" s="101" t="s">
        <v>150</v>
      </c>
      <c r="B39" s="101"/>
      <c r="C39" s="101"/>
      <c r="D39" s="101"/>
      <c r="E39" s="101"/>
      <c r="F39" s="101"/>
      <c r="G39" s="101"/>
      <c r="H39" s="101"/>
      <c r="I39" s="101"/>
      <c r="J39" s="101"/>
      <c r="K39" s="103"/>
      <c r="L39" s="104"/>
      <c r="M39" s="105"/>
      <c r="N39" s="105"/>
      <c r="O39" s="105"/>
      <c r="P39" s="106"/>
      <c r="Q39" s="106"/>
      <c r="R39" s="107"/>
      <c r="S39" s="107"/>
      <c r="T39" s="44">
        <f t="shared" si="64"/>
        <v>0</v>
      </c>
      <c r="U39" s="108"/>
      <c r="V39" s="105"/>
      <c r="W39" s="105"/>
      <c r="X39" s="105"/>
      <c r="Y39" s="105"/>
      <c r="Z39" s="105"/>
      <c r="AA39" s="105"/>
      <c r="AB39" s="105"/>
      <c r="AC39" s="105"/>
      <c r="AD39" s="105"/>
      <c r="AE39" s="105"/>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c r="CR39" s="293"/>
      <c r="CS39" s="293"/>
      <c r="CT39" s="293"/>
      <c r="CU39" s="293"/>
      <c r="CV39" s="293"/>
      <c r="CW39" s="293"/>
      <c r="CX39" s="293"/>
      <c r="CY39" s="293"/>
      <c r="CZ39" s="293"/>
      <c r="DA39" s="293"/>
      <c r="DB39" s="293"/>
      <c r="DC39" s="293"/>
      <c r="DD39" s="293"/>
      <c r="DE39" s="293"/>
      <c r="DF39" s="293"/>
      <c r="DG39" s="293"/>
      <c r="DH39" s="293"/>
      <c r="DI39" s="293"/>
      <c r="DJ39" s="293"/>
      <c r="DK39" s="293"/>
      <c r="DL39" s="293"/>
      <c r="DM39" s="293"/>
      <c r="DN39" s="293"/>
      <c r="DO39" s="293"/>
      <c r="DP39" s="293"/>
      <c r="DQ39" s="293"/>
      <c r="DR39" s="293"/>
      <c r="DS39" s="293"/>
      <c r="DT39" s="293"/>
      <c r="DU39" s="293"/>
      <c r="DV39" s="293"/>
      <c r="DW39" s="293"/>
      <c r="DX39" s="293"/>
      <c r="DY39" s="293"/>
      <c r="DZ39" s="293"/>
      <c r="EA39" s="293"/>
      <c r="EB39" s="293"/>
      <c r="EC39" s="293"/>
      <c r="ED39" s="293"/>
      <c r="EE39" s="293"/>
      <c r="EF39" s="293"/>
      <c r="EG39" s="293"/>
      <c r="EH39" s="293"/>
      <c r="EI39" s="293"/>
      <c r="EJ39" s="293"/>
      <c r="EK39" s="293"/>
      <c r="EL39" s="293"/>
      <c r="EM39" s="293"/>
      <c r="EN39" s="293"/>
      <c r="EO39" s="293"/>
      <c r="EP39" s="293"/>
      <c r="EQ39" s="293"/>
      <c r="ER39" s="293"/>
      <c r="ES39" s="293"/>
      <c r="ET39" s="293"/>
      <c r="EU39" s="293"/>
      <c r="EV39" s="293"/>
      <c r="EW39" s="293"/>
    </row>
    <row r="40" spans="1:153" s="244" customFormat="1">
      <c r="A40" s="155" t="s">
        <v>61</v>
      </c>
      <c r="B40" s="156" t="s">
        <v>127</v>
      </c>
      <c r="C40" s="156" t="s">
        <v>51</v>
      </c>
      <c r="D40" s="156" t="s">
        <v>128</v>
      </c>
      <c r="E40" s="155" t="s">
        <v>63</v>
      </c>
      <c r="F40" s="48" t="s">
        <v>70</v>
      </c>
      <c r="G40" s="157" t="s">
        <v>129</v>
      </c>
      <c r="H40" s="155" t="s">
        <v>130</v>
      </c>
      <c r="I40" s="48" t="s">
        <v>131</v>
      </c>
      <c r="J40" s="156" t="s">
        <v>149</v>
      </c>
      <c r="K40" s="45">
        <f>V40*AB40</f>
        <v>933617.46020903066</v>
      </c>
      <c r="L40" s="42">
        <v>4.0000000000000001E-3</v>
      </c>
      <c r="M40" s="43">
        <f>K40*L40</f>
        <v>3734.4698408361228</v>
      </c>
      <c r="N40" s="46">
        <v>0.35</v>
      </c>
      <c r="O40" s="43">
        <f>N40*K40</f>
        <v>326766.11107316072</v>
      </c>
      <c r="P40" s="158">
        <f>S40/(K40/1000)</f>
        <v>104.99999999999999</v>
      </c>
      <c r="Q40" s="158">
        <f>S40/M40</f>
        <v>26.249999999999996</v>
      </c>
      <c r="R40" s="803">
        <v>0.3</v>
      </c>
      <c r="S40" s="145">
        <f>O40*R40</f>
        <v>98029.833321948216</v>
      </c>
      <c r="T40" s="44">
        <f t="shared" si="64"/>
        <v>8.4390899355954539E-3</v>
      </c>
      <c r="U40" s="46">
        <v>0.8</v>
      </c>
      <c r="V40" s="45">
        <f>X40*Y40</f>
        <v>622411.64013935381</v>
      </c>
      <c r="W40" s="45">
        <f t="shared" ref="W40:W41" si="69">(1-U40)*V40</f>
        <v>124482.32802787074</v>
      </c>
      <c r="X40" s="45">
        <v>1556029.1003483846</v>
      </c>
      <c r="Y40" s="46">
        <v>0.4</v>
      </c>
      <c r="Z40" s="51"/>
      <c r="AA40" s="46" t="e">
        <f>W40/Z40</f>
        <v>#DIV/0!</v>
      </c>
      <c r="AB40" s="47">
        <v>1.5</v>
      </c>
      <c r="AC40" s="202">
        <v>45475</v>
      </c>
      <c r="AD40" s="202">
        <f t="shared" ref="AD40:AD41" si="70">AC40+7</f>
        <v>45482</v>
      </c>
      <c r="AE40" s="374">
        <f t="shared" ref="AE40:AE41" si="71">AD40-AC40+1</f>
        <v>8</v>
      </c>
      <c r="AG40" s="795">
        <f>X40*40%</f>
        <v>622411.64013935381</v>
      </c>
      <c r="AH40" s="796">
        <f>AB40</f>
        <v>1.5</v>
      </c>
      <c r="AI40" s="795">
        <f>AG40*AH40</f>
        <v>933617.46020903066</v>
      </c>
      <c r="AJ40" s="795">
        <f>AI40*105/1000</f>
        <v>98029.833321948216</v>
      </c>
      <c r="AK40" s="797"/>
      <c r="AL40" s="798"/>
      <c r="AM40" s="798"/>
      <c r="AN40" s="798"/>
      <c r="AO40" s="798"/>
      <c r="AP40" s="798"/>
      <c r="AQ40" s="798"/>
      <c r="AR40" s="798"/>
      <c r="AS40" s="798"/>
      <c r="AT40" s="798"/>
      <c r="AU40" s="798"/>
      <c r="AW40" s="244">
        <v>2.13</v>
      </c>
    </row>
    <row r="41" spans="1:153" s="244" customFormat="1">
      <c r="A41" s="155" t="s">
        <v>61</v>
      </c>
      <c r="B41" s="156" t="s">
        <v>127</v>
      </c>
      <c r="C41" s="156" t="s">
        <v>51</v>
      </c>
      <c r="D41" s="156" t="s">
        <v>128</v>
      </c>
      <c r="E41" s="155" t="s">
        <v>63</v>
      </c>
      <c r="F41" s="48" t="s">
        <v>70</v>
      </c>
      <c r="G41" s="157" t="s">
        <v>133</v>
      </c>
      <c r="H41" s="156" t="s">
        <v>134</v>
      </c>
      <c r="I41" s="48" t="s">
        <v>118</v>
      </c>
      <c r="J41" s="156" t="s">
        <v>132</v>
      </c>
      <c r="K41" s="45">
        <f>V41*AB41</f>
        <v>1244823.2802787076</v>
      </c>
      <c r="L41" s="42">
        <v>4.0000000000000001E-3</v>
      </c>
      <c r="M41" s="43">
        <f>K41*L41</f>
        <v>4979.2931211148307</v>
      </c>
      <c r="N41" s="46">
        <v>0.85</v>
      </c>
      <c r="O41" s="43">
        <f>K41*N41</f>
        <v>1058099.7882369014</v>
      </c>
      <c r="P41" s="158">
        <f>(S41*1000)/K41</f>
        <v>59.999999999999993</v>
      </c>
      <c r="Q41" s="158">
        <f t="shared" ref="Q41" si="72">S41/M41</f>
        <v>14.999999999999998</v>
      </c>
      <c r="R41" s="375">
        <v>60</v>
      </c>
      <c r="S41" s="145">
        <f>R41*K41/1000</f>
        <v>74689.396816722452</v>
      </c>
      <c r="T41" s="44">
        <f t="shared" si="64"/>
        <v>6.429782808072727E-3</v>
      </c>
      <c r="U41" s="46">
        <v>0.9</v>
      </c>
      <c r="V41" s="45">
        <f>X41*Y41</f>
        <v>622411.64013935381</v>
      </c>
      <c r="W41" s="45">
        <f t="shared" si="69"/>
        <v>62241.164013935369</v>
      </c>
      <c r="X41" s="45">
        <v>1556029.1003483846</v>
      </c>
      <c r="Y41" s="46">
        <v>0.4</v>
      </c>
      <c r="Z41" s="51"/>
      <c r="AA41" s="46" t="e">
        <f>W41/Z41</f>
        <v>#DIV/0!</v>
      </c>
      <c r="AB41" s="47">
        <v>2</v>
      </c>
      <c r="AC41" s="202">
        <v>45475</v>
      </c>
      <c r="AD41" s="202">
        <f t="shared" si="70"/>
        <v>45482</v>
      </c>
      <c r="AE41" s="374">
        <f t="shared" si="71"/>
        <v>8</v>
      </c>
      <c r="AG41" s="293">
        <f>X41*50%</f>
        <v>778014.55017419229</v>
      </c>
      <c r="AH41" s="293">
        <v>2</v>
      </c>
      <c r="AI41" s="293">
        <f>AG41*AH41</f>
        <v>1556029.1003483846</v>
      </c>
      <c r="AJ41" s="294">
        <f>AI41*60/1000</f>
        <v>93361.746020903083</v>
      </c>
      <c r="AK41" s="620"/>
      <c r="AL41" s="293"/>
      <c r="AM41" s="293"/>
      <c r="AN41" s="293"/>
      <c r="AO41" s="293"/>
      <c r="AP41" s="293"/>
      <c r="AQ41" s="293"/>
      <c r="AR41" s="293"/>
      <c r="AS41" s="293"/>
      <c r="AT41" s="293"/>
      <c r="AU41" s="293"/>
      <c r="AW41" s="244">
        <v>2.13</v>
      </c>
    </row>
    <row r="42" spans="1:153">
      <c r="A42" s="101" t="s">
        <v>151</v>
      </c>
      <c r="B42" s="101"/>
      <c r="C42" s="101"/>
      <c r="D42" s="101"/>
      <c r="E42" s="101"/>
      <c r="F42" s="101"/>
      <c r="G42" s="101"/>
      <c r="H42" s="101"/>
      <c r="I42" s="101"/>
      <c r="J42" s="101"/>
      <c r="K42" s="103"/>
      <c r="L42" s="104"/>
      <c r="M42" s="105"/>
      <c r="N42" s="105"/>
      <c r="O42" s="105"/>
      <c r="P42" s="106"/>
      <c r="Q42" s="106"/>
      <c r="R42" s="107"/>
      <c r="S42" s="107"/>
      <c r="T42" s="44">
        <f t="shared" si="64"/>
        <v>0</v>
      </c>
      <c r="U42" s="108"/>
      <c r="V42" s="105"/>
      <c r="W42" s="105"/>
      <c r="X42" s="105"/>
      <c r="Y42" s="105"/>
      <c r="Z42" s="105"/>
      <c r="AA42" s="105"/>
      <c r="AB42" s="105"/>
      <c r="AC42" s="105"/>
      <c r="AD42" s="105"/>
      <c r="AE42" s="105"/>
    </row>
    <row r="43" spans="1:153" s="244" customFormat="1">
      <c r="A43" s="155" t="s">
        <v>61</v>
      </c>
      <c r="B43" s="156" t="s">
        <v>127</v>
      </c>
      <c r="C43" s="156" t="s">
        <v>53</v>
      </c>
      <c r="D43" s="156" t="s">
        <v>128</v>
      </c>
      <c r="E43" s="155" t="s">
        <v>63</v>
      </c>
      <c r="F43" s="48" t="s">
        <v>70</v>
      </c>
      <c r="G43" s="157" t="s">
        <v>129</v>
      </c>
      <c r="H43" s="155" t="s">
        <v>130</v>
      </c>
      <c r="I43" s="48" t="s">
        <v>131</v>
      </c>
      <c r="J43" s="156" t="s">
        <v>132</v>
      </c>
      <c r="K43" s="45">
        <f>V43*AB43</f>
        <v>954000</v>
      </c>
      <c r="L43" s="42">
        <v>4.0000000000000001E-3</v>
      </c>
      <c r="M43" s="43">
        <f>K43*L43</f>
        <v>3816</v>
      </c>
      <c r="N43" s="46">
        <v>0.35</v>
      </c>
      <c r="O43" s="43">
        <f>N43*K43</f>
        <v>333900</v>
      </c>
      <c r="P43" s="158">
        <f>S43/(K43/1000)</f>
        <v>105</v>
      </c>
      <c r="Q43" s="158">
        <f>S43/M43</f>
        <v>26.25</v>
      </c>
      <c r="R43" s="803">
        <v>0.3</v>
      </c>
      <c r="S43" s="145">
        <f>O43*R43</f>
        <v>100170</v>
      </c>
      <c r="T43" s="44">
        <f t="shared" si="64"/>
        <v>8.6233303699735035E-3</v>
      </c>
      <c r="U43" s="46">
        <v>0.8</v>
      </c>
      <c r="V43" s="45">
        <f>X43*Y43</f>
        <v>636000</v>
      </c>
      <c r="W43" s="45">
        <f t="shared" ref="W43:W44" si="73">(1-U43)*V43</f>
        <v>127199.99999999997</v>
      </c>
      <c r="X43" s="45">
        <v>1590000</v>
      </c>
      <c r="Y43" s="46">
        <v>0.4</v>
      </c>
      <c r="Z43" s="51"/>
      <c r="AA43" s="46" t="e">
        <f>W43/Z43</f>
        <v>#DIV/0!</v>
      </c>
      <c r="AB43" s="47">
        <v>1.5</v>
      </c>
      <c r="AC43" s="202">
        <v>45475</v>
      </c>
      <c r="AD43" s="202">
        <f t="shared" ref="AD43:AD44" si="74">AC43+7</f>
        <v>45482</v>
      </c>
      <c r="AE43" s="374">
        <f t="shared" ref="AE43:AE44" si="75">AD43-AC43+1</f>
        <v>8</v>
      </c>
      <c r="AG43" s="795">
        <f>X43*40%</f>
        <v>636000</v>
      </c>
      <c r="AH43" s="796">
        <f>AB43</f>
        <v>1.5</v>
      </c>
      <c r="AI43" s="795">
        <f>AG43*AH43</f>
        <v>954000</v>
      </c>
      <c r="AJ43" s="795">
        <f>AI43*105/1000</f>
        <v>100170</v>
      </c>
      <c r="AK43" s="797"/>
      <c r="AL43" s="798"/>
      <c r="AM43" s="798"/>
      <c r="AN43" s="798"/>
      <c r="AO43" s="798"/>
      <c r="AP43" s="798"/>
      <c r="AQ43" s="798"/>
      <c r="AR43" s="798"/>
      <c r="AS43" s="798"/>
      <c r="AT43" s="798"/>
      <c r="AU43" s="798"/>
      <c r="AW43" s="244">
        <v>2.13</v>
      </c>
    </row>
    <row r="44" spans="1:153" s="244" customFormat="1">
      <c r="A44" s="155" t="s">
        <v>61</v>
      </c>
      <c r="B44" s="156" t="s">
        <v>127</v>
      </c>
      <c r="C44" s="156" t="s">
        <v>53</v>
      </c>
      <c r="D44" s="156" t="s">
        <v>128</v>
      </c>
      <c r="E44" s="155" t="s">
        <v>63</v>
      </c>
      <c r="F44" s="48" t="s">
        <v>70</v>
      </c>
      <c r="G44" s="157" t="s">
        <v>133</v>
      </c>
      <c r="H44" s="156" t="s">
        <v>134</v>
      </c>
      <c r="I44" s="48" t="s">
        <v>118</v>
      </c>
      <c r="J44" s="156" t="s">
        <v>132</v>
      </c>
      <c r="K44" s="45">
        <f>V44*AB44</f>
        <v>1272000</v>
      </c>
      <c r="L44" s="42">
        <v>4.0000000000000001E-3</v>
      </c>
      <c r="M44" s="43">
        <f>K44*L44</f>
        <v>5088</v>
      </c>
      <c r="N44" s="46">
        <v>0.85</v>
      </c>
      <c r="O44" s="43">
        <f>K44*N44</f>
        <v>1081200</v>
      </c>
      <c r="P44" s="158">
        <f>(S44*1000)/K44</f>
        <v>60</v>
      </c>
      <c r="Q44" s="158">
        <f t="shared" ref="Q44" si="76">S44/M44</f>
        <v>15</v>
      </c>
      <c r="R44" s="375">
        <v>60</v>
      </c>
      <c r="S44" s="145">
        <f>R44*K44/1000</f>
        <v>76320</v>
      </c>
      <c r="T44" s="44">
        <f t="shared" si="64"/>
        <v>6.5701564723607648E-3</v>
      </c>
      <c r="U44" s="46">
        <v>0.9</v>
      </c>
      <c r="V44" s="45">
        <f>X44*Y44</f>
        <v>636000</v>
      </c>
      <c r="W44" s="45">
        <f t="shared" si="73"/>
        <v>63599.999999999985</v>
      </c>
      <c r="X44" s="45">
        <v>1590000</v>
      </c>
      <c r="Y44" s="46">
        <v>0.4</v>
      </c>
      <c r="Z44" s="51"/>
      <c r="AA44" s="46" t="e">
        <f>W44/Z44</f>
        <v>#DIV/0!</v>
      </c>
      <c r="AB44" s="47">
        <v>2</v>
      </c>
      <c r="AC44" s="202">
        <v>45475</v>
      </c>
      <c r="AD44" s="202">
        <f t="shared" si="74"/>
        <v>45482</v>
      </c>
      <c r="AE44" s="374">
        <f t="shared" si="75"/>
        <v>8</v>
      </c>
      <c r="AG44" s="293">
        <f>X44*50%</f>
        <v>795000</v>
      </c>
      <c r="AH44" s="293">
        <v>2</v>
      </c>
      <c r="AI44" s="293">
        <f>AG44*AH44</f>
        <v>1590000</v>
      </c>
      <c r="AJ44" s="294">
        <f>AI44*60/1000</f>
        <v>95400</v>
      </c>
      <c r="AK44" s="620"/>
      <c r="AL44" s="293"/>
      <c r="AM44" s="293"/>
      <c r="AN44" s="293"/>
      <c r="AO44" s="293"/>
      <c r="AP44" s="293"/>
      <c r="AQ44" s="293"/>
      <c r="AR44" s="293"/>
      <c r="AS44" s="293"/>
      <c r="AT44" s="293"/>
      <c r="AU44" s="293"/>
      <c r="AW44" s="244">
        <v>2.13</v>
      </c>
    </row>
    <row r="45" spans="1:153">
      <c r="A45" s="101" t="s">
        <v>152</v>
      </c>
      <c r="B45" s="101"/>
      <c r="C45" s="101"/>
      <c r="D45" s="101"/>
      <c r="E45" s="101"/>
      <c r="F45" s="101"/>
      <c r="G45" s="101"/>
      <c r="H45" s="101"/>
      <c r="I45" s="101"/>
      <c r="J45" s="101"/>
      <c r="K45" s="103"/>
      <c r="L45" s="104"/>
      <c r="M45" s="105"/>
      <c r="N45" s="105"/>
      <c r="O45" s="105"/>
      <c r="P45" s="106"/>
      <c r="Q45" s="106"/>
      <c r="R45" s="107"/>
      <c r="S45" s="107"/>
      <c r="T45" s="44">
        <f t="shared" si="64"/>
        <v>0</v>
      </c>
      <c r="U45" s="108"/>
      <c r="V45" s="105"/>
      <c r="W45" s="105"/>
      <c r="X45" s="105"/>
      <c r="Y45" s="105"/>
      <c r="Z45" s="105"/>
      <c r="AA45" s="105"/>
      <c r="AB45" s="105"/>
      <c r="AC45" s="105"/>
      <c r="AD45" s="105"/>
      <c r="AE45" s="105"/>
    </row>
    <row r="46" spans="1:153" s="244" customFormat="1">
      <c r="A46" s="155" t="s">
        <v>61</v>
      </c>
      <c r="B46" s="156" t="s">
        <v>127</v>
      </c>
      <c r="C46" s="156" t="s">
        <v>52</v>
      </c>
      <c r="D46" s="156" t="s">
        <v>128</v>
      </c>
      <c r="E46" s="155" t="s">
        <v>63</v>
      </c>
      <c r="F46" s="168" t="s">
        <v>70</v>
      </c>
      <c r="G46" s="157" t="s">
        <v>129</v>
      </c>
      <c r="H46" s="155" t="s">
        <v>130</v>
      </c>
      <c r="I46" s="48" t="s">
        <v>131</v>
      </c>
      <c r="J46" s="156" t="s">
        <v>132</v>
      </c>
      <c r="K46" s="45">
        <f>V46*AB46</f>
        <v>429493.19999999995</v>
      </c>
      <c r="L46" s="42">
        <v>4.0000000000000001E-3</v>
      </c>
      <c r="M46" s="43">
        <f>K46*L46</f>
        <v>1717.9727999999998</v>
      </c>
      <c r="N46" s="46">
        <v>0.35</v>
      </c>
      <c r="O46" s="43">
        <f>N46*K46</f>
        <v>150322.61999999997</v>
      </c>
      <c r="P46" s="158">
        <f>S46/(K46/1000)</f>
        <v>104.99999999999999</v>
      </c>
      <c r="Q46" s="158">
        <f>S46/M46</f>
        <v>26.249999999999996</v>
      </c>
      <c r="R46" s="803">
        <v>0.3</v>
      </c>
      <c r="S46" s="145">
        <f>O46*R46</f>
        <v>45096.785999999986</v>
      </c>
      <c r="T46" s="44">
        <f t="shared" si="64"/>
        <v>3.8822450264749506E-3</v>
      </c>
      <c r="U46" s="46">
        <v>0.8</v>
      </c>
      <c r="V46" s="45">
        <f>X46*Y46</f>
        <v>286328.8</v>
      </c>
      <c r="W46" s="45">
        <f t="shared" ref="W46:W47" si="77">(1-U46)*V46</f>
        <v>57265.759999999987</v>
      </c>
      <c r="X46" s="45">
        <v>715822</v>
      </c>
      <c r="Y46" s="46">
        <v>0.4</v>
      </c>
      <c r="Z46" s="51"/>
      <c r="AA46" s="46" t="e">
        <f>W46/Z46</f>
        <v>#DIV/0!</v>
      </c>
      <c r="AB46" s="47">
        <v>1.5</v>
      </c>
      <c r="AC46" s="202">
        <v>45475</v>
      </c>
      <c r="AD46" s="202">
        <f t="shared" ref="AD46:AD47" si="78">AC46+7</f>
        <v>45482</v>
      </c>
      <c r="AE46" s="374">
        <f t="shared" ref="AE46:AE47" si="79">AD46-AC46+1</f>
        <v>8</v>
      </c>
      <c r="AG46" s="795">
        <f>X46*40%</f>
        <v>286328.8</v>
      </c>
      <c r="AH46" s="796">
        <f>AB46</f>
        <v>1.5</v>
      </c>
      <c r="AI46" s="795">
        <f>AG46*AH46</f>
        <v>429493.19999999995</v>
      </c>
      <c r="AJ46" s="795">
        <f>AI46*105/1000</f>
        <v>45096.785999999993</v>
      </c>
      <c r="AK46" s="797"/>
      <c r="AL46" s="798"/>
      <c r="AM46" s="798"/>
      <c r="AN46" s="798"/>
      <c r="AO46" s="798"/>
      <c r="AP46" s="798"/>
      <c r="AQ46" s="798"/>
      <c r="AR46" s="798"/>
      <c r="AS46" s="798"/>
      <c r="AT46" s="798"/>
      <c r="AU46" s="798"/>
      <c r="AW46" s="244">
        <v>2.13</v>
      </c>
    </row>
    <row r="47" spans="1:153" s="244" customFormat="1">
      <c r="A47" s="155" t="s">
        <v>61</v>
      </c>
      <c r="B47" s="156" t="s">
        <v>127</v>
      </c>
      <c r="C47" s="156" t="s">
        <v>52</v>
      </c>
      <c r="D47" s="156" t="s">
        <v>128</v>
      </c>
      <c r="E47" s="155" t="s">
        <v>63</v>
      </c>
      <c r="F47" s="48" t="s">
        <v>70</v>
      </c>
      <c r="G47" s="157" t="s">
        <v>133</v>
      </c>
      <c r="H47" s="156" t="s">
        <v>134</v>
      </c>
      <c r="I47" s="48" t="s">
        <v>118</v>
      </c>
      <c r="J47" s="156" t="s">
        <v>132</v>
      </c>
      <c r="K47" s="45">
        <f>V47*AB47</f>
        <v>572657.6</v>
      </c>
      <c r="L47" s="42">
        <v>4.0000000000000001E-3</v>
      </c>
      <c r="M47" s="43">
        <f>K47*L47</f>
        <v>2290.6304</v>
      </c>
      <c r="N47" s="46">
        <v>0.85</v>
      </c>
      <c r="O47" s="43">
        <f>K47*N47</f>
        <v>486758.95999999996</v>
      </c>
      <c r="P47" s="158">
        <f>(S47*1000)/K47</f>
        <v>60</v>
      </c>
      <c r="Q47" s="158">
        <f t="shared" ref="Q47" si="80">S47/M47</f>
        <v>15</v>
      </c>
      <c r="R47" s="375">
        <v>60</v>
      </c>
      <c r="S47" s="145">
        <f>R47*K47/1000</f>
        <v>34359.455999999998</v>
      </c>
      <c r="T47" s="44">
        <f t="shared" si="64"/>
        <v>2.9579009725523441E-3</v>
      </c>
      <c r="U47" s="46">
        <v>0.9</v>
      </c>
      <c r="V47" s="45">
        <f>X47*Y47</f>
        <v>286328.8</v>
      </c>
      <c r="W47" s="45">
        <f t="shared" si="77"/>
        <v>28632.879999999994</v>
      </c>
      <c r="X47" s="45">
        <v>715822</v>
      </c>
      <c r="Y47" s="46">
        <v>0.4</v>
      </c>
      <c r="Z47" s="51"/>
      <c r="AA47" s="46" t="e">
        <f>W47/Z47</f>
        <v>#DIV/0!</v>
      </c>
      <c r="AB47" s="47">
        <v>2</v>
      </c>
      <c r="AC47" s="202">
        <v>45475</v>
      </c>
      <c r="AD47" s="202">
        <f t="shared" si="78"/>
        <v>45482</v>
      </c>
      <c r="AE47" s="374">
        <f t="shared" si="79"/>
        <v>8</v>
      </c>
      <c r="AG47" s="293">
        <f>X47*50%</f>
        <v>357911</v>
      </c>
      <c r="AH47" s="293">
        <v>2</v>
      </c>
      <c r="AI47" s="293">
        <f>AG47*AH47</f>
        <v>715822</v>
      </c>
      <c r="AJ47" s="294">
        <f>AI47*60/1000</f>
        <v>42949.32</v>
      </c>
      <c r="AK47" s="620"/>
      <c r="AL47" s="293"/>
      <c r="AM47" s="293"/>
      <c r="AN47" s="293"/>
      <c r="AO47" s="293"/>
      <c r="AP47" s="293"/>
      <c r="AQ47" s="293"/>
      <c r="AR47" s="293"/>
      <c r="AS47" s="293"/>
      <c r="AT47" s="293"/>
      <c r="AU47" s="293"/>
      <c r="AW47" s="244">
        <v>2.13</v>
      </c>
    </row>
    <row r="48" spans="1:153">
      <c r="A48" s="101" t="s">
        <v>153</v>
      </c>
      <c r="B48" s="101"/>
      <c r="C48" s="101"/>
      <c r="D48" s="101"/>
      <c r="E48" s="101"/>
      <c r="F48" s="101"/>
      <c r="G48" s="101"/>
      <c r="H48" s="101"/>
      <c r="I48" s="101"/>
      <c r="J48" s="101"/>
      <c r="K48" s="103"/>
      <c r="L48" s="104"/>
      <c r="M48" s="105"/>
      <c r="N48" s="105"/>
      <c r="O48" s="105"/>
      <c r="P48" s="106"/>
      <c r="Q48" s="106"/>
      <c r="R48" s="107"/>
      <c r="S48" s="107"/>
      <c r="T48" s="44">
        <f t="shared" si="64"/>
        <v>0</v>
      </c>
      <c r="U48" s="108"/>
      <c r="V48" s="105"/>
      <c r="W48" s="105"/>
      <c r="X48" s="105"/>
      <c r="Y48" s="105"/>
      <c r="Z48" s="105"/>
      <c r="AA48" s="105"/>
      <c r="AB48" s="105"/>
      <c r="AC48" s="105"/>
      <c r="AD48" s="105"/>
      <c r="AE48" s="105"/>
    </row>
    <row r="49" spans="1:49" s="244" customFormat="1">
      <c r="A49" s="155" t="s">
        <v>61</v>
      </c>
      <c r="B49" s="156" t="s">
        <v>127</v>
      </c>
      <c r="C49" s="156" t="s">
        <v>54</v>
      </c>
      <c r="D49" s="156" t="s">
        <v>128</v>
      </c>
      <c r="E49" s="155" t="s">
        <v>63</v>
      </c>
      <c r="F49" s="168" t="s">
        <v>70</v>
      </c>
      <c r="G49" s="157" t="s">
        <v>129</v>
      </c>
      <c r="H49" s="155" t="s">
        <v>130</v>
      </c>
      <c r="I49" s="48" t="s">
        <v>131</v>
      </c>
      <c r="J49" s="156" t="s">
        <v>132</v>
      </c>
      <c r="K49" s="45">
        <f>V49*AB49</f>
        <v>182117.34</v>
      </c>
      <c r="L49" s="42">
        <v>4.0000000000000001E-3</v>
      </c>
      <c r="M49" s="43">
        <f>K49*L49</f>
        <v>728.46936000000005</v>
      </c>
      <c r="N49" s="46">
        <v>0.35</v>
      </c>
      <c r="O49" s="43">
        <f>N49*K49</f>
        <v>63741.068999999996</v>
      </c>
      <c r="P49" s="158">
        <f>S49/(K49/1000)</f>
        <v>104.99999999999999</v>
      </c>
      <c r="Q49" s="158">
        <f>S49/M49</f>
        <v>26.249999999999993</v>
      </c>
      <c r="R49" s="803">
        <v>0.3</v>
      </c>
      <c r="S49" s="145">
        <f>O49*R49</f>
        <v>19122.320699999997</v>
      </c>
      <c r="T49" s="44">
        <f t="shared" si="64"/>
        <v>1.6461823783236794E-3</v>
      </c>
      <c r="U49" s="46">
        <v>0.8</v>
      </c>
      <c r="V49" s="45">
        <f>X49*Y49</f>
        <v>121411.56</v>
      </c>
      <c r="W49" s="45">
        <f t="shared" ref="W49:W50" si="81">(1-U49)*V49</f>
        <v>24282.311999999994</v>
      </c>
      <c r="X49" s="45">
        <v>303528.89999999997</v>
      </c>
      <c r="Y49" s="46">
        <v>0.4</v>
      </c>
      <c r="Z49" s="51"/>
      <c r="AA49" s="46" t="e">
        <f>W49/Z49</f>
        <v>#DIV/0!</v>
      </c>
      <c r="AB49" s="47">
        <v>1.5</v>
      </c>
      <c r="AC49" s="202">
        <v>45475</v>
      </c>
      <c r="AD49" s="202">
        <f t="shared" ref="AD49:AD50" si="82">AC49+7</f>
        <v>45482</v>
      </c>
      <c r="AE49" s="374">
        <f t="shared" ref="AE49:AE50" si="83">AD49-AC49+1</f>
        <v>8</v>
      </c>
      <c r="AG49" s="795">
        <f>X49*40%</f>
        <v>121411.56</v>
      </c>
      <c r="AH49" s="796">
        <f>AB49</f>
        <v>1.5</v>
      </c>
      <c r="AI49" s="795">
        <f>AG49*AH49</f>
        <v>182117.34</v>
      </c>
      <c r="AJ49" s="795">
        <f>AI49*105/1000</f>
        <v>19122.3207</v>
      </c>
      <c r="AK49" s="797"/>
      <c r="AL49" s="798"/>
      <c r="AM49" s="798"/>
      <c r="AN49" s="798"/>
      <c r="AO49" s="798"/>
      <c r="AP49" s="798"/>
      <c r="AQ49" s="798"/>
      <c r="AR49" s="798"/>
      <c r="AS49" s="798"/>
      <c r="AT49" s="798"/>
      <c r="AU49" s="798"/>
      <c r="AW49" s="244">
        <v>2.13</v>
      </c>
    </row>
    <row r="50" spans="1:49" s="244" customFormat="1">
      <c r="A50" s="155" t="s">
        <v>61</v>
      </c>
      <c r="B50" s="156" t="s">
        <v>127</v>
      </c>
      <c r="C50" s="156" t="s">
        <v>54</v>
      </c>
      <c r="D50" s="156" t="s">
        <v>128</v>
      </c>
      <c r="E50" s="155" t="s">
        <v>63</v>
      </c>
      <c r="F50" s="48" t="s">
        <v>70</v>
      </c>
      <c r="G50" s="157" t="s">
        <v>133</v>
      </c>
      <c r="H50" s="156" t="s">
        <v>134</v>
      </c>
      <c r="I50" s="48" t="s">
        <v>118</v>
      </c>
      <c r="J50" s="156" t="s">
        <v>132</v>
      </c>
      <c r="K50" s="45">
        <f>V50*AB50</f>
        <v>242823.12</v>
      </c>
      <c r="L50" s="42">
        <v>4.0000000000000001E-3</v>
      </c>
      <c r="M50" s="43">
        <f>K50*L50</f>
        <v>971.29247999999995</v>
      </c>
      <c r="N50" s="46">
        <v>0.85</v>
      </c>
      <c r="O50" s="43">
        <f>K50*N50</f>
        <v>206399.652</v>
      </c>
      <c r="P50" s="158">
        <f>(S50*1000)/K50</f>
        <v>60</v>
      </c>
      <c r="Q50" s="158">
        <f t="shared" ref="Q50" si="84">S50/M50</f>
        <v>15</v>
      </c>
      <c r="R50" s="375">
        <v>60</v>
      </c>
      <c r="S50" s="145">
        <f>R50*K50/1000</f>
        <v>14569.387199999999</v>
      </c>
      <c r="T50" s="44">
        <f t="shared" si="64"/>
        <v>1.2542341930085177E-3</v>
      </c>
      <c r="U50" s="46">
        <v>0.9</v>
      </c>
      <c r="V50" s="45">
        <f>X50*Y50</f>
        <v>121411.56</v>
      </c>
      <c r="W50" s="45">
        <f t="shared" si="81"/>
        <v>12141.155999999997</v>
      </c>
      <c r="X50" s="45">
        <v>303528.89999999997</v>
      </c>
      <c r="Y50" s="46">
        <v>0.4</v>
      </c>
      <c r="Z50" s="51"/>
      <c r="AA50" s="46" t="e">
        <f>W50/Z50</f>
        <v>#DIV/0!</v>
      </c>
      <c r="AB50" s="47">
        <v>2</v>
      </c>
      <c r="AC50" s="202">
        <v>45475</v>
      </c>
      <c r="AD50" s="202">
        <f t="shared" si="82"/>
        <v>45482</v>
      </c>
      <c r="AE50" s="374">
        <f t="shared" si="83"/>
        <v>8</v>
      </c>
      <c r="AG50" s="293">
        <f>X50*50%</f>
        <v>151764.44999999998</v>
      </c>
      <c r="AH50" s="293">
        <v>2</v>
      </c>
      <c r="AI50" s="293">
        <f>AG50*AH50</f>
        <v>303528.89999999997</v>
      </c>
      <c r="AJ50" s="294">
        <f>AI50*60/1000</f>
        <v>18211.733999999997</v>
      </c>
      <c r="AK50" s="620"/>
      <c r="AL50" s="293"/>
      <c r="AM50" s="293"/>
      <c r="AN50" s="293"/>
      <c r="AO50" s="293"/>
      <c r="AP50" s="293"/>
      <c r="AQ50" s="293"/>
      <c r="AR50" s="293"/>
      <c r="AS50" s="293"/>
      <c r="AT50" s="293"/>
      <c r="AU50" s="293"/>
      <c r="AW50" s="244">
        <v>2.13</v>
      </c>
    </row>
    <row r="51" spans="1:49">
      <c r="A51" s="211" t="s">
        <v>57</v>
      </c>
      <c r="B51" s="211"/>
      <c r="C51" s="211"/>
      <c r="D51" s="211"/>
      <c r="E51" s="211"/>
      <c r="F51" s="211"/>
      <c r="G51" s="211"/>
      <c r="H51" s="211"/>
      <c r="I51" s="211"/>
      <c r="J51" s="211"/>
      <c r="K51" s="213"/>
      <c r="L51" s="214"/>
      <c r="M51" s="210"/>
      <c r="N51" s="210"/>
      <c r="O51" s="210"/>
      <c r="P51" s="215"/>
      <c r="Q51" s="215"/>
      <c r="R51" s="154"/>
      <c r="S51" s="107"/>
      <c r="T51" s="44">
        <f t="shared" si="64"/>
        <v>0</v>
      </c>
      <c r="U51" s="108"/>
      <c r="V51" s="210"/>
      <c r="W51" s="210"/>
      <c r="X51" s="105"/>
      <c r="Y51" s="105"/>
      <c r="Z51" s="105"/>
      <c r="AA51" s="105"/>
      <c r="AB51" s="105"/>
      <c r="AC51" s="105"/>
      <c r="AD51" s="105"/>
      <c r="AE51" s="105"/>
      <c r="AK51" s="293"/>
    </row>
    <row r="52" spans="1:49" s="244" customFormat="1">
      <c r="A52" s="155" t="s">
        <v>61</v>
      </c>
      <c r="B52" s="156" t="s">
        <v>154</v>
      </c>
      <c r="C52" s="156" t="s">
        <v>62</v>
      </c>
      <c r="D52" s="156" t="s">
        <v>128</v>
      </c>
      <c r="E52" s="155" t="s">
        <v>63</v>
      </c>
      <c r="F52" s="168" t="s">
        <v>64</v>
      </c>
      <c r="G52" s="169" t="s">
        <v>155</v>
      </c>
      <c r="H52" s="155" t="s">
        <v>130</v>
      </c>
      <c r="I52" s="48" t="s">
        <v>118</v>
      </c>
      <c r="J52" s="156" t="s">
        <v>156</v>
      </c>
      <c r="K52" s="45">
        <f>V52*AB52</f>
        <v>4760000</v>
      </c>
      <c r="L52" s="42">
        <v>0</v>
      </c>
      <c r="M52" s="43">
        <f>K52*L52</f>
        <v>0</v>
      </c>
      <c r="N52" s="46">
        <v>0.2</v>
      </c>
      <c r="O52" s="43">
        <f>K52*N52</f>
        <v>952000</v>
      </c>
      <c r="P52" s="158">
        <f>S52/(K52/1000)</f>
        <v>150</v>
      </c>
      <c r="Q52" s="159" t="e">
        <f>S52/M52</f>
        <v>#DIV/0!</v>
      </c>
      <c r="R52" s="375">
        <v>150</v>
      </c>
      <c r="S52" s="145">
        <f>R52*K52/1000</f>
        <v>714000</v>
      </c>
      <c r="T52" s="44">
        <f t="shared" si="64"/>
        <v>6.1466086494570048E-2</v>
      </c>
      <c r="U52" s="46">
        <v>1</v>
      </c>
      <c r="V52" s="45">
        <f>X52*Y52</f>
        <v>2380000</v>
      </c>
      <c r="W52" s="45">
        <f t="shared" ref="W52:W59" si="85">(1-U52)*V52</f>
        <v>0</v>
      </c>
      <c r="X52" s="45">
        <v>17000000</v>
      </c>
      <c r="Y52" s="46">
        <v>0.14000000000000001</v>
      </c>
      <c r="Z52" s="51"/>
      <c r="AA52" s="44" t="e">
        <f t="shared" ref="AA52:AA59" si="86">W52/Z52</f>
        <v>#DIV/0!</v>
      </c>
      <c r="AB52" s="47">
        <v>2</v>
      </c>
      <c r="AC52" s="202">
        <v>45475</v>
      </c>
      <c r="AD52" s="202">
        <f t="shared" ref="AD52:AD59" si="87">AC52+7</f>
        <v>45482</v>
      </c>
      <c r="AE52" s="374">
        <f t="shared" ref="AE52:AE59" si="88">AD52-AC52+1</f>
        <v>8</v>
      </c>
      <c r="AG52" s="798">
        <f>X52*10%</f>
        <v>1700000</v>
      </c>
      <c r="AH52" s="798">
        <v>1.5</v>
      </c>
      <c r="AI52" s="795">
        <f>AG52*AH52</f>
        <v>2550000</v>
      </c>
      <c r="AJ52" s="795">
        <f t="shared" ref="AJ52:AJ59" si="89">AI52*R52/1000</f>
        <v>382500</v>
      </c>
      <c r="AK52" s="797"/>
      <c r="AL52" s="798"/>
      <c r="AM52" s="798"/>
      <c r="AN52" s="798"/>
      <c r="AO52" s="798"/>
      <c r="AP52" s="798"/>
      <c r="AQ52" s="798"/>
      <c r="AR52" s="798"/>
      <c r="AS52" s="798"/>
      <c r="AT52" s="798"/>
      <c r="AU52" s="798"/>
      <c r="AW52" s="244">
        <v>2.13</v>
      </c>
    </row>
    <row r="53" spans="1:49" s="244" customFormat="1">
      <c r="A53" s="155" t="s">
        <v>61</v>
      </c>
      <c r="B53" s="156" t="s">
        <v>154</v>
      </c>
      <c r="C53" s="156" t="s">
        <v>62</v>
      </c>
      <c r="D53" s="156" t="s">
        <v>128</v>
      </c>
      <c r="E53" s="155" t="s">
        <v>63</v>
      </c>
      <c r="F53" s="168" t="s">
        <v>64</v>
      </c>
      <c r="G53" s="157" t="s">
        <v>133</v>
      </c>
      <c r="H53" s="156" t="s">
        <v>134</v>
      </c>
      <c r="I53" s="48" t="s">
        <v>118</v>
      </c>
      <c r="J53" s="156" t="s">
        <v>156</v>
      </c>
      <c r="K53" s="45">
        <f t="shared" ref="K53:K61" si="90">V53*AB53</f>
        <v>4760000</v>
      </c>
      <c r="L53" s="42">
        <v>0</v>
      </c>
      <c r="M53" s="43">
        <f t="shared" ref="M53:M55" si="91">K53*L53</f>
        <v>0</v>
      </c>
      <c r="N53" s="46">
        <v>0.85</v>
      </c>
      <c r="O53" s="43">
        <f t="shared" ref="O53:O55" si="92">K53*N53</f>
        <v>4046000</v>
      </c>
      <c r="P53" s="158">
        <f t="shared" ref="P53:P59" si="93">S53/(K53/1000)</f>
        <v>110</v>
      </c>
      <c r="Q53" s="159" t="e">
        <f t="shared" ref="Q53:Q55" si="94">S53/M53</f>
        <v>#DIV/0!</v>
      </c>
      <c r="R53" s="375">
        <v>110</v>
      </c>
      <c r="S53" s="145">
        <f t="shared" ref="S53:S59" si="95">R53*K53/1000</f>
        <v>523600</v>
      </c>
      <c r="T53" s="44">
        <f t="shared" ref="T53:T63" si="96">S53/$S$70</f>
        <v>4.5075130096018032E-2</v>
      </c>
      <c r="U53" s="46">
        <v>1</v>
      </c>
      <c r="V53" s="45">
        <f t="shared" ref="V53:V55" si="97">X53*Y53</f>
        <v>2380000</v>
      </c>
      <c r="W53" s="45">
        <f t="shared" si="85"/>
        <v>0</v>
      </c>
      <c r="X53" s="45">
        <v>17000000</v>
      </c>
      <c r="Y53" s="46">
        <v>0.14000000000000001</v>
      </c>
      <c r="Z53" s="51"/>
      <c r="AA53" s="44" t="e">
        <f t="shared" si="86"/>
        <v>#DIV/0!</v>
      </c>
      <c r="AB53" s="47">
        <v>2</v>
      </c>
      <c r="AC53" s="202">
        <v>45475</v>
      </c>
      <c r="AD53" s="202">
        <f t="shared" si="87"/>
        <v>45482</v>
      </c>
      <c r="AE53" s="374">
        <f t="shared" si="88"/>
        <v>8</v>
      </c>
      <c r="AG53" s="293">
        <f>X53*10%</f>
        <v>1700000</v>
      </c>
      <c r="AH53" s="293">
        <v>2</v>
      </c>
      <c r="AI53" s="293">
        <f>AH53*AG53</f>
        <v>3400000</v>
      </c>
      <c r="AJ53" s="294">
        <f t="shared" si="89"/>
        <v>374000</v>
      </c>
      <c r="AK53" s="620"/>
      <c r="AL53" s="293"/>
      <c r="AM53" s="293"/>
      <c r="AN53" s="293"/>
      <c r="AO53" s="293"/>
      <c r="AP53" s="293"/>
      <c r="AQ53" s="293"/>
      <c r="AR53" s="293"/>
      <c r="AS53" s="293"/>
      <c r="AT53" s="293"/>
      <c r="AU53" s="293"/>
      <c r="AW53" s="244">
        <v>2.13</v>
      </c>
    </row>
    <row r="54" spans="1:49" s="244" customFormat="1">
      <c r="A54" s="155" t="s">
        <v>61</v>
      </c>
      <c r="B54" s="156" t="s">
        <v>154</v>
      </c>
      <c r="C54" s="156" t="s">
        <v>67</v>
      </c>
      <c r="D54" s="156" t="s">
        <v>128</v>
      </c>
      <c r="E54" s="155" t="s">
        <v>63</v>
      </c>
      <c r="F54" s="168" t="s">
        <v>64</v>
      </c>
      <c r="G54" s="169" t="s">
        <v>155</v>
      </c>
      <c r="H54" s="155" t="s">
        <v>130</v>
      </c>
      <c r="I54" s="48" t="s">
        <v>118</v>
      </c>
      <c r="J54" s="156" t="s">
        <v>157</v>
      </c>
      <c r="K54" s="45">
        <f t="shared" si="90"/>
        <v>1659705.068</v>
      </c>
      <c r="L54" s="42">
        <v>0</v>
      </c>
      <c r="M54" s="43">
        <f t="shared" si="91"/>
        <v>0</v>
      </c>
      <c r="N54" s="46">
        <v>0.2</v>
      </c>
      <c r="O54" s="43">
        <f t="shared" si="92"/>
        <v>331941.01360000001</v>
      </c>
      <c r="P54" s="158">
        <f t="shared" si="93"/>
        <v>150</v>
      </c>
      <c r="Q54" s="159" t="e">
        <f t="shared" si="94"/>
        <v>#DIV/0!</v>
      </c>
      <c r="R54" s="375">
        <v>150</v>
      </c>
      <c r="S54" s="145">
        <f t="shared" si="95"/>
        <v>248955.76019999999</v>
      </c>
      <c r="T54" s="44">
        <f t="shared" si="96"/>
        <v>2.1431843543101736E-2</v>
      </c>
      <c r="U54" s="46">
        <v>1</v>
      </c>
      <c r="V54" s="45">
        <f t="shared" si="97"/>
        <v>829852.53399999999</v>
      </c>
      <c r="W54" s="45">
        <f t="shared" si="85"/>
        <v>0</v>
      </c>
      <c r="X54" s="45">
        <v>5927518.0999999996</v>
      </c>
      <c r="Y54" s="46">
        <v>0.14000000000000001</v>
      </c>
      <c r="Z54" s="46"/>
      <c r="AA54" s="44" t="e">
        <f t="shared" si="86"/>
        <v>#DIV/0!</v>
      </c>
      <c r="AB54" s="47">
        <v>2</v>
      </c>
      <c r="AC54" s="202">
        <v>45475</v>
      </c>
      <c r="AD54" s="202">
        <f t="shared" si="87"/>
        <v>45482</v>
      </c>
      <c r="AE54" s="374">
        <f t="shared" si="88"/>
        <v>8</v>
      </c>
      <c r="AG54" s="798">
        <f>X54*10%</f>
        <v>592751.80999999994</v>
      </c>
      <c r="AH54" s="798">
        <v>1.5</v>
      </c>
      <c r="AI54" s="795">
        <f>AG54*AH54</f>
        <v>889127.71499999985</v>
      </c>
      <c r="AJ54" s="795">
        <f t="shared" si="89"/>
        <v>133369.15724999996</v>
      </c>
      <c r="AK54" s="797"/>
      <c r="AL54" s="798"/>
      <c r="AM54" s="798"/>
      <c r="AN54" s="798"/>
      <c r="AO54" s="798"/>
      <c r="AP54" s="798"/>
      <c r="AQ54" s="798"/>
      <c r="AR54" s="798"/>
      <c r="AS54" s="798"/>
      <c r="AT54" s="798"/>
      <c r="AU54" s="798"/>
      <c r="AW54" s="244">
        <v>2.13</v>
      </c>
    </row>
    <row r="55" spans="1:49" s="244" customFormat="1">
      <c r="A55" s="155" t="s">
        <v>61</v>
      </c>
      <c r="B55" s="156" t="s">
        <v>154</v>
      </c>
      <c r="C55" s="156" t="s">
        <v>67</v>
      </c>
      <c r="D55" s="156" t="s">
        <v>128</v>
      </c>
      <c r="E55" s="155" t="s">
        <v>63</v>
      </c>
      <c r="F55" s="168" t="s">
        <v>64</v>
      </c>
      <c r="G55" s="157" t="s">
        <v>133</v>
      </c>
      <c r="H55" s="156" t="s">
        <v>134</v>
      </c>
      <c r="I55" s="48" t="s">
        <v>118</v>
      </c>
      <c r="J55" s="156" t="s">
        <v>157</v>
      </c>
      <c r="K55" s="45">
        <f t="shared" si="90"/>
        <v>1659705.068</v>
      </c>
      <c r="L55" s="42">
        <v>0</v>
      </c>
      <c r="M55" s="43">
        <f t="shared" si="91"/>
        <v>0</v>
      </c>
      <c r="N55" s="46">
        <v>0.85</v>
      </c>
      <c r="O55" s="43">
        <f t="shared" si="92"/>
        <v>1410749.3077999998</v>
      </c>
      <c r="P55" s="158">
        <f t="shared" si="93"/>
        <v>110</v>
      </c>
      <c r="Q55" s="159" t="e">
        <f t="shared" si="94"/>
        <v>#DIV/0!</v>
      </c>
      <c r="R55" s="375">
        <v>110</v>
      </c>
      <c r="S55" s="145">
        <f t="shared" si="95"/>
        <v>182567.55747999999</v>
      </c>
      <c r="T55" s="44">
        <f t="shared" si="96"/>
        <v>1.5716685264941271E-2</v>
      </c>
      <c r="U55" s="46">
        <v>1</v>
      </c>
      <c r="V55" s="45">
        <f t="shared" si="97"/>
        <v>829852.53399999999</v>
      </c>
      <c r="W55" s="45">
        <f t="shared" si="85"/>
        <v>0</v>
      </c>
      <c r="X55" s="45">
        <v>5927518.0999999996</v>
      </c>
      <c r="Y55" s="46">
        <v>0.14000000000000001</v>
      </c>
      <c r="Z55" s="51"/>
      <c r="AA55" s="44" t="e">
        <f t="shared" si="86"/>
        <v>#DIV/0!</v>
      </c>
      <c r="AB55" s="47">
        <v>2</v>
      </c>
      <c r="AC55" s="202">
        <v>45475</v>
      </c>
      <c r="AD55" s="202">
        <f t="shared" si="87"/>
        <v>45482</v>
      </c>
      <c r="AE55" s="374">
        <f t="shared" si="88"/>
        <v>8</v>
      </c>
      <c r="AG55" s="293">
        <f>X55*10%</f>
        <v>592751.80999999994</v>
      </c>
      <c r="AH55" s="293">
        <v>2</v>
      </c>
      <c r="AI55" s="293">
        <f>AH55*AG55</f>
        <v>1185503.6199999999</v>
      </c>
      <c r="AJ55" s="294">
        <f t="shared" si="89"/>
        <v>130405.39819999998</v>
      </c>
      <c r="AK55" s="620"/>
      <c r="AL55" s="293"/>
      <c r="AM55" s="293"/>
      <c r="AN55" s="293"/>
      <c r="AO55" s="293"/>
      <c r="AP55" s="293"/>
      <c r="AQ55" s="293"/>
      <c r="AR55" s="293"/>
      <c r="AS55" s="293"/>
      <c r="AT55" s="293"/>
      <c r="AU55" s="293"/>
      <c r="AW55" s="244">
        <v>2.13</v>
      </c>
    </row>
    <row r="56" spans="1:49" s="244" customFormat="1">
      <c r="A56" s="155" t="s">
        <v>61</v>
      </c>
      <c r="B56" s="156" t="s">
        <v>154</v>
      </c>
      <c r="C56" s="156" t="s">
        <v>62</v>
      </c>
      <c r="D56" s="156" t="s">
        <v>128</v>
      </c>
      <c r="E56" s="155" t="s">
        <v>135</v>
      </c>
      <c r="F56" s="168" t="s">
        <v>64</v>
      </c>
      <c r="G56" s="157" t="s">
        <v>136</v>
      </c>
      <c r="H56" s="155" t="s">
        <v>137</v>
      </c>
      <c r="I56" s="48" t="s">
        <v>118</v>
      </c>
      <c r="J56" s="156" t="s">
        <v>158</v>
      </c>
      <c r="K56" s="45">
        <f>V56*AB56</f>
        <v>1260000.0000000002</v>
      </c>
      <c r="L56" s="42">
        <v>0</v>
      </c>
      <c r="M56" s="43">
        <v>0</v>
      </c>
      <c r="N56" s="46">
        <v>0.85</v>
      </c>
      <c r="O56" s="43">
        <f>K56*N56</f>
        <v>1071000.0000000002</v>
      </c>
      <c r="P56" s="158">
        <f t="shared" si="93"/>
        <v>337.5</v>
      </c>
      <c r="Q56" s="159" t="e">
        <v>#DIV/0!</v>
      </c>
      <c r="R56" s="375">
        <v>337.5</v>
      </c>
      <c r="S56" s="158">
        <f>R56*K56/1000</f>
        <v>425250.00000000006</v>
      </c>
      <c r="T56" s="44">
        <f t="shared" si="96"/>
        <v>3.6608477985736576E-2</v>
      </c>
      <c r="U56" s="46">
        <v>1</v>
      </c>
      <c r="V56" s="45">
        <f>X56*Y56</f>
        <v>630000.00000000012</v>
      </c>
      <c r="W56" s="45">
        <f>(1-U56)*V56</f>
        <v>0</v>
      </c>
      <c r="X56" s="45">
        <v>4500000</v>
      </c>
      <c r="Y56" s="46">
        <v>0.14000000000000001</v>
      </c>
      <c r="Z56" s="51"/>
      <c r="AA56" s="44" t="e">
        <v>#DIV/0!</v>
      </c>
      <c r="AB56" s="47">
        <v>2</v>
      </c>
      <c r="AC56" s="202">
        <v>45475</v>
      </c>
      <c r="AD56" s="202">
        <f t="shared" si="87"/>
        <v>45482</v>
      </c>
      <c r="AE56" s="374">
        <f t="shared" si="88"/>
        <v>8</v>
      </c>
      <c r="AG56" s="293">
        <v>592751.80999999994</v>
      </c>
      <c r="AH56" s="293">
        <v>1.5</v>
      </c>
      <c r="AI56" s="294">
        <v>889127.71499999985</v>
      </c>
      <c r="AJ56" s="294">
        <v>133369.15724999996</v>
      </c>
      <c r="AK56" s="620"/>
      <c r="AL56" s="293"/>
      <c r="AM56" s="293"/>
      <c r="AN56" s="293"/>
      <c r="AO56" s="293"/>
      <c r="AP56" s="293"/>
      <c r="AQ56" s="293"/>
      <c r="AR56" s="293"/>
      <c r="AS56" s="293"/>
      <c r="AT56" s="293"/>
      <c r="AU56" s="293"/>
      <c r="AW56" s="244">
        <v>2.13</v>
      </c>
    </row>
    <row r="57" spans="1:49" s="244" customFormat="1">
      <c r="A57" s="155" t="s">
        <v>61</v>
      </c>
      <c r="B57" s="156" t="s">
        <v>154</v>
      </c>
      <c r="C57" s="156" t="s">
        <v>67</v>
      </c>
      <c r="D57" s="156" t="s">
        <v>128</v>
      </c>
      <c r="E57" s="155" t="s">
        <v>135</v>
      </c>
      <c r="F57" s="168" t="s">
        <v>64</v>
      </c>
      <c r="G57" s="157" t="s">
        <v>136</v>
      </c>
      <c r="H57" s="155" t="s">
        <v>137</v>
      </c>
      <c r="I57" s="48" t="s">
        <v>118</v>
      </c>
      <c r="J57" s="156" t="s">
        <v>158</v>
      </c>
      <c r="K57" s="45">
        <f>V57*AB57</f>
        <v>1260000.0000000002</v>
      </c>
      <c r="L57" s="42">
        <v>0</v>
      </c>
      <c r="M57" s="43">
        <v>0</v>
      </c>
      <c r="N57" s="46">
        <v>0.85</v>
      </c>
      <c r="O57" s="43">
        <f>K57*N57</f>
        <v>1071000.0000000002</v>
      </c>
      <c r="P57" s="158">
        <f t="shared" si="93"/>
        <v>337.5</v>
      </c>
      <c r="Q57" s="159" t="e">
        <v>#DIV/0!</v>
      </c>
      <c r="R57" s="375">
        <v>337.5</v>
      </c>
      <c r="S57" s="158">
        <f>R57*K57/1000</f>
        <v>425250.00000000006</v>
      </c>
      <c r="T57" s="44">
        <f t="shared" si="96"/>
        <v>3.6608477985736576E-2</v>
      </c>
      <c r="U57" s="46">
        <v>1</v>
      </c>
      <c r="V57" s="45">
        <f>X57*Y57</f>
        <v>630000.00000000012</v>
      </c>
      <c r="W57" s="45">
        <f>(1-U57)*V57</f>
        <v>0</v>
      </c>
      <c r="X57" s="45">
        <v>4500000</v>
      </c>
      <c r="Y57" s="46">
        <v>0.14000000000000001</v>
      </c>
      <c r="Z57" s="51"/>
      <c r="AA57" s="44" t="e">
        <v>#DIV/0!</v>
      </c>
      <c r="AB57" s="47">
        <v>2</v>
      </c>
      <c r="AC57" s="202">
        <v>45475</v>
      </c>
      <c r="AD57" s="202">
        <f t="shared" si="87"/>
        <v>45482</v>
      </c>
      <c r="AE57" s="374">
        <f t="shared" si="88"/>
        <v>8</v>
      </c>
      <c r="AG57" s="293">
        <v>592751.80999999994</v>
      </c>
      <c r="AH57" s="293">
        <v>1.5</v>
      </c>
      <c r="AI57" s="294">
        <v>889127.71499999985</v>
      </c>
      <c r="AJ57" s="294">
        <v>133369.15724999996</v>
      </c>
      <c r="AK57" s="620"/>
      <c r="AL57" s="293"/>
      <c r="AM57" s="293"/>
      <c r="AN57" s="293"/>
      <c r="AO57" s="293"/>
      <c r="AP57" s="293"/>
      <c r="AQ57" s="293"/>
      <c r="AR57" s="293"/>
      <c r="AS57" s="293"/>
      <c r="AT57" s="293"/>
      <c r="AU57" s="293"/>
      <c r="AW57" s="244">
        <v>2.13</v>
      </c>
    </row>
    <row r="58" spans="1:49" s="244" customFormat="1">
      <c r="A58" s="155" t="s">
        <v>61</v>
      </c>
      <c r="B58" s="156" t="s">
        <v>154</v>
      </c>
      <c r="C58" s="156" t="s">
        <v>62</v>
      </c>
      <c r="D58" s="156" t="s">
        <v>128</v>
      </c>
      <c r="E58" s="155" t="s">
        <v>135</v>
      </c>
      <c r="F58" s="168" t="s">
        <v>64</v>
      </c>
      <c r="G58" s="157" t="s">
        <v>136</v>
      </c>
      <c r="H58" s="156" t="s">
        <v>159</v>
      </c>
      <c r="I58" s="48" t="s">
        <v>118</v>
      </c>
      <c r="J58" s="156" t="s">
        <v>158</v>
      </c>
      <c r="K58" s="45">
        <f t="shared" si="90"/>
        <v>2520000.0000000005</v>
      </c>
      <c r="L58" s="42">
        <v>0</v>
      </c>
      <c r="M58" s="43">
        <f t="shared" ref="M58:M59" si="98">K58*L58</f>
        <v>0</v>
      </c>
      <c r="N58" s="46">
        <v>0.85</v>
      </c>
      <c r="O58" s="43">
        <f t="shared" ref="O58:O59" si="99">K58*N58</f>
        <v>2142000.0000000005</v>
      </c>
      <c r="P58" s="158">
        <f t="shared" si="93"/>
        <v>170</v>
      </c>
      <c r="Q58" s="159" t="e">
        <f t="shared" ref="Q58:Q59" si="100">S58/M58</f>
        <v>#DIV/0!</v>
      </c>
      <c r="R58" s="375">
        <v>170</v>
      </c>
      <c r="S58" s="158">
        <f t="shared" si="95"/>
        <v>428400.00000000006</v>
      </c>
      <c r="T58" s="44">
        <f t="shared" si="96"/>
        <v>3.6879651896742034E-2</v>
      </c>
      <c r="U58" s="46">
        <v>1</v>
      </c>
      <c r="V58" s="45">
        <f t="shared" ref="V58:V59" si="101">Y58*X58</f>
        <v>1680000.0000000002</v>
      </c>
      <c r="W58" s="45">
        <f t="shared" si="85"/>
        <v>0</v>
      </c>
      <c r="X58" s="45">
        <v>12000000</v>
      </c>
      <c r="Y58" s="46">
        <v>0.14000000000000001</v>
      </c>
      <c r="Z58" s="51"/>
      <c r="AA58" s="44" t="e">
        <f t="shared" si="86"/>
        <v>#DIV/0!</v>
      </c>
      <c r="AB58" s="47">
        <v>1.5</v>
      </c>
      <c r="AC58" s="202">
        <v>45475</v>
      </c>
      <c r="AD58" s="202">
        <f t="shared" si="87"/>
        <v>45482</v>
      </c>
      <c r="AE58" s="374">
        <f t="shared" si="88"/>
        <v>8</v>
      </c>
      <c r="AG58" s="293">
        <f>X58*15%</f>
        <v>1800000</v>
      </c>
      <c r="AH58" s="525">
        <f>AB58</f>
        <v>1.5</v>
      </c>
      <c r="AI58" s="293">
        <f>AH58*AG58</f>
        <v>2700000</v>
      </c>
      <c r="AJ58" s="294">
        <f t="shared" si="89"/>
        <v>459000</v>
      </c>
      <c r="AK58" s="360"/>
      <c r="AL58" s="293"/>
      <c r="AM58" s="293"/>
      <c r="AN58" s="293"/>
      <c r="AO58" s="293"/>
      <c r="AP58" s="293"/>
      <c r="AQ58" s="293"/>
      <c r="AR58" s="293"/>
      <c r="AS58" s="293"/>
      <c r="AT58" s="293"/>
      <c r="AU58" s="293"/>
      <c r="AV58" s="244" t="s">
        <v>139</v>
      </c>
      <c r="AW58" s="244">
        <v>6.2</v>
      </c>
    </row>
    <row r="59" spans="1:49" s="244" customFormat="1">
      <c r="A59" s="155" t="s">
        <v>61</v>
      </c>
      <c r="B59" s="156" t="s">
        <v>154</v>
      </c>
      <c r="C59" s="156" t="s">
        <v>67</v>
      </c>
      <c r="D59" s="156" t="s">
        <v>128</v>
      </c>
      <c r="E59" s="155" t="s">
        <v>135</v>
      </c>
      <c r="F59" s="168" t="s">
        <v>64</v>
      </c>
      <c r="G59" s="157" t="s">
        <v>136</v>
      </c>
      <c r="H59" s="156" t="s">
        <v>159</v>
      </c>
      <c r="I59" s="48" t="s">
        <v>118</v>
      </c>
      <c r="J59" s="156" t="s">
        <v>158</v>
      </c>
      <c r="K59" s="45">
        <f t="shared" si="90"/>
        <v>840000</v>
      </c>
      <c r="L59" s="42">
        <v>0</v>
      </c>
      <c r="M59" s="43">
        <f t="shared" si="98"/>
        <v>0</v>
      </c>
      <c r="N59" s="46">
        <v>0.85</v>
      </c>
      <c r="O59" s="43">
        <f t="shared" si="99"/>
        <v>714000</v>
      </c>
      <c r="P59" s="158">
        <f t="shared" si="93"/>
        <v>170</v>
      </c>
      <c r="Q59" s="159" t="e">
        <f t="shared" si="100"/>
        <v>#DIV/0!</v>
      </c>
      <c r="R59" s="375">
        <v>170</v>
      </c>
      <c r="S59" s="158">
        <f t="shared" si="95"/>
        <v>142800</v>
      </c>
      <c r="T59" s="44">
        <f t="shared" si="96"/>
        <v>1.229321729891401E-2</v>
      </c>
      <c r="U59" s="46">
        <v>1</v>
      </c>
      <c r="V59" s="45">
        <f t="shared" si="101"/>
        <v>560000</v>
      </c>
      <c r="W59" s="45">
        <f t="shared" si="85"/>
        <v>0</v>
      </c>
      <c r="X59" s="45">
        <v>4000000</v>
      </c>
      <c r="Y59" s="46">
        <v>0.14000000000000001</v>
      </c>
      <c r="Z59" s="51"/>
      <c r="AA59" s="44" t="e">
        <f t="shared" si="86"/>
        <v>#DIV/0!</v>
      </c>
      <c r="AB59" s="47">
        <v>1.5</v>
      </c>
      <c r="AC59" s="202">
        <v>45475</v>
      </c>
      <c r="AD59" s="202">
        <f t="shared" si="87"/>
        <v>45482</v>
      </c>
      <c r="AE59" s="374">
        <f t="shared" si="88"/>
        <v>8</v>
      </c>
      <c r="AG59" s="293">
        <f>X59*15%</f>
        <v>600000</v>
      </c>
      <c r="AH59" s="525">
        <f>AB59</f>
        <v>1.5</v>
      </c>
      <c r="AI59" s="293">
        <f>AH59*AG59</f>
        <v>900000</v>
      </c>
      <c r="AJ59" s="294">
        <f t="shared" si="89"/>
        <v>153000</v>
      </c>
      <c r="AK59" s="360"/>
      <c r="AL59" s="293"/>
      <c r="AM59" s="293"/>
      <c r="AN59" s="293"/>
      <c r="AO59" s="293"/>
      <c r="AP59" s="293"/>
      <c r="AQ59" s="293"/>
      <c r="AR59" s="293"/>
      <c r="AS59" s="293"/>
      <c r="AT59" s="293"/>
      <c r="AU59" s="293"/>
      <c r="AV59" s="244" t="s">
        <v>139</v>
      </c>
      <c r="AW59" s="244">
        <v>6.2</v>
      </c>
    </row>
    <row r="60" spans="1:49">
      <c r="A60" s="211" t="s">
        <v>68</v>
      </c>
      <c r="B60" s="211"/>
      <c r="C60" s="211"/>
      <c r="D60" s="211"/>
      <c r="E60" s="211"/>
      <c r="F60" s="211"/>
      <c r="G60" s="211"/>
      <c r="H60" s="211"/>
      <c r="I60" s="211"/>
      <c r="J60" s="211"/>
      <c r="K60" s="213"/>
      <c r="L60" s="214"/>
      <c r="M60" s="210"/>
      <c r="N60" s="210"/>
      <c r="O60" s="210"/>
      <c r="P60" s="215"/>
      <c r="Q60" s="215"/>
      <c r="R60" s="154"/>
      <c r="S60" s="107"/>
      <c r="T60" s="44">
        <f t="shared" si="96"/>
        <v>0</v>
      </c>
      <c r="U60" s="108"/>
      <c r="V60" s="210"/>
      <c r="W60" s="108"/>
      <c r="X60" s="105"/>
      <c r="Y60" s="105"/>
      <c r="Z60" s="105"/>
      <c r="AA60" s="105"/>
      <c r="AB60" s="105"/>
      <c r="AC60" s="105"/>
      <c r="AD60" s="105"/>
      <c r="AE60" s="105"/>
      <c r="AK60" s="293"/>
    </row>
    <row r="61" spans="1:49" s="244" customFormat="1">
      <c r="A61" s="155" t="s">
        <v>61</v>
      </c>
      <c r="B61" s="156" t="s">
        <v>127</v>
      </c>
      <c r="C61" s="156" t="s">
        <v>67</v>
      </c>
      <c r="D61" s="156" t="s">
        <v>128</v>
      </c>
      <c r="E61" s="155" t="s">
        <v>135</v>
      </c>
      <c r="F61" s="48" t="s">
        <v>70</v>
      </c>
      <c r="G61" s="157" t="s">
        <v>136</v>
      </c>
      <c r="H61" s="155" t="s">
        <v>137</v>
      </c>
      <c r="I61" s="48" t="s">
        <v>118</v>
      </c>
      <c r="J61" s="156" t="s">
        <v>138</v>
      </c>
      <c r="K61" s="45">
        <f t="shared" si="90"/>
        <v>1764000</v>
      </c>
      <c r="L61" s="42">
        <v>3.0000000000000001E-3</v>
      </c>
      <c r="M61" s="43">
        <f t="shared" ref="M61" si="102">K61*L61</f>
        <v>5292</v>
      </c>
      <c r="N61" s="46">
        <v>0.85</v>
      </c>
      <c r="O61" s="43">
        <f t="shared" ref="O61" si="103">K61*N61</f>
        <v>1499400</v>
      </c>
      <c r="P61" s="158">
        <f t="shared" ref="P61" si="104">S61/(K61/1000)</f>
        <v>285</v>
      </c>
      <c r="Q61" s="159">
        <f t="shared" ref="Q61" si="105">S61/M61</f>
        <v>95</v>
      </c>
      <c r="R61" s="375">
        <v>285</v>
      </c>
      <c r="S61" s="158">
        <f>R61*K61/1000</f>
        <v>502740</v>
      </c>
      <c r="T61" s="44">
        <f t="shared" si="96"/>
        <v>4.3279356196470789E-2</v>
      </c>
      <c r="U61" s="46">
        <v>0.9</v>
      </c>
      <c r="V61" s="45">
        <f>Y61*X61</f>
        <v>1176000</v>
      </c>
      <c r="W61" s="45">
        <f t="shared" ref="W61" si="106">(1-U61)*V61</f>
        <v>117599.99999999997</v>
      </c>
      <c r="X61" s="43">
        <v>5880000</v>
      </c>
      <c r="Y61" s="46">
        <v>0.2</v>
      </c>
      <c r="Z61" s="51"/>
      <c r="AA61" s="44" t="e">
        <f t="shared" ref="AA61" si="107">W61/Z61</f>
        <v>#DIV/0!</v>
      </c>
      <c r="AB61" s="47">
        <v>1.5</v>
      </c>
      <c r="AC61" s="202">
        <v>45475</v>
      </c>
      <c r="AD61" s="202">
        <f>AC61+7</f>
        <v>45482</v>
      </c>
      <c r="AE61" s="374">
        <f>AD61-AC61+1</f>
        <v>8</v>
      </c>
      <c r="AG61" s="293"/>
      <c r="AH61" s="293"/>
      <c r="AI61" s="293"/>
      <c r="AJ61" s="293"/>
      <c r="AK61" s="293"/>
      <c r="AL61" s="293"/>
      <c r="AM61" s="293"/>
      <c r="AN61" s="293"/>
      <c r="AO61" s="293"/>
      <c r="AP61" s="293"/>
      <c r="AQ61" s="293"/>
      <c r="AR61" s="293"/>
      <c r="AS61" s="293"/>
      <c r="AT61" s="293"/>
      <c r="AU61" s="293"/>
      <c r="AV61" s="244" t="s">
        <v>139</v>
      </c>
      <c r="AW61" s="244">
        <v>6.2</v>
      </c>
    </row>
    <row r="62" spans="1:49">
      <c r="A62" s="211" t="s">
        <v>72</v>
      </c>
      <c r="B62" s="211"/>
      <c r="C62" s="211"/>
      <c r="D62" s="211"/>
      <c r="E62" s="211"/>
      <c r="F62" s="211"/>
      <c r="G62" s="211"/>
      <c r="H62" s="211"/>
      <c r="I62" s="211"/>
      <c r="J62" s="211"/>
      <c r="K62" s="213"/>
      <c r="L62" s="214"/>
      <c r="M62" s="210"/>
      <c r="N62" s="210"/>
      <c r="O62" s="210"/>
      <c r="P62" s="215"/>
      <c r="Q62" s="215"/>
      <c r="R62" s="154"/>
      <c r="S62" s="107"/>
      <c r="T62" s="44">
        <f t="shared" si="96"/>
        <v>0</v>
      </c>
      <c r="U62" s="108"/>
      <c r="V62" s="210"/>
      <c r="W62" s="210"/>
      <c r="X62" s="105"/>
      <c r="Y62" s="105"/>
      <c r="Z62" s="105"/>
      <c r="AA62" s="105"/>
      <c r="AB62" s="105"/>
      <c r="AC62" s="105"/>
      <c r="AD62" s="105"/>
      <c r="AE62" s="105"/>
      <c r="AK62" s="293"/>
    </row>
    <row r="63" spans="1:49" s="244" customFormat="1">
      <c r="A63" s="155" t="s">
        <v>61</v>
      </c>
      <c r="B63" s="156" t="s">
        <v>127</v>
      </c>
      <c r="C63" s="156" t="s">
        <v>73</v>
      </c>
      <c r="D63" s="156" t="s">
        <v>128</v>
      </c>
      <c r="E63" s="155" t="s">
        <v>76</v>
      </c>
      <c r="F63" s="48" t="s">
        <v>70</v>
      </c>
      <c r="G63" s="157" t="s">
        <v>136</v>
      </c>
      <c r="H63" s="155" t="s">
        <v>160</v>
      </c>
      <c r="I63" s="48" t="s">
        <v>118</v>
      </c>
      <c r="J63" s="156" t="s">
        <v>161</v>
      </c>
      <c r="K63" s="45">
        <f t="shared" ref="K63" si="108">V63*AB63</f>
        <v>2700000</v>
      </c>
      <c r="L63" s="42">
        <v>0.01</v>
      </c>
      <c r="M63" s="43">
        <f t="shared" ref="M63:M69" si="109">K63*L63</f>
        <v>27000</v>
      </c>
      <c r="N63" s="46">
        <v>0.85</v>
      </c>
      <c r="O63" s="43">
        <f t="shared" ref="O63" si="110">K63*N63</f>
        <v>2295000</v>
      </c>
      <c r="P63" s="158">
        <f t="shared" ref="P63" si="111">S63/(K63/1000)</f>
        <v>120</v>
      </c>
      <c r="Q63" s="159">
        <f t="shared" ref="Q63" si="112">S63/M63</f>
        <v>12</v>
      </c>
      <c r="R63" s="375">
        <v>120</v>
      </c>
      <c r="S63" s="158">
        <f>R63*K63/1000</f>
        <v>324000</v>
      </c>
      <c r="T63" s="44">
        <f t="shared" si="96"/>
        <v>2.789217370341834E-2</v>
      </c>
      <c r="U63" s="46">
        <v>0.9</v>
      </c>
      <c r="V63" s="45">
        <f>Y63*X63</f>
        <v>900000</v>
      </c>
      <c r="W63" s="45">
        <f t="shared" ref="W63" si="113">(1-U63)*V63</f>
        <v>89999.999999999985</v>
      </c>
      <c r="X63" s="43">
        <f>30000000*15%</f>
        <v>4500000</v>
      </c>
      <c r="Y63" s="46">
        <v>0.2</v>
      </c>
      <c r="Z63" s="51"/>
      <c r="AA63" s="44" t="e">
        <f t="shared" ref="AA63" si="114">W63/Z63</f>
        <v>#DIV/0!</v>
      </c>
      <c r="AB63" s="47">
        <v>3</v>
      </c>
      <c r="AC63" s="202">
        <v>45475</v>
      </c>
      <c r="AD63" s="202">
        <f>AC63+7</f>
        <v>45482</v>
      </c>
      <c r="AE63" s="374">
        <f>AD63-AC63+1</f>
        <v>8</v>
      </c>
      <c r="AG63" s="293"/>
      <c r="AH63" s="293"/>
      <c r="AI63" s="293"/>
      <c r="AJ63" s="293"/>
      <c r="AK63" s="293"/>
      <c r="AL63" s="293"/>
      <c r="AM63" s="293"/>
      <c r="AN63" s="293"/>
      <c r="AO63" s="293"/>
      <c r="AP63" s="293"/>
      <c r="AQ63" s="293"/>
      <c r="AR63" s="293"/>
      <c r="AS63" s="293"/>
      <c r="AT63" s="293"/>
      <c r="AU63" s="293"/>
      <c r="AW63" s="244">
        <v>6.2</v>
      </c>
    </row>
    <row r="64" spans="1:49" s="177" customFormat="1" ht="12.6" customHeight="1">
      <c r="A64" s="211" t="s">
        <v>162</v>
      </c>
      <c r="B64" s="211"/>
      <c r="C64" s="211"/>
      <c r="D64" s="211"/>
      <c r="E64" s="211"/>
      <c r="F64" s="211"/>
      <c r="G64" s="211"/>
      <c r="H64" s="211"/>
      <c r="I64" s="211"/>
      <c r="J64" s="212"/>
      <c r="K64" s="213"/>
      <c r="L64" s="214"/>
      <c r="M64" s="210"/>
      <c r="N64" s="210"/>
      <c r="O64" s="210"/>
      <c r="P64" s="215"/>
      <c r="Q64" s="215"/>
      <c r="R64" s="107"/>
      <c r="S64" s="105"/>
      <c r="T64" s="154"/>
      <c r="U64" s="108"/>
      <c r="V64" s="210"/>
      <c r="W64" s="210"/>
      <c r="X64" s="210"/>
      <c r="Y64" s="105"/>
      <c r="Z64" s="105"/>
      <c r="AA64" s="105"/>
      <c r="AB64" s="105"/>
      <c r="AC64" s="105"/>
      <c r="AD64" s="105"/>
      <c r="AE64" s="105"/>
      <c r="AT64" s="370"/>
      <c r="AU64" s="239"/>
      <c r="AV64" s="372"/>
    </row>
    <row r="65" spans="1:53" s="244" customFormat="1">
      <c r="A65" s="155" t="s">
        <v>163</v>
      </c>
      <c r="B65" s="156" t="s">
        <v>127</v>
      </c>
      <c r="C65" s="156" t="s">
        <v>62</v>
      </c>
      <c r="D65" s="156" t="s">
        <v>164</v>
      </c>
      <c r="E65" s="155" t="s">
        <v>162</v>
      </c>
      <c r="F65" s="48" t="s">
        <v>70</v>
      </c>
      <c r="G65" s="157" t="s">
        <v>165</v>
      </c>
      <c r="H65" s="331" t="s">
        <v>166</v>
      </c>
      <c r="I65" s="48" t="s">
        <v>167</v>
      </c>
      <c r="J65" s="156" t="s">
        <v>168</v>
      </c>
      <c r="K65" s="45">
        <f>M65/L65</f>
        <v>25000000</v>
      </c>
      <c r="L65" s="42">
        <v>0.02</v>
      </c>
      <c r="M65" s="43">
        <v>500000</v>
      </c>
      <c r="N65" s="46">
        <v>0</v>
      </c>
      <c r="O65" s="43">
        <v>0</v>
      </c>
      <c r="P65" s="158">
        <v>40</v>
      </c>
      <c r="Q65" s="159">
        <v>2</v>
      </c>
      <c r="R65" s="375">
        <v>2</v>
      </c>
      <c r="S65" s="158">
        <v>100000</v>
      </c>
      <c r="T65" s="44">
        <v>2.6807243640681658E-2</v>
      </c>
      <c r="U65" s="46"/>
      <c r="V65" s="45"/>
      <c r="W65" s="45"/>
      <c r="X65" s="43"/>
      <c r="Y65" s="46"/>
      <c r="Z65" s="51"/>
      <c r="AA65" s="44"/>
      <c r="AB65" s="47"/>
      <c r="AC65" s="202">
        <v>45475</v>
      </c>
      <c r="AD65" s="202">
        <f t="shared" ref="AD65:AD66" si="115">AC65+7</f>
        <v>45482</v>
      </c>
      <c r="AE65" s="374">
        <f t="shared" ref="AE65:AE66" si="116">AD65-AC65+1</f>
        <v>8</v>
      </c>
      <c r="AG65" s="293">
        <v>0</v>
      </c>
      <c r="AH65" s="525">
        <v>0</v>
      </c>
      <c r="AI65" s="294">
        <v>0</v>
      </c>
      <c r="AJ65" s="294">
        <v>0</v>
      </c>
      <c r="AK65" s="294">
        <v>0</v>
      </c>
      <c r="AL65" s="293"/>
      <c r="AM65" s="293"/>
      <c r="AN65" s="293"/>
      <c r="AO65" s="293"/>
      <c r="AP65" s="293"/>
      <c r="AQ65" s="293"/>
      <c r="AR65" s="293"/>
      <c r="AS65" s="293"/>
      <c r="AT65" s="293"/>
      <c r="AU65" s="293"/>
      <c r="AV65" s="244" t="s">
        <v>139</v>
      </c>
      <c r="AW65" s="244">
        <v>6.2</v>
      </c>
    </row>
    <row r="66" spans="1:53" s="244" customFormat="1">
      <c r="A66" s="155" t="s">
        <v>163</v>
      </c>
      <c r="B66" s="156" t="s">
        <v>127</v>
      </c>
      <c r="C66" s="156" t="s">
        <v>67</v>
      </c>
      <c r="D66" s="156" t="s">
        <v>164</v>
      </c>
      <c r="E66" s="155" t="s">
        <v>162</v>
      </c>
      <c r="F66" s="48" t="s">
        <v>70</v>
      </c>
      <c r="G66" s="157" t="s">
        <v>165</v>
      </c>
      <c r="H66" s="331" t="s">
        <v>166</v>
      </c>
      <c r="I66" s="48" t="s">
        <v>167</v>
      </c>
      <c r="J66" s="156" t="s">
        <v>168</v>
      </c>
      <c r="K66" s="45">
        <f>M66/L66</f>
        <v>25000000</v>
      </c>
      <c r="L66" s="42">
        <v>0.02</v>
      </c>
      <c r="M66" s="43">
        <v>500000</v>
      </c>
      <c r="N66" s="46">
        <v>0</v>
      </c>
      <c r="O66" s="43">
        <v>0</v>
      </c>
      <c r="P66" s="158">
        <v>40</v>
      </c>
      <c r="Q66" s="159">
        <v>2</v>
      </c>
      <c r="R66" s="375">
        <v>2</v>
      </c>
      <c r="S66" s="158">
        <v>100000</v>
      </c>
      <c r="T66" s="44">
        <v>2.6807243640681658E-2</v>
      </c>
      <c r="U66" s="46"/>
      <c r="V66" s="45"/>
      <c r="W66" s="45"/>
      <c r="X66" s="43"/>
      <c r="Y66" s="46"/>
      <c r="Z66" s="51"/>
      <c r="AA66" s="44"/>
      <c r="AB66" s="47"/>
      <c r="AC66" s="202">
        <v>45475</v>
      </c>
      <c r="AD66" s="202">
        <f t="shared" si="115"/>
        <v>45482</v>
      </c>
      <c r="AE66" s="374">
        <f t="shared" si="116"/>
        <v>8</v>
      </c>
      <c r="AG66" s="293">
        <v>0</v>
      </c>
      <c r="AH66" s="525">
        <v>0</v>
      </c>
      <c r="AI66" s="294">
        <v>0</v>
      </c>
      <c r="AJ66" s="294">
        <v>0</v>
      </c>
      <c r="AK66" s="294">
        <v>0</v>
      </c>
      <c r="AL66" s="293"/>
      <c r="AM66" s="293"/>
      <c r="AN66" s="293"/>
      <c r="AO66" s="293"/>
      <c r="AP66" s="293"/>
      <c r="AQ66" s="293"/>
      <c r="AR66" s="293"/>
      <c r="AS66" s="293"/>
      <c r="AT66" s="293"/>
      <c r="AU66" s="293"/>
      <c r="AV66" s="244" t="s">
        <v>139</v>
      </c>
      <c r="AW66" s="244">
        <v>6.2</v>
      </c>
    </row>
    <row r="67" spans="1:53">
      <c r="A67" s="211" t="s">
        <v>86</v>
      </c>
      <c r="B67" s="211"/>
      <c r="C67" s="211"/>
      <c r="D67" s="211"/>
      <c r="E67" s="211"/>
      <c r="F67" s="211"/>
      <c r="G67" s="211"/>
      <c r="H67" s="211"/>
      <c r="I67" s="211"/>
      <c r="J67" s="211"/>
      <c r="K67" s="213"/>
      <c r="L67" s="214"/>
      <c r="M67" s="210"/>
      <c r="N67" s="210"/>
      <c r="O67" s="210"/>
      <c r="P67" s="215"/>
      <c r="Q67" s="215"/>
      <c r="R67" s="154"/>
      <c r="S67" s="154"/>
      <c r="T67" s="154"/>
      <c r="U67" s="154"/>
      <c r="V67" s="210"/>
      <c r="W67" s="210"/>
      <c r="X67" s="105"/>
      <c r="Y67" s="105"/>
      <c r="Z67" s="105"/>
      <c r="AA67" s="105"/>
      <c r="AB67" s="105"/>
      <c r="AC67" s="105"/>
      <c r="AD67" s="105"/>
      <c r="AE67" s="105"/>
      <c r="AK67" s="293"/>
    </row>
    <row r="68" spans="1:53" s="244" customFormat="1">
      <c r="A68" s="155" t="s">
        <v>163</v>
      </c>
      <c r="B68" s="156" t="s">
        <v>127</v>
      </c>
      <c r="C68" s="156" t="s">
        <v>62</v>
      </c>
      <c r="D68" s="156" t="s">
        <v>164</v>
      </c>
      <c r="E68" s="155" t="s">
        <v>86</v>
      </c>
      <c r="F68" s="48" t="s">
        <v>70</v>
      </c>
      <c r="G68" s="157" t="s">
        <v>165</v>
      </c>
      <c r="H68" s="331" t="s">
        <v>166</v>
      </c>
      <c r="I68" s="48" t="s">
        <v>118</v>
      </c>
      <c r="J68" s="156" t="s">
        <v>169</v>
      </c>
      <c r="K68" s="45">
        <f t="shared" ref="K68" si="117">V68*AB68</f>
        <v>4164000</v>
      </c>
      <c r="L68" s="503">
        <v>0.02</v>
      </c>
      <c r="M68" s="43">
        <f t="shared" si="109"/>
        <v>83280</v>
      </c>
      <c r="N68" s="46">
        <v>0</v>
      </c>
      <c r="O68" s="43">
        <v>0</v>
      </c>
      <c r="P68" s="158">
        <f t="shared" ref="P68:P69" si="118">S68/(K68/1000)</f>
        <v>105</v>
      </c>
      <c r="Q68" s="159">
        <f t="shared" ref="Q68:Q69" si="119">S68/M68</f>
        <v>5.25</v>
      </c>
      <c r="R68" s="375">
        <v>105</v>
      </c>
      <c r="S68" s="158">
        <f t="shared" ref="S68" si="120">R68*K68/1000</f>
        <v>437220</v>
      </c>
      <c r="T68" s="44">
        <f>S68/$S$70</f>
        <v>3.7638938847557306E-2</v>
      </c>
      <c r="U68" s="46">
        <v>1</v>
      </c>
      <c r="V68" s="45">
        <f t="shared" ref="V68" si="121">Y68*X68</f>
        <v>2776000</v>
      </c>
      <c r="W68" s="45">
        <f t="shared" ref="W68" si="122">(1-U68)*V68</f>
        <v>0</v>
      </c>
      <c r="X68" s="43">
        <v>34700000</v>
      </c>
      <c r="Y68" s="46">
        <v>0.08</v>
      </c>
      <c r="Z68" s="51"/>
      <c r="AA68" s="44" t="e">
        <v>#DIV/0!</v>
      </c>
      <c r="AB68" s="374">
        <v>1.5</v>
      </c>
      <c r="AC68" s="202">
        <v>45475</v>
      </c>
      <c r="AD68" s="202">
        <f t="shared" ref="AD68:AD69" si="123">AC68+7</f>
        <v>45482</v>
      </c>
      <c r="AE68" s="374">
        <f t="shared" ref="AE68:AE69" si="124">AD68-AC68+1</f>
        <v>8</v>
      </c>
      <c r="AG68" s="293"/>
      <c r="AH68" s="294"/>
      <c r="AI68" s="294"/>
      <c r="AJ68" s="294"/>
      <c r="AK68" s="294"/>
      <c r="AL68" s="293"/>
      <c r="AM68" s="293"/>
      <c r="AN68" s="293"/>
      <c r="AO68" s="293"/>
      <c r="AP68" s="293"/>
      <c r="AQ68" s="293"/>
      <c r="AR68" s="293"/>
      <c r="AS68" s="293"/>
      <c r="AT68" s="293"/>
      <c r="AU68" s="293"/>
    </row>
    <row r="69" spans="1:53" s="244" customFormat="1">
      <c r="A69" s="155" t="s">
        <v>163</v>
      </c>
      <c r="B69" s="156" t="s">
        <v>127</v>
      </c>
      <c r="C69" s="156" t="s">
        <v>170</v>
      </c>
      <c r="D69" s="156" t="s">
        <v>164</v>
      </c>
      <c r="E69" s="155" t="s">
        <v>86</v>
      </c>
      <c r="F69" s="48" t="s">
        <v>70</v>
      </c>
      <c r="G69" s="157" t="s">
        <v>165</v>
      </c>
      <c r="H69" s="331" t="s">
        <v>166</v>
      </c>
      <c r="I69" s="48" t="s">
        <v>118</v>
      </c>
      <c r="J69" s="156" t="s">
        <v>169</v>
      </c>
      <c r="K69" s="45">
        <f t="shared" ref="K69" si="125">V69*AB69</f>
        <v>2556000</v>
      </c>
      <c r="L69" s="503">
        <v>0.02</v>
      </c>
      <c r="M69" s="43">
        <f t="shared" si="109"/>
        <v>51120</v>
      </c>
      <c r="N69" s="46">
        <v>0</v>
      </c>
      <c r="O69" s="43">
        <v>0</v>
      </c>
      <c r="P69" s="158">
        <f t="shared" si="118"/>
        <v>105</v>
      </c>
      <c r="Q69" s="159">
        <f t="shared" si="119"/>
        <v>5.25</v>
      </c>
      <c r="R69" s="375">
        <v>105</v>
      </c>
      <c r="S69" s="158">
        <f t="shared" ref="S69" si="126">R69*K69/1000</f>
        <v>268380</v>
      </c>
      <c r="T69" s="44">
        <f>S69/$S$70</f>
        <v>2.3104017217664859E-2</v>
      </c>
      <c r="U69" s="46">
        <v>1</v>
      </c>
      <c r="V69" s="45">
        <f t="shared" ref="V69" si="127">Y69*X69</f>
        <v>1704000</v>
      </c>
      <c r="W69" s="45">
        <f t="shared" ref="W69" si="128">(1-U69)*V69</f>
        <v>0</v>
      </c>
      <c r="X69" s="43">
        <v>21300000</v>
      </c>
      <c r="Y69" s="46">
        <v>0.08</v>
      </c>
      <c r="Z69" s="51"/>
      <c r="AA69" s="44" t="e">
        <v>#DIV/0!</v>
      </c>
      <c r="AB69" s="374">
        <v>1.5</v>
      </c>
      <c r="AC69" s="202">
        <v>45475</v>
      </c>
      <c r="AD69" s="202">
        <f t="shared" si="123"/>
        <v>45482</v>
      </c>
      <c r="AE69" s="374">
        <f t="shared" si="124"/>
        <v>8</v>
      </c>
      <c r="AF69" s="805"/>
      <c r="AG69" s="293"/>
      <c r="AH69" s="294"/>
      <c r="AI69" s="294"/>
      <c r="AJ69" s="294"/>
      <c r="AK69" s="294"/>
      <c r="AL69" s="293"/>
      <c r="AM69" s="293"/>
      <c r="AN69" s="293"/>
      <c r="AO69" s="293"/>
      <c r="AP69" s="293"/>
      <c r="AQ69" s="293"/>
      <c r="AR69" s="293"/>
      <c r="AS69" s="293"/>
      <c r="AT69" s="293"/>
      <c r="AU69" s="293"/>
    </row>
    <row r="70" spans="1:53">
      <c r="A70" s="147" t="s">
        <v>84</v>
      </c>
      <c r="B70" s="147"/>
      <c r="C70" s="147"/>
      <c r="D70" s="147"/>
      <c r="E70" s="147"/>
      <c r="F70" s="147"/>
      <c r="G70" s="147"/>
      <c r="H70" s="148"/>
      <c r="I70" s="148"/>
      <c r="J70" s="377"/>
      <c r="K70" s="206">
        <f>SUM(K3:K69)</f>
        <v>139393542.48684427</v>
      </c>
      <c r="L70" s="207">
        <f>M70/K70</f>
        <v>1.0004477059002374E-2</v>
      </c>
      <c r="M70" s="206">
        <f>SUM(M3:M69)</f>
        <v>1394559.4979827062</v>
      </c>
      <c r="N70" s="206"/>
      <c r="O70" s="206">
        <f>SUM(O3:O69)</f>
        <v>55514609.763151884</v>
      </c>
      <c r="P70" s="208">
        <f>S70/(K70/1000)</f>
        <v>83.333571241722481</v>
      </c>
      <c r="Q70" s="208">
        <f>S70/M70</f>
        <v>8.3296279006143603</v>
      </c>
      <c r="R70" s="208"/>
      <c r="S70" s="208">
        <f>SUM(S3:S69)</f>
        <v>11616161.703463506</v>
      </c>
      <c r="T70" s="152"/>
      <c r="U70" s="152"/>
      <c r="V70" s="151"/>
      <c r="W70" s="206">
        <f>SUM(W3:W69)</f>
        <v>4441637.2225862946</v>
      </c>
      <c r="X70" s="151">
        <v>56000000</v>
      </c>
      <c r="Y70" s="209">
        <f>W70/X70</f>
        <v>7.9314950403326687E-2</v>
      </c>
      <c r="Z70" s="149"/>
      <c r="AA70" s="209"/>
      <c r="AB70" s="151">
        <f>K70/W70</f>
        <v>31.383369577778716</v>
      </c>
      <c r="AC70" s="132"/>
      <c r="AD70" s="151"/>
      <c r="AE70" s="132"/>
      <c r="AK70" s="293"/>
      <c r="AX70" s="293" t="s">
        <v>171</v>
      </c>
      <c r="AY70" s="399">
        <f>K70/8</f>
        <v>17424192.810855534</v>
      </c>
      <c r="AZ70" s="294">
        <f>M70/8</f>
        <v>174319.93724783827</v>
      </c>
      <c r="BA70" s="293">
        <f>O70/8</f>
        <v>6939326.2203939855</v>
      </c>
    </row>
    <row r="71" spans="1:53">
      <c r="K71" s="527"/>
      <c r="M71" s="527"/>
      <c r="O71" s="528"/>
      <c r="P71" s="529"/>
      <c r="S71" s="527"/>
      <c r="T71" s="530"/>
      <c r="W71" s="528"/>
      <c r="X71" s="531"/>
      <c r="Y71" s="530"/>
      <c r="AB71" s="532"/>
      <c r="AX71" s="244" t="s">
        <v>172</v>
      </c>
      <c r="AY71" s="293">
        <f>AY70*40%</f>
        <v>6969677.1243422143</v>
      </c>
      <c r="AZ71" s="293">
        <f>AZ70*40%</f>
        <v>69727.974899135312</v>
      </c>
      <c r="BA71" s="293">
        <f>BA70*40%</f>
        <v>2775730.4881575946</v>
      </c>
    </row>
    <row r="72" spans="1:53">
      <c r="A72" s="533"/>
      <c r="P72" s="529"/>
      <c r="S72" s="527"/>
      <c r="T72" s="530"/>
      <c r="U72" s="530"/>
      <c r="V72" s="530"/>
      <c r="W72" s="518"/>
      <c r="X72" s="531"/>
      <c r="Y72" s="530"/>
      <c r="AB72" s="530"/>
      <c r="AY72" s="293">
        <f>AY70-AY71</f>
        <v>10454515.68651332</v>
      </c>
      <c r="AZ72" s="293">
        <f>AZ70-AZ71</f>
        <v>104591.96234870296</v>
      </c>
      <c r="BA72" s="293">
        <f>BA70-BA71</f>
        <v>4163595.7322363909</v>
      </c>
    </row>
    <row r="73" spans="1:53">
      <c r="O73" s="534"/>
      <c r="P73" s="534"/>
      <c r="Q73" s="534"/>
      <c r="S73" s="534"/>
      <c r="T73" s="530"/>
      <c r="U73" s="530"/>
      <c r="V73" s="530"/>
      <c r="X73" s="376"/>
      <c r="AY73" s="293">
        <f>AY72/7</f>
        <v>1493502.2409304741</v>
      </c>
      <c r="AZ73" s="293">
        <f>AZ72/7</f>
        <v>14941.708906957565</v>
      </c>
      <c r="BA73" s="293">
        <f>BA72/7</f>
        <v>594799.3903194844</v>
      </c>
    </row>
    <row r="74" spans="1:53">
      <c r="P74" s="534"/>
      <c r="R74" s="569"/>
      <c r="S74" s="752"/>
      <c r="T74" s="524"/>
      <c r="V74" s="524"/>
      <c r="X74" s="535"/>
      <c r="AX74" s="293" t="s">
        <v>173</v>
      </c>
      <c r="AY74" s="293">
        <f>AY70+AY73</f>
        <v>18917695.051786009</v>
      </c>
      <c r="AZ74" s="360">
        <f>AZ70+AZ73</f>
        <v>189261.64615479583</v>
      </c>
      <c r="BA74" s="293">
        <f>BA70+BA73</f>
        <v>7534125.6107134698</v>
      </c>
    </row>
    <row r="75" spans="1:53">
      <c r="O75" s="524"/>
      <c r="P75" s="524"/>
      <c r="Q75" s="524"/>
      <c r="R75" s="569"/>
      <c r="S75" s="637"/>
      <c r="T75" s="534"/>
      <c r="X75" s="531"/>
    </row>
    <row r="76" spans="1:53">
      <c r="P76" s="633"/>
      <c r="R76" s="569"/>
      <c r="S76" s="252"/>
      <c r="X76" s="531"/>
      <c r="Y76" s="535"/>
      <c r="AA76" s="535"/>
    </row>
    <row r="77" spans="1:53">
      <c r="O77" s="534"/>
      <c r="P77" s="534"/>
      <c r="Q77" s="534"/>
      <c r="R77" s="569"/>
      <c r="S77" s="252"/>
      <c r="X77" s="535"/>
      <c r="Z77" s="535"/>
      <c r="AA77" s="524"/>
      <c r="AY77" s="806"/>
    </row>
    <row r="78" spans="1:53">
      <c r="Q78" s="524"/>
      <c r="S78" s="252"/>
      <c r="AB78" s="399"/>
      <c r="AC78" s="400"/>
      <c r="AD78" s="400"/>
      <c r="AE78" s="400"/>
    </row>
    <row r="79" spans="1:53">
      <c r="S79" s="252"/>
      <c r="AB79" s="244"/>
      <c r="AC79" s="401"/>
      <c r="AD79" s="401"/>
      <c r="AY79" s="806"/>
      <c r="AZ79" s="806"/>
      <c r="BA79" s="806"/>
    </row>
    <row r="80" spans="1:53">
      <c r="M80" s="534"/>
      <c r="AB80" s="244"/>
      <c r="AC80" s="401"/>
      <c r="AD80" s="401"/>
    </row>
    <row r="81" spans="13:30">
      <c r="M81" s="534"/>
      <c r="AB81" s="244"/>
      <c r="AC81" s="401"/>
      <c r="AD81" s="401"/>
    </row>
  </sheetData>
  <phoneticPr fontId="13" type="noConversion"/>
  <conditionalFormatting sqref="T65">
    <cfRule type="colorScale" priority="10">
      <colorScale>
        <cfvo type="min"/>
        <cfvo type="percentile" val="50"/>
        <cfvo type="max"/>
        <color rgb="FFF8696B"/>
        <color rgb="FFFFEB84"/>
        <color rgb="FF63BE7B"/>
      </colorScale>
    </cfRule>
    <cfRule type="colorScale" priority="11">
      <colorScale>
        <cfvo type="min"/>
        <cfvo type="percentile" val="50"/>
        <cfvo type="max"/>
        <color rgb="FF63BE7B"/>
        <color rgb="FFFFEB84"/>
        <color rgb="FFF8696B"/>
      </colorScale>
    </cfRule>
  </conditionalFormatting>
  <conditionalFormatting sqref="T66">
    <cfRule type="colorScale" priority="8">
      <colorScale>
        <cfvo type="min"/>
        <cfvo type="percentile" val="50"/>
        <cfvo type="max"/>
        <color rgb="FFF8696B"/>
        <color rgb="FFFFEB84"/>
        <color rgb="FF63BE7B"/>
      </colorScale>
    </cfRule>
    <cfRule type="colorScale" priority="9">
      <colorScale>
        <cfvo type="min"/>
        <cfvo type="percentile" val="50"/>
        <cfvo type="max"/>
        <color rgb="FF63BE7B"/>
        <color rgb="FFFFEB84"/>
        <color rgb="FFF8696B"/>
      </colorScale>
    </cfRule>
  </conditionalFormatting>
  <conditionalFormatting sqref="T68:T69 T3:T63">
    <cfRule type="colorScale" priority="655">
      <colorScale>
        <cfvo type="min"/>
        <cfvo type="percentile" val="50"/>
        <cfvo type="max"/>
        <color rgb="FFF8696B"/>
        <color rgb="FFFFEB84"/>
        <color rgb="FF63BE7B"/>
      </colorScale>
    </cfRule>
    <cfRule type="colorScale" priority="656">
      <colorScale>
        <cfvo type="min"/>
        <cfvo type="percentile" val="50"/>
        <cfvo type="max"/>
        <color rgb="FF63BE7B"/>
        <color rgb="FFFFEB84"/>
        <color rgb="FFF8696B"/>
      </colorScale>
    </cfRule>
  </conditionalFormatting>
  <conditionalFormatting sqref="Y2:Y5 Y7:Y9 Y11:Y13 Y15:Y17 Y19:Y21 Y23:Y25 Y27:Y29 Y31:Y32 Y34:Y35 Y37:Y38 Y40:Y41 Y43:Y44 Y46:Y47 Y49:Y50 Y63 Y68:Y69">
    <cfRule type="cellIs" dxfId="20" priority="99" operator="greaterThan">
      <formula>1</formula>
    </cfRule>
  </conditionalFormatting>
  <conditionalFormatting sqref="Y52:Y59">
    <cfRule type="cellIs" dxfId="19" priority="13" operator="greaterThan">
      <formula>1</formula>
    </cfRule>
  </conditionalFormatting>
  <conditionalFormatting sqref="Y61">
    <cfRule type="cellIs" dxfId="18" priority="237" operator="greaterThan">
      <formula>1</formula>
    </cfRule>
  </conditionalFormatting>
  <conditionalFormatting sqref="Y65:Y66">
    <cfRule type="cellIs" dxfId="17" priority="12" operator="greaterThan">
      <formula>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D937-3EAA-4954-AB06-E67598F272F3}">
  <dimension ref="A3:E21"/>
  <sheetViews>
    <sheetView workbookViewId="0"/>
  </sheetViews>
  <sheetFormatPr defaultRowHeight="14.4"/>
  <cols>
    <col min="1" max="1" width="18.109375" bestFit="1" customWidth="1"/>
    <col min="2" max="2" width="13.5546875" bestFit="1" customWidth="1"/>
    <col min="3" max="3" width="19.109375" bestFit="1" customWidth="1"/>
  </cols>
  <sheetData>
    <row r="3" spans="1:5">
      <c r="A3" s="261" t="s">
        <v>44</v>
      </c>
      <c r="B3" t="s">
        <v>46</v>
      </c>
      <c r="C3" t="s">
        <v>85</v>
      </c>
    </row>
    <row r="4" spans="1:5">
      <c r="A4" s="262" t="s">
        <v>174</v>
      </c>
      <c r="B4">
        <v>70100000</v>
      </c>
      <c r="C4">
        <v>8552200</v>
      </c>
      <c r="E4" s="8">
        <f t="shared" ref="E4:E20" si="0">C4*1000/B4</f>
        <v>122</v>
      </c>
    </row>
    <row r="5" spans="1:5">
      <c r="A5" s="262" t="s">
        <v>86</v>
      </c>
      <c r="B5">
        <v>4600000</v>
      </c>
      <c r="C5">
        <v>483000</v>
      </c>
      <c r="E5" s="8">
        <f t="shared" si="0"/>
        <v>105</v>
      </c>
    </row>
    <row r="6" spans="1:5">
      <c r="A6" s="262" t="s">
        <v>87</v>
      </c>
      <c r="B6">
        <v>94810480</v>
      </c>
      <c r="C6">
        <v>6817133.6000000006</v>
      </c>
      <c r="E6" s="8">
        <f t="shared" si="0"/>
        <v>71.902743241042558</v>
      </c>
    </row>
    <row r="7" spans="1:5">
      <c r="A7" s="262" t="s">
        <v>74</v>
      </c>
      <c r="B7">
        <v>2250000</v>
      </c>
      <c r="C7">
        <v>360000</v>
      </c>
      <c r="E7" s="8">
        <f t="shared" si="0"/>
        <v>160</v>
      </c>
    </row>
    <row r="8" spans="1:5">
      <c r="A8" s="262" t="s">
        <v>162</v>
      </c>
      <c r="B8">
        <v>5000000</v>
      </c>
      <c r="C8">
        <v>200000</v>
      </c>
      <c r="E8" s="8">
        <f t="shared" si="0"/>
        <v>40</v>
      </c>
    </row>
    <row r="9" spans="1:5">
      <c r="A9" s="262" t="s">
        <v>76</v>
      </c>
      <c r="B9">
        <v>28000000</v>
      </c>
      <c r="C9">
        <v>2340000</v>
      </c>
      <c r="E9" s="8">
        <f t="shared" si="0"/>
        <v>83.571428571428569</v>
      </c>
    </row>
    <row r="10" spans="1:5">
      <c r="A10" s="262" t="s">
        <v>175</v>
      </c>
      <c r="B10">
        <v>4000000</v>
      </c>
      <c r="C10">
        <v>300000</v>
      </c>
      <c r="E10" s="8">
        <f t="shared" si="0"/>
        <v>75</v>
      </c>
    </row>
    <row r="11" spans="1:5">
      <c r="A11" s="262" t="s">
        <v>176</v>
      </c>
      <c r="B11">
        <v>6666666.666666667</v>
      </c>
      <c r="C11">
        <v>600000</v>
      </c>
      <c r="E11" s="8">
        <f t="shared" si="0"/>
        <v>90</v>
      </c>
    </row>
    <row r="12" spans="1:5">
      <c r="A12" s="262" t="s">
        <v>135</v>
      </c>
      <c r="B12">
        <v>44181939.200000003</v>
      </c>
      <c r="C12">
        <v>5378193.9199999999</v>
      </c>
      <c r="E12" s="8">
        <f t="shared" si="0"/>
        <v>121.72833554576073</v>
      </c>
    </row>
    <row r="13" spans="1:5">
      <c r="A13" s="262" t="s">
        <v>177</v>
      </c>
      <c r="B13">
        <v>3600000</v>
      </c>
      <c r="C13">
        <v>540000</v>
      </c>
      <c r="E13" s="8">
        <f t="shared" si="0"/>
        <v>150</v>
      </c>
    </row>
    <row r="14" spans="1:5">
      <c r="A14" s="262" t="s">
        <v>178</v>
      </c>
      <c r="B14">
        <v>12800000</v>
      </c>
      <c r="C14">
        <v>1152000</v>
      </c>
      <c r="E14" s="8">
        <f t="shared" si="0"/>
        <v>90</v>
      </c>
    </row>
    <row r="15" spans="1:5">
      <c r="A15" s="262" t="s">
        <v>179</v>
      </c>
      <c r="B15">
        <v>14000000</v>
      </c>
      <c r="C15">
        <v>420000</v>
      </c>
      <c r="E15" s="8">
        <f t="shared" si="0"/>
        <v>30</v>
      </c>
    </row>
    <row r="16" spans="1:5">
      <c r="A16" s="262" t="s">
        <v>180</v>
      </c>
      <c r="B16">
        <v>20000000</v>
      </c>
      <c r="C16">
        <v>1200000</v>
      </c>
      <c r="E16" s="8">
        <f t="shared" si="0"/>
        <v>60</v>
      </c>
    </row>
    <row r="17" spans="1:5">
      <c r="A17" s="262" t="s">
        <v>181</v>
      </c>
      <c r="B17">
        <v>8571428.5714285709</v>
      </c>
      <c r="C17">
        <v>600000</v>
      </c>
      <c r="E17" s="8">
        <f t="shared" si="0"/>
        <v>70</v>
      </c>
    </row>
    <row r="18" spans="1:5">
      <c r="A18" s="262" t="s">
        <v>182</v>
      </c>
      <c r="B18">
        <v>3529411.7647058824</v>
      </c>
      <c r="C18">
        <v>300000</v>
      </c>
      <c r="E18" s="8">
        <f t="shared" si="0"/>
        <v>85</v>
      </c>
    </row>
    <row r="19" spans="1:5">
      <c r="A19" s="262" t="s">
        <v>63</v>
      </c>
      <c r="B19">
        <v>113998327.16360752</v>
      </c>
      <c r="C19" s="626">
        <v>10647671.857036611</v>
      </c>
      <c r="E19" s="8">
        <f t="shared" si="0"/>
        <v>93.402000906165412</v>
      </c>
    </row>
    <row r="20" spans="1:5">
      <c r="A20" s="262" t="s">
        <v>88</v>
      </c>
      <c r="B20">
        <v>862216506.73281729</v>
      </c>
      <c r="C20" s="626">
        <v>79780398.754073218</v>
      </c>
      <c r="E20" s="8">
        <f t="shared" si="0"/>
        <v>92.529426346038946</v>
      </c>
    </row>
    <row r="21" spans="1:5">
      <c r="A21" s="262" t="s">
        <v>56</v>
      </c>
      <c r="B21">
        <v>1298324760.099226</v>
      </c>
      <c r="C21">
        <v>119670598.13110983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54"/>
  <sheetViews>
    <sheetView showGridLines="0" workbookViewId="0">
      <selection activeCell="D13" sqref="D13"/>
    </sheetView>
  </sheetViews>
  <sheetFormatPr defaultRowHeight="14.4"/>
  <cols>
    <col min="2" max="2" width="18" customWidth="1"/>
    <col min="3" max="3" width="14" bestFit="1" customWidth="1"/>
    <col min="4" max="4" width="16.109375" bestFit="1" customWidth="1"/>
    <col min="5" max="5" width="14" bestFit="1" customWidth="1"/>
    <col min="6" max="6" width="13.5546875" bestFit="1" customWidth="1"/>
    <col min="7" max="7" width="14.6640625" bestFit="1" customWidth="1"/>
    <col min="8" max="8" width="14.88671875" customWidth="1"/>
    <col min="9" max="9" width="11.44140625" customWidth="1"/>
    <col min="10" max="10" width="14.6640625" bestFit="1" customWidth="1"/>
    <col min="11" max="11" width="15.5546875" customWidth="1"/>
    <col min="12" max="12" width="14.6640625" bestFit="1" customWidth="1"/>
    <col min="15" max="15" width="11.6640625" bestFit="1" customWidth="1"/>
  </cols>
  <sheetData>
    <row r="2" spans="2:12">
      <c r="B2" s="1" t="s">
        <v>183</v>
      </c>
      <c r="C2" s="1" t="s">
        <v>119</v>
      </c>
      <c r="D2" s="1" t="s">
        <v>48</v>
      </c>
      <c r="E2" s="1" t="s">
        <v>184</v>
      </c>
      <c r="F2" s="1" t="s">
        <v>111</v>
      </c>
      <c r="G2" s="1" t="s">
        <v>14</v>
      </c>
      <c r="H2" s="1" t="s">
        <v>185</v>
      </c>
      <c r="I2" s="1" t="s">
        <v>186</v>
      </c>
    </row>
    <row r="3" spans="2:12">
      <c r="B3" s="2" t="s">
        <v>187</v>
      </c>
      <c r="C3" s="3">
        <v>97000000</v>
      </c>
      <c r="D3" s="3">
        <f>C3*1000/E3</f>
        <v>1672413793.1034484</v>
      </c>
      <c r="E3" s="4">
        <v>58</v>
      </c>
      <c r="F3" s="6">
        <v>7</v>
      </c>
      <c r="G3" s="7">
        <f>D3/F3</f>
        <v>238916256.15763548</v>
      </c>
      <c r="H3" s="9">
        <v>490000000</v>
      </c>
      <c r="I3" s="10">
        <f>G3/H3</f>
        <v>0.48758419624007243</v>
      </c>
    </row>
    <row r="4" spans="2:12">
      <c r="D4" s="5"/>
    </row>
    <row r="5" spans="2:12">
      <c r="B5" s="807" t="s">
        <v>188</v>
      </c>
      <c r="C5" s="807"/>
      <c r="D5" s="807"/>
      <c r="E5" s="807"/>
      <c r="F5" s="807"/>
      <c r="G5" s="5"/>
    </row>
    <row r="6" spans="2:12">
      <c r="B6" s="25" t="s">
        <v>189</v>
      </c>
      <c r="C6" s="25" t="s">
        <v>190</v>
      </c>
      <c r="D6" s="25" t="s">
        <v>191</v>
      </c>
      <c r="E6" s="25" t="s">
        <v>192</v>
      </c>
      <c r="F6" s="25" t="s">
        <v>193</v>
      </c>
    </row>
    <row r="7" spans="2:12">
      <c r="B7" s="14" t="s">
        <v>194</v>
      </c>
      <c r="C7" s="15">
        <v>53000000</v>
      </c>
      <c r="D7" s="15">
        <v>53000000</v>
      </c>
      <c r="E7" s="15">
        <v>490000000</v>
      </c>
      <c r="F7" s="24">
        <f>E7</f>
        <v>490000000</v>
      </c>
      <c r="H7" s="5">
        <f>D7</f>
        <v>53000000</v>
      </c>
    </row>
    <row r="8" spans="2:12">
      <c r="B8" s="14" t="s">
        <v>195</v>
      </c>
      <c r="C8" s="26">
        <v>0.63</v>
      </c>
      <c r="D8" s="26">
        <v>0.7</v>
      </c>
      <c r="E8" s="26">
        <v>0.48</v>
      </c>
      <c r="F8" s="27">
        <f>F9/F7</f>
        <v>0.48</v>
      </c>
      <c r="H8" s="23">
        <f>H9/H7</f>
        <v>0.91</v>
      </c>
    </row>
    <row r="9" spans="2:12">
      <c r="B9" s="14" t="s">
        <v>14</v>
      </c>
      <c r="C9" s="24">
        <f>C8*C7</f>
        <v>33390000</v>
      </c>
      <c r="D9" s="24">
        <f>D8*D7</f>
        <v>37100000</v>
      </c>
      <c r="E9" s="24">
        <f>E8*E7</f>
        <v>235200000</v>
      </c>
      <c r="F9" s="24">
        <f>E9</f>
        <v>235200000</v>
      </c>
      <c r="H9" s="5">
        <f>C9+D9*40%</f>
        <v>48230000</v>
      </c>
    </row>
    <row r="10" spans="2:12">
      <c r="B10" s="14" t="s">
        <v>114</v>
      </c>
      <c r="C10" s="14">
        <v>5.0999999999999996</v>
      </c>
      <c r="D10" s="14">
        <v>5.0999999999999996</v>
      </c>
      <c r="E10" s="28">
        <v>6</v>
      </c>
      <c r="F10" s="29">
        <f>F11/F9</f>
        <v>7.5284821428571425</v>
      </c>
    </row>
    <row r="11" spans="2:12">
      <c r="B11" s="14" t="s">
        <v>48</v>
      </c>
      <c r="C11" s="24">
        <f>C10*C9</f>
        <v>170289000</v>
      </c>
      <c r="D11" s="24">
        <f>D10*D9</f>
        <v>189210000</v>
      </c>
      <c r="E11" s="24">
        <f>E10*E9</f>
        <v>1411200000</v>
      </c>
      <c r="F11" s="24">
        <f>SUM(C11:E11)</f>
        <v>1770699000</v>
      </c>
    </row>
    <row r="12" spans="2:12">
      <c r="B12" s="14" t="s">
        <v>184</v>
      </c>
      <c r="C12" s="30">
        <v>110</v>
      </c>
      <c r="D12" s="30">
        <v>110</v>
      </c>
      <c r="E12" s="30">
        <v>46</v>
      </c>
      <c r="F12" s="30">
        <f>F13*1000/F11</f>
        <v>58.993702486983956</v>
      </c>
    </row>
    <row r="13" spans="2:12">
      <c r="B13" s="16" t="s">
        <v>196</v>
      </c>
      <c r="C13" s="31">
        <f>C12*C11/1000</f>
        <v>18731790</v>
      </c>
      <c r="D13" s="17">
        <f>D12*D11/1000</f>
        <v>20813100</v>
      </c>
      <c r="E13" s="31">
        <f>E12*E11/1000</f>
        <v>64915200</v>
      </c>
      <c r="F13" s="17">
        <f>SUM(C13:E13)</f>
        <v>104460090</v>
      </c>
      <c r="G13" t="s">
        <v>197</v>
      </c>
    </row>
    <row r="14" spans="2:12">
      <c r="C14" s="23"/>
      <c r="D14" s="23"/>
      <c r="E14" s="23"/>
    </row>
    <row r="15" spans="2:12">
      <c r="C15" s="115"/>
      <c r="D15" s="5"/>
      <c r="E15" s="8">
        <v>55000000</v>
      </c>
      <c r="F15" s="8">
        <v>95000000</v>
      </c>
    </row>
    <row r="16" spans="2:12">
      <c r="B16" s="1"/>
      <c r="C16" s="1" t="s">
        <v>198</v>
      </c>
      <c r="D16" s="1" t="s">
        <v>186</v>
      </c>
      <c r="E16" s="1" t="s">
        <v>14</v>
      </c>
      <c r="F16" s="1" t="s">
        <v>114</v>
      </c>
      <c r="G16" s="1" t="s">
        <v>48</v>
      </c>
      <c r="H16" s="1" t="s">
        <v>199</v>
      </c>
      <c r="I16" s="1" t="s">
        <v>18</v>
      </c>
      <c r="J16" s="1" t="s">
        <v>184</v>
      </c>
      <c r="K16" s="1" t="s">
        <v>200</v>
      </c>
      <c r="L16" s="1" t="s">
        <v>196</v>
      </c>
    </row>
    <row r="17" spans="2:15">
      <c r="B17" s="6" t="s">
        <v>201</v>
      </c>
      <c r="C17" s="9">
        <v>53000000</v>
      </c>
      <c r="D17" s="11">
        <v>0.93</v>
      </c>
      <c r="E17" s="9">
        <f t="shared" ref="E17:E23" si="0">D17*C17</f>
        <v>49290000</v>
      </c>
      <c r="F17" s="6">
        <v>5</v>
      </c>
      <c r="G17" s="7">
        <f t="shared" ref="G17:G23" si="1">F17*E17</f>
        <v>246450000</v>
      </c>
      <c r="H17" s="13">
        <v>1E-3</v>
      </c>
      <c r="I17" s="7">
        <f t="shared" ref="I17:I23" si="2">H17*G17</f>
        <v>246450</v>
      </c>
      <c r="J17" s="6">
        <v>50</v>
      </c>
      <c r="K17" s="6">
        <f t="shared" ref="K17:K23" si="3">L17/I17</f>
        <v>50</v>
      </c>
      <c r="L17" s="7">
        <f t="shared" ref="L17:L22" si="4">J17*G17/1000</f>
        <v>12322500</v>
      </c>
    </row>
    <row r="18" spans="2:15">
      <c r="B18" s="6" t="s">
        <v>202</v>
      </c>
      <c r="C18" s="9">
        <v>35000000</v>
      </c>
      <c r="D18" s="11">
        <v>0.6</v>
      </c>
      <c r="E18" s="9">
        <f t="shared" si="0"/>
        <v>21000000</v>
      </c>
      <c r="F18" s="6">
        <v>3</v>
      </c>
      <c r="G18" s="7">
        <f t="shared" si="1"/>
        <v>63000000</v>
      </c>
      <c r="H18" s="13">
        <v>1E-3</v>
      </c>
      <c r="I18" s="7">
        <f t="shared" si="2"/>
        <v>63000</v>
      </c>
      <c r="J18" s="6">
        <v>100</v>
      </c>
      <c r="K18" s="6">
        <f t="shared" si="3"/>
        <v>100</v>
      </c>
      <c r="L18" s="7">
        <f t="shared" si="4"/>
        <v>6300000</v>
      </c>
    </row>
    <row r="19" spans="2:15">
      <c r="B19" s="6" t="s">
        <v>86</v>
      </c>
      <c r="C19" s="12">
        <f>C18*1.2</f>
        <v>42000000</v>
      </c>
      <c r="D19" s="11">
        <v>0.4</v>
      </c>
      <c r="E19" s="9">
        <f t="shared" si="0"/>
        <v>16800000</v>
      </c>
      <c r="F19" s="6">
        <v>3</v>
      </c>
      <c r="G19" s="7">
        <f t="shared" si="1"/>
        <v>50400000</v>
      </c>
      <c r="H19" s="13">
        <v>1.4999999999999999E-2</v>
      </c>
      <c r="I19" s="7">
        <f t="shared" si="2"/>
        <v>756000</v>
      </c>
      <c r="J19" s="6">
        <v>105</v>
      </c>
      <c r="K19" s="6">
        <f t="shared" si="3"/>
        <v>7</v>
      </c>
      <c r="L19" s="7">
        <f t="shared" si="4"/>
        <v>5292000</v>
      </c>
    </row>
    <row r="20" spans="2:15">
      <c r="B20" s="6" t="s">
        <v>203</v>
      </c>
      <c r="C20" s="7">
        <f>H3</f>
        <v>490000000</v>
      </c>
      <c r="D20" s="11">
        <v>0.63</v>
      </c>
      <c r="E20" s="9">
        <f>D20*C20</f>
        <v>308700000</v>
      </c>
      <c r="F20" s="6">
        <v>4.5</v>
      </c>
      <c r="G20" s="7">
        <f>F20*E20</f>
        <v>1389150000</v>
      </c>
      <c r="H20" s="13">
        <v>5.0000000000000001E-3</v>
      </c>
      <c r="I20" s="7">
        <f t="shared" si="2"/>
        <v>6945750</v>
      </c>
      <c r="J20" s="6">
        <v>35</v>
      </c>
      <c r="K20" s="6">
        <f t="shared" si="3"/>
        <v>7</v>
      </c>
      <c r="L20" s="7">
        <f>J20*G20/1000</f>
        <v>48620250</v>
      </c>
      <c r="N20">
        <v>46305000</v>
      </c>
      <c r="O20" s="5">
        <f>N20-L20</f>
        <v>-2315250</v>
      </c>
    </row>
    <row r="21" spans="2:15">
      <c r="B21" s="6" t="s">
        <v>204</v>
      </c>
      <c r="C21" s="7">
        <f>C18*75%</f>
        <v>26250000</v>
      </c>
      <c r="D21" s="11">
        <v>0.3</v>
      </c>
      <c r="E21" s="9">
        <f t="shared" si="0"/>
        <v>7875000</v>
      </c>
      <c r="F21" s="6">
        <v>3</v>
      </c>
      <c r="G21" s="7">
        <f t="shared" si="1"/>
        <v>23625000</v>
      </c>
      <c r="H21" s="13">
        <v>5.0000000000000001E-3</v>
      </c>
      <c r="I21" s="7">
        <f t="shared" si="2"/>
        <v>118125</v>
      </c>
      <c r="J21" s="6">
        <v>70</v>
      </c>
      <c r="K21" s="6">
        <f t="shared" si="3"/>
        <v>14</v>
      </c>
      <c r="L21" s="7">
        <f>J21*G21/1000</f>
        <v>1653750</v>
      </c>
    </row>
    <row r="22" spans="2:15">
      <c r="B22" s="6" t="s">
        <v>205</v>
      </c>
      <c r="C22" s="12">
        <f>C19*70%</f>
        <v>29399999.999999996</v>
      </c>
      <c r="D22" s="11">
        <v>0.3</v>
      </c>
      <c r="E22" s="9">
        <f t="shared" si="0"/>
        <v>8819999.9999999981</v>
      </c>
      <c r="F22" s="6">
        <v>3</v>
      </c>
      <c r="G22" s="7">
        <f t="shared" si="1"/>
        <v>26459999.999999993</v>
      </c>
      <c r="H22" s="13">
        <v>5.0000000000000001E-3</v>
      </c>
      <c r="I22" s="7">
        <f t="shared" si="2"/>
        <v>132299.99999999997</v>
      </c>
      <c r="J22" s="6">
        <v>70</v>
      </c>
      <c r="K22" s="6">
        <f t="shared" si="3"/>
        <v>14</v>
      </c>
      <c r="L22" s="7">
        <f t="shared" si="4"/>
        <v>1852199.9999999995</v>
      </c>
    </row>
    <row r="23" spans="2:15">
      <c r="B23" s="6" t="s">
        <v>206</v>
      </c>
      <c r="C23" s="7">
        <f>H3</f>
        <v>490000000</v>
      </c>
      <c r="D23" s="11">
        <v>0.2</v>
      </c>
      <c r="E23" s="9">
        <f t="shared" si="0"/>
        <v>98000000</v>
      </c>
      <c r="F23" s="6">
        <v>4</v>
      </c>
      <c r="G23" s="7">
        <f t="shared" si="1"/>
        <v>392000000</v>
      </c>
      <c r="H23" s="13">
        <v>0.01</v>
      </c>
      <c r="I23" s="7">
        <f t="shared" si="2"/>
        <v>3920000</v>
      </c>
      <c r="J23" s="6">
        <v>60</v>
      </c>
      <c r="K23" s="6">
        <f t="shared" si="3"/>
        <v>6</v>
      </c>
      <c r="L23" s="7">
        <f>J23*G23/1000</f>
        <v>23520000</v>
      </c>
    </row>
    <row r="24" spans="2:15">
      <c r="B24" s="6" t="s">
        <v>84</v>
      </c>
      <c r="C24" s="6"/>
      <c r="D24" s="6"/>
      <c r="E24" s="9">
        <f>E20</f>
        <v>308700000</v>
      </c>
      <c r="F24" s="33">
        <f>G24/E24</f>
        <v>7.0977810171687725</v>
      </c>
      <c r="G24" s="7">
        <f>SUM(G17:G23)</f>
        <v>2191085000</v>
      </c>
      <c r="H24" s="6"/>
      <c r="I24" s="7">
        <f>SUM(I17:I23)</f>
        <v>12181625</v>
      </c>
      <c r="J24" s="33">
        <f>L24*1000/G24</f>
        <v>45.438994835891805</v>
      </c>
      <c r="K24" s="33">
        <f>L24/I24</f>
        <v>8.1730228930869231</v>
      </c>
      <c r="L24" s="7">
        <f>SUM(L17:L23)</f>
        <v>99560700</v>
      </c>
    </row>
    <row r="25" spans="2:15">
      <c r="G25" s="8"/>
      <c r="H25" s="32"/>
      <c r="L25" s="115">
        <f>G24*2.5/1000</f>
        <v>5477712.5</v>
      </c>
    </row>
    <row r="26" spans="2:15">
      <c r="H26" s="32"/>
      <c r="I26" s="32"/>
      <c r="J26" s="5"/>
      <c r="L26" s="115">
        <f>L25+L24</f>
        <v>105038412.5</v>
      </c>
    </row>
    <row r="27" spans="2:15">
      <c r="B27" s="22" t="s">
        <v>203</v>
      </c>
      <c r="C27" s="22" t="s">
        <v>196</v>
      </c>
      <c r="D27" s="22" t="s">
        <v>48</v>
      </c>
      <c r="E27" s="22" t="s">
        <v>14</v>
      </c>
      <c r="F27" s="22" t="s">
        <v>99</v>
      </c>
      <c r="G27" s="22" t="s">
        <v>18</v>
      </c>
      <c r="H27" s="22" t="s">
        <v>200</v>
      </c>
      <c r="I27" s="22" t="s">
        <v>184</v>
      </c>
    </row>
    <row r="28" spans="2:15">
      <c r="B28" s="14" t="s">
        <v>180</v>
      </c>
      <c r="C28" s="15">
        <v>19000000</v>
      </c>
      <c r="D28" s="15">
        <v>1000000000</v>
      </c>
      <c r="E28" s="15">
        <v>75000000</v>
      </c>
      <c r="F28" s="19">
        <v>5.0000000000000001E-3</v>
      </c>
      <c r="G28" s="15">
        <f>F28*D28</f>
        <v>5000000</v>
      </c>
      <c r="H28" s="33">
        <f>C28/G28</f>
        <v>3.8</v>
      </c>
      <c r="I28" s="33">
        <f>C28*1000/D28</f>
        <v>19</v>
      </c>
      <c r="K28" s="87"/>
    </row>
    <row r="29" spans="2:15">
      <c r="B29" s="14" t="s">
        <v>74</v>
      </c>
      <c r="C29" s="15">
        <v>3500000</v>
      </c>
      <c r="D29" s="15">
        <v>180000000</v>
      </c>
      <c r="E29" s="15">
        <v>60000000</v>
      </c>
      <c r="F29" s="19">
        <v>5.0000000000000001E-3</v>
      </c>
      <c r="G29" s="15">
        <f t="shared" ref="G29:G30" si="5">F29*D29</f>
        <v>900000</v>
      </c>
      <c r="H29" s="33">
        <f t="shared" ref="H29:H35" si="6">C29/G29</f>
        <v>3.8888888888888888</v>
      </c>
      <c r="I29" s="33">
        <f t="shared" ref="I29:I35" si="7">C29*1000/D29</f>
        <v>19.444444444444443</v>
      </c>
      <c r="K29" s="87"/>
    </row>
    <row r="30" spans="2:15">
      <c r="B30" s="14" t="s">
        <v>207</v>
      </c>
      <c r="C30" s="15">
        <v>4144000.0000000005</v>
      </c>
      <c r="D30" s="15">
        <v>165000000</v>
      </c>
      <c r="E30" s="15">
        <v>15000000</v>
      </c>
      <c r="F30" s="19">
        <v>3.0000000000000001E-3</v>
      </c>
      <c r="G30" s="15">
        <f t="shared" si="5"/>
        <v>495000</v>
      </c>
      <c r="H30" s="33">
        <f t="shared" si="6"/>
        <v>8.3717171717171723</v>
      </c>
      <c r="I30" s="33">
        <f t="shared" si="7"/>
        <v>25.115151515151517</v>
      </c>
      <c r="K30" s="87"/>
    </row>
    <row r="31" spans="2:15">
      <c r="B31" s="14" t="s">
        <v>208</v>
      </c>
      <c r="C31" s="15">
        <v>1379840.0000000002</v>
      </c>
      <c r="D31" s="15">
        <v>14000000</v>
      </c>
      <c r="E31" s="15">
        <v>4500000</v>
      </c>
      <c r="F31" s="19">
        <v>0.05</v>
      </c>
      <c r="G31" s="15">
        <v>700000</v>
      </c>
      <c r="H31" s="33">
        <f t="shared" ref="H31" si="8">C31/G31</f>
        <v>1.9712000000000003</v>
      </c>
      <c r="I31" s="33">
        <f t="shared" ref="I31" si="9">C31*1000/D31</f>
        <v>98.560000000000016</v>
      </c>
      <c r="K31" s="87"/>
    </row>
    <row r="32" spans="2:15">
      <c r="B32" s="14" t="s">
        <v>209</v>
      </c>
      <c r="C32" s="15">
        <v>1120000</v>
      </c>
      <c r="D32" s="15">
        <v>12000000</v>
      </c>
      <c r="E32" s="15">
        <v>4000000</v>
      </c>
      <c r="F32" s="19">
        <v>7.0000000000000007E-2</v>
      </c>
      <c r="G32" s="15">
        <v>840000.00000000012</v>
      </c>
      <c r="H32" s="33">
        <f t="shared" ref="H32" si="10">C32/G32</f>
        <v>1.3333333333333333</v>
      </c>
      <c r="I32" s="33">
        <f t="shared" ref="I32" si="11">C32*1000/D32</f>
        <v>93.333333333333329</v>
      </c>
      <c r="K32" s="87"/>
    </row>
    <row r="33" spans="2:11">
      <c r="B33" s="14" t="s">
        <v>210</v>
      </c>
      <c r="C33" s="15">
        <v>4877600</v>
      </c>
      <c r="D33" s="15">
        <v>88000000</v>
      </c>
      <c r="E33" s="15">
        <v>15000000</v>
      </c>
      <c r="F33" s="19">
        <v>3.5000000000000001E-3</v>
      </c>
      <c r="G33" s="15">
        <v>308000</v>
      </c>
      <c r="H33" s="33">
        <f t="shared" ref="H33" si="12">C33/G33</f>
        <v>15.836363636363636</v>
      </c>
      <c r="I33" s="33">
        <f t="shared" ref="I33" si="13">C33*1000/D33</f>
        <v>55.427272727272729</v>
      </c>
      <c r="K33" s="87"/>
    </row>
    <row r="34" spans="2:11">
      <c r="B34" s="14" t="s">
        <v>211</v>
      </c>
      <c r="C34" s="15">
        <v>2800000.0000000005</v>
      </c>
      <c r="D34" s="15">
        <v>50000000</v>
      </c>
      <c r="E34" s="15">
        <v>25000000</v>
      </c>
      <c r="F34" s="19">
        <v>3.0000000000000001E-3</v>
      </c>
      <c r="G34" s="15">
        <v>150000</v>
      </c>
      <c r="H34" s="33">
        <f t="shared" ref="H34" si="14">C34/G34</f>
        <v>18.666666666666671</v>
      </c>
      <c r="I34" s="33">
        <f t="shared" ref="I34" si="15">C34*1000/D34</f>
        <v>56.000000000000007</v>
      </c>
      <c r="K34" s="87"/>
    </row>
    <row r="35" spans="2:11">
      <c r="B35" s="16" t="s">
        <v>84</v>
      </c>
      <c r="C35" s="17">
        <f>SUM(C28:C34)</f>
        <v>36821440</v>
      </c>
      <c r="D35" s="18">
        <f>SUM(D28:D34)</f>
        <v>1509000000</v>
      </c>
      <c r="E35" s="18"/>
      <c r="F35" s="20"/>
      <c r="G35" s="18">
        <f>SUM(G28:G34)</f>
        <v>8393000</v>
      </c>
      <c r="H35" s="33">
        <f t="shared" si="6"/>
        <v>4.3871607291790777</v>
      </c>
      <c r="I35" s="33">
        <f t="shared" si="7"/>
        <v>24.401219350563288</v>
      </c>
    </row>
    <row r="36" spans="2:11">
      <c r="C36" s="5"/>
      <c r="D36" s="8"/>
      <c r="E36" s="8"/>
      <c r="F36" s="21"/>
    </row>
    <row r="37" spans="2:11">
      <c r="C37" s="23"/>
      <c r="D37" s="8"/>
      <c r="E37" s="8"/>
    </row>
    <row r="38" spans="2:11">
      <c r="D38" s="8"/>
      <c r="E38" s="8"/>
    </row>
    <row r="39" spans="2:11">
      <c r="E39" s="8"/>
      <c r="K39" s="8"/>
    </row>
    <row r="40" spans="2:11">
      <c r="E40" s="5"/>
      <c r="K40" s="5"/>
    </row>
    <row r="41" spans="2:11">
      <c r="B41" s="200"/>
    </row>
    <row r="42" spans="2:11">
      <c r="B42" s="201"/>
      <c r="E42" s="5"/>
    </row>
    <row r="44" spans="2:11">
      <c r="B44" s="116"/>
    </row>
    <row r="45" spans="2:11" ht="24">
      <c r="B45" s="119" t="s">
        <v>212</v>
      </c>
      <c r="C45" s="119" t="s">
        <v>213</v>
      </c>
      <c r="D45" s="119" t="s">
        <v>214</v>
      </c>
      <c r="E45" s="119" t="s">
        <v>215</v>
      </c>
      <c r="F45" s="119" t="s">
        <v>216</v>
      </c>
      <c r="G45" s="119" t="s">
        <v>217</v>
      </c>
    </row>
    <row r="46" spans="2:11">
      <c r="B46" s="117">
        <v>1</v>
      </c>
      <c r="C46" s="117" t="s">
        <v>218</v>
      </c>
      <c r="D46" s="117" t="s">
        <v>219</v>
      </c>
      <c r="E46" s="117">
        <v>3</v>
      </c>
      <c r="F46" s="117">
        <v>1.5</v>
      </c>
      <c r="G46" s="118">
        <v>1.5</v>
      </c>
    </row>
    <row r="47" spans="2:11">
      <c r="B47" s="117">
        <v>2</v>
      </c>
      <c r="C47" s="117" t="s">
        <v>220</v>
      </c>
      <c r="D47" s="117" t="s">
        <v>219</v>
      </c>
      <c r="E47" s="117">
        <v>0.48</v>
      </c>
      <c r="F47" s="117">
        <f>E47/2</f>
        <v>0.24</v>
      </c>
      <c r="G47" s="118">
        <f>E47/2</f>
        <v>0.24</v>
      </c>
    </row>
    <row r="48" spans="2:11">
      <c r="B48" s="117">
        <v>3</v>
      </c>
      <c r="C48" s="117" t="s">
        <v>207</v>
      </c>
      <c r="D48" s="117" t="s">
        <v>219</v>
      </c>
      <c r="E48" s="117">
        <v>0.4</v>
      </c>
      <c r="F48" s="117">
        <f>E48*60%</f>
        <v>0.24</v>
      </c>
      <c r="G48" s="118">
        <f>E48*40%</f>
        <v>0.16000000000000003</v>
      </c>
    </row>
    <row r="49" spans="2:7">
      <c r="B49" s="117">
        <v>4</v>
      </c>
      <c r="C49" s="117" t="s">
        <v>76</v>
      </c>
      <c r="D49" s="117" t="s">
        <v>219</v>
      </c>
      <c r="E49" s="117">
        <v>0.32</v>
      </c>
      <c r="F49" s="120">
        <f>E49*70%</f>
        <v>0.22399999999999998</v>
      </c>
      <c r="G49" s="121">
        <f>E49-F49</f>
        <v>9.600000000000003E-2</v>
      </c>
    </row>
    <row r="50" spans="2:7" ht="24">
      <c r="B50" s="117">
        <v>5</v>
      </c>
      <c r="C50" s="117" t="s">
        <v>221</v>
      </c>
      <c r="D50" s="117" t="s">
        <v>222</v>
      </c>
      <c r="E50" s="117">
        <v>0.2</v>
      </c>
      <c r="F50" s="117" t="s">
        <v>223</v>
      </c>
      <c r="G50" s="118">
        <f>E50</f>
        <v>0.2</v>
      </c>
    </row>
    <row r="51" spans="2:7">
      <c r="B51" s="117"/>
      <c r="C51" s="117" t="s">
        <v>84</v>
      </c>
      <c r="D51" s="117"/>
      <c r="E51" s="117">
        <f>SUM(E46:E50)</f>
        <v>4.4000000000000004</v>
      </c>
      <c r="F51" s="117">
        <f>SUM(F46:F50)</f>
        <v>2.2039999999999997</v>
      </c>
      <c r="G51" s="120">
        <f>SUM(G46:G50)</f>
        <v>2.1960000000000002</v>
      </c>
    </row>
    <row r="53" spans="2:7">
      <c r="B53" t="s">
        <v>224</v>
      </c>
    </row>
    <row r="54" spans="2:7">
      <c r="B54" t="s">
        <v>225</v>
      </c>
    </row>
  </sheetData>
  <mergeCells count="1">
    <mergeCell ref="B5:F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D868C-DC8C-461E-8856-301777420076}">
  <dimension ref="A3:S39"/>
  <sheetViews>
    <sheetView topLeftCell="A19" workbookViewId="0">
      <selection activeCell="E23" sqref="E23"/>
    </sheetView>
  </sheetViews>
  <sheetFormatPr defaultRowHeight="14.4"/>
  <cols>
    <col min="1" max="1" width="14.44140625" customWidth="1"/>
    <col min="2" max="2" width="44.33203125" bestFit="1" customWidth="1"/>
    <col min="3" max="3" width="19.5546875" customWidth="1"/>
    <col min="4" max="4" width="15" bestFit="1" customWidth="1"/>
    <col min="5" max="5" width="23.44140625" bestFit="1" customWidth="1"/>
    <col min="6" max="6" width="12.33203125" bestFit="1" customWidth="1"/>
    <col min="7" max="7" width="11.109375" bestFit="1" customWidth="1"/>
    <col min="8" max="8" width="12.109375" style="32" bestFit="1" customWidth="1"/>
    <col min="9" max="9" width="7.88671875" bestFit="1" customWidth="1"/>
    <col min="10" max="10" width="10.5546875" bestFit="1" customWidth="1"/>
    <col min="11" max="11" width="8.5546875" bestFit="1" customWidth="1"/>
    <col min="12" max="12" width="5.109375" bestFit="1" customWidth="1"/>
    <col min="13" max="13" width="12" customWidth="1"/>
    <col min="16" max="17" width="13.6640625" bestFit="1" customWidth="1"/>
    <col min="19" max="19" width="12.109375" bestFit="1" customWidth="1"/>
  </cols>
  <sheetData>
    <row r="3" spans="1:10">
      <c r="B3" t="s">
        <v>180</v>
      </c>
    </row>
    <row r="4" spans="1:10">
      <c r="A4" s="6" t="s">
        <v>226</v>
      </c>
      <c r="B4" s="6" t="s">
        <v>227</v>
      </c>
    </row>
    <row r="5" spans="1:10">
      <c r="A5" s="6" t="s">
        <v>228</v>
      </c>
      <c r="B5" s="6" t="s">
        <v>229</v>
      </c>
    </row>
    <row r="6" spans="1:10">
      <c r="A6" s="6" t="s">
        <v>230</v>
      </c>
      <c r="B6" s="6" t="s">
        <v>231</v>
      </c>
    </row>
    <row r="9" spans="1:10">
      <c r="B9" t="s">
        <v>74</v>
      </c>
    </row>
    <row r="10" spans="1:10">
      <c r="A10" s="6" t="s">
        <v>226</v>
      </c>
      <c r="B10" s="6" t="s">
        <v>227</v>
      </c>
    </row>
    <row r="11" spans="1:10">
      <c r="A11" s="6" t="s">
        <v>228</v>
      </c>
      <c r="B11" s="6" t="s">
        <v>229</v>
      </c>
    </row>
    <row r="12" spans="1:10">
      <c r="A12" s="6" t="s">
        <v>230</v>
      </c>
      <c r="B12" s="6" t="s">
        <v>231</v>
      </c>
    </row>
    <row r="14" spans="1:10" ht="15" thickBot="1">
      <c r="A14" s="70" t="s">
        <v>74</v>
      </c>
    </row>
    <row r="15" spans="1:10" ht="52.8" thickBot="1">
      <c r="A15" s="71" t="s">
        <v>232</v>
      </c>
      <c r="B15" s="72" t="s">
        <v>97</v>
      </c>
      <c r="C15" s="72" t="s">
        <v>233</v>
      </c>
      <c r="D15" s="72" t="s">
        <v>234</v>
      </c>
      <c r="E15" s="72" t="s">
        <v>235</v>
      </c>
      <c r="F15" s="73" t="s">
        <v>99</v>
      </c>
    </row>
    <row r="16" spans="1:10" ht="15.6" thickBot="1">
      <c r="A16" s="74" t="s">
        <v>226</v>
      </c>
      <c r="B16" s="75" t="s">
        <v>236</v>
      </c>
      <c r="C16" s="76">
        <v>17000000</v>
      </c>
      <c r="D16" s="808">
        <v>0.33</v>
      </c>
      <c r="E16" s="76">
        <v>68000000</v>
      </c>
      <c r="F16" s="811" t="s">
        <v>237</v>
      </c>
      <c r="G16" s="8">
        <v>75</v>
      </c>
      <c r="H16" s="32">
        <f>E16/C16</f>
        <v>4</v>
      </c>
      <c r="I16" s="69"/>
      <c r="J16" s="8">
        <f>G16*E16/1000</f>
        <v>5100000</v>
      </c>
    </row>
    <row r="17" spans="1:19" ht="15.6" thickBot="1">
      <c r="A17" s="74" t="s">
        <v>228</v>
      </c>
      <c r="B17" s="75" t="s">
        <v>238</v>
      </c>
      <c r="C17" s="76">
        <v>8000000</v>
      </c>
      <c r="D17" s="809"/>
      <c r="E17" s="76">
        <v>32000000</v>
      </c>
      <c r="F17" s="812"/>
      <c r="G17" s="8">
        <v>75</v>
      </c>
      <c r="H17" s="32">
        <f t="shared" ref="H17:H18" si="0">E17/C17</f>
        <v>4</v>
      </c>
      <c r="I17" s="69"/>
      <c r="J17" s="8">
        <f>G17*E17/1000</f>
        <v>2400000</v>
      </c>
    </row>
    <row r="18" spans="1:19" ht="15.6" thickBot="1">
      <c r="A18" s="74" t="s">
        <v>230</v>
      </c>
      <c r="B18" s="75" t="s">
        <v>231</v>
      </c>
      <c r="C18" s="76">
        <v>20000000</v>
      </c>
      <c r="D18" s="810"/>
      <c r="E18" s="76">
        <v>80000000</v>
      </c>
      <c r="F18" s="813"/>
      <c r="G18" s="8">
        <v>75</v>
      </c>
      <c r="H18" s="32">
        <f t="shared" si="0"/>
        <v>4</v>
      </c>
      <c r="I18" s="69"/>
      <c r="J18" s="8">
        <f>G18*E18/1000</f>
        <v>6000000</v>
      </c>
    </row>
    <row r="19" spans="1:19">
      <c r="A19" s="70"/>
    </row>
    <row r="21" spans="1:19" ht="15" thickBot="1">
      <c r="A21" s="77" t="s">
        <v>239</v>
      </c>
      <c r="B21" s="78" t="s">
        <v>180</v>
      </c>
      <c r="C21" s="78"/>
      <c r="D21" s="78"/>
      <c r="E21" s="78"/>
      <c r="F21" s="78"/>
      <c r="G21" s="78"/>
      <c r="H21" s="78"/>
      <c r="I21" s="78"/>
      <c r="J21" s="78"/>
      <c r="K21" s="78"/>
    </row>
    <row r="22" spans="1:19" ht="28.2" thickBot="1">
      <c r="A22" s="79" t="s">
        <v>240</v>
      </c>
      <c r="B22" s="80" t="s">
        <v>47</v>
      </c>
      <c r="C22" s="80" t="s">
        <v>97</v>
      </c>
      <c r="D22" s="80" t="s">
        <v>241</v>
      </c>
      <c r="E22" s="80" t="s">
        <v>95</v>
      </c>
      <c r="F22" s="80" t="s">
        <v>12</v>
      </c>
      <c r="G22" s="80" t="s">
        <v>14</v>
      </c>
      <c r="H22" s="80" t="s">
        <v>242</v>
      </c>
      <c r="I22" s="80" t="s">
        <v>243</v>
      </c>
      <c r="J22" s="80" t="s">
        <v>16</v>
      </c>
      <c r="K22" s="80" t="s">
        <v>244</v>
      </c>
      <c r="L22" s="80" t="s">
        <v>118</v>
      </c>
      <c r="M22" s="80" t="s">
        <v>245</v>
      </c>
    </row>
    <row r="23" spans="1:19" ht="97.2" thickBot="1">
      <c r="A23" s="81" t="s">
        <v>246</v>
      </c>
      <c r="B23" s="82" t="s">
        <v>247</v>
      </c>
      <c r="C23" s="82" t="s">
        <v>248</v>
      </c>
      <c r="D23" s="82" t="s">
        <v>249</v>
      </c>
      <c r="E23" s="82" t="s">
        <v>250</v>
      </c>
      <c r="F23" s="83">
        <v>84000000</v>
      </c>
      <c r="G23" s="83">
        <v>28000000</v>
      </c>
      <c r="H23" s="83">
        <v>56000000</v>
      </c>
      <c r="I23" s="82" t="s">
        <v>251</v>
      </c>
      <c r="J23" s="82">
        <v>3</v>
      </c>
      <c r="K23" s="84">
        <v>8.0000000000000002E-3</v>
      </c>
      <c r="L23" s="82">
        <v>60</v>
      </c>
      <c r="M23" s="82" t="s">
        <v>252</v>
      </c>
      <c r="P23" s="8">
        <f>H23*30%</f>
        <v>16800000</v>
      </c>
      <c r="Q23" s="8">
        <f>P23*3</f>
        <v>50400000</v>
      </c>
      <c r="R23">
        <v>60</v>
      </c>
      <c r="S23" s="8">
        <f>R23*Q23/1000</f>
        <v>3024000</v>
      </c>
    </row>
    <row r="24" spans="1:19" ht="97.2" thickBot="1">
      <c r="A24" s="81" t="s">
        <v>246</v>
      </c>
      <c r="B24" s="82" t="s">
        <v>247</v>
      </c>
      <c r="C24" s="82" t="s">
        <v>253</v>
      </c>
      <c r="D24" s="82" t="s">
        <v>249</v>
      </c>
      <c r="E24" s="82" t="s">
        <v>250</v>
      </c>
      <c r="F24" s="83">
        <v>37500000</v>
      </c>
      <c r="G24" s="83">
        <v>12500000</v>
      </c>
      <c r="H24" s="83">
        <v>25000000</v>
      </c>
      <c r="I24" s="82" t="s">
        <v>251</v>
      </c>
      <c r="J24" s="82">
        <v>3</v>
      </c>
      <c r="K24" s="84">
        <v>8.0000000000000002E-3</v>
      </c>
      <c r="L24" s="82">
        <v>60</v>
      </c>
      <c r="M24" s="82" t="s">
        <v>254</v>
      </c>
      <c r="P24" s="8">
        <f>H24*50%</f>
        <v>12500000</v>
      </c>
      <c r="Q24" s="8">
        <f>P24*3</f>
        <v>37500000</v>
      </c>
      <c r="R24">
        <v>60</v>
      </c>
      <c r="S24" s="8">
        <f>R24*Q24/1000</f>
        <v>2250000</v>
      </c>
    </row>
    <row r="25" spans="1:19" ht="97.2" thickBot="1">
      <c r="A25" s="81" t="s">
        <v>246</v>
      </c>
      <c r="B25" s="82" t="s">
        <v>247</v>
      </c>
      <c r="C25" s="82" t="s">
        <v>255</v>
      </c>
      <c r="D25" s="82" t="s">
        <v>249</v>
      </c>
      <c r="E25" s="82" t="s">
        <v>250</v>
      </c>
      <c r="F25" s="83">
        <v>117000000</v>
      </c>
      <c r="G25" s="83">
        <v>39000000</v>
      </c>
      <c r="H25" s="83">
        <v>78000000</v>
      </c>
      <c r="I25" s="82" t="s">
        <v>251</v>
      </c>
      <c r="J25" s="82">
        <v>3</v>
      </c>
      <c r="K25" s="84">
        <v>8.0000000000000002E-3</v>
      </c>
      <c r="L25" s="82">
        <v>60</v>
      </c>
      <c r="M25" s="82" t="s">
        <v>256</v>
      </c>
    </row>
    <row r="26" spans="1:19">
      <c r="A26" s="85"/>
      <c r="H26" s="23"/>
    </row>
    <row r="27" spans="1:19">
      <c r="A27" s="86" t="s">
        <v>257</v>
      </c>
      <c r="H27"/>
    </row>
    <row r="28" spans="1:19">
      <c r="A28" s="85"/>
      <c r="H28"/>
    </row>
    <row r="29" spans="1:19">
      <c r="A29" s="86" t="s">
        <v>258</v>
      </c>
      <c r="H29"/>
    </row>
    <row r="33" spans="2:5">
      <c r="C33" t="s">
        <v>259</v>
      </c>
      <c r="D33" t="s">
        <v>259</v>
      </c>
      <c r="E33" t="s">
        <v>260</v>
      </c>
    </row>
    <row r="34" spans="2:5">
      <c r="B34" t="s">
        <v>261</v>
      </c>
      <c r="C34" s="219">
        <f>C36*C35/1000</f>
        <v>19.600000000000001</v>
      </c>
      <c r="D34" s="219">
        <f>D36*D35/1000</f>
        <v>19600000</v>
      </c>
      <c r="E34" s="217">
        <f>E35*E36/1000</f>
        <v>5600000</v>
      </c>
    </row>
    <row r="35" spans="2:5">
      <c r="B35" t="s">
        <v>118</v>
      </c>
      <c r="C35" s="219">
        <v>35</v>
      </c>
      <c r="D35" s="219">
        <v>35</v>
      </c>
      <c r="E35" s="217">
        <v>40</v>
      </c>
    </row>
    <row r="36" spans="2:5">
      <c r="B36" t="s">
        <v>48</v>
      </c>
      <c r="C36" s="219">
        <v>560</v>
      </c>
      <c r="D36" s="219">
        <f>C36*1000000</f>
        <v>560000000</v>
      </c>
      <c r="E36" s="217">
        <f>D36/4</f>
        <v>140000000</v>
      </c>
    </row>
    <row r="37" spans="2:5">
      <c r="B37" t="s">
        <v>262</v>
      </c>
      <c r="C37" s="219">
        <v>12</v>
      </c>
      <c r="D37" s="219">
        <f>C37*1000000</f>
        <v>12000000</v>
      </c>
      <c r="E37" s="217">
        <f>D37/4</f>
        <v>3000000</v>
      </c>
    </row>
    <row r="38" spans="2:5">
      <c r="B38" t="s">
        <v>263</v>
      </c>
      <c r="C38" s="220">
        <f>C37/C36</f>
        <v>2.1428571428571429E-2</v>
      </c>
      <c r="D38" s="220">
        <f>D37/D36</f>
        <v>2.1428571428571429E-2</v>
      </c>
      <c r="E38" s="218"/>
    </row>
    <row r="39" spans="2:5">
      <c r="B39" t="s">
        <v>264</v>
      </c>
      <c r="C39" s="219">
        <f>C36/4</f>
        <v>140</v>
      </c>
      <c r="D39" s="219">
        <f>C39*1000000</f>
        <v>140000000</v>
      </c>
      <c r="E39" s="217">
        <f>D39/4</f>
        <v>35000000</v>
      </c>
    </row>
  </sheetData>
  <mergeCells count="2">
    <mergeCell ref="D16:D18"/>
    <mergeCell ref="F16:F18"/>
  </mergeCells>
  <phoneticPr fontId="1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E3524-B14E-43F8-9B46-6B7C909803C6}">
  <dimension ref="A1:AW119"/>
  <sheetViews>
    <sheetView showGridLines="0" topLeftCell="A91" zoomScale="90" zoomScaleNormal="90" workbookViewId="0">
      <pane xSplit="5" topLeftCell="I1" activePane="topRight" state="frozen"/>
      <selection activeCell="Q105" sqref="Q105"/>
      <selection pane="topRight" activeCell="J97" sqref="J97"/>
    </sheetView>
  </sheetViews>
  <sheetFormatPr defaultColWidth="8.6640625" defaultRowHeight="12.6" customHeight="1"/>
  <cols>
    <col min="1" max="1" width="36.109375" style="177" bestFit="1" customWidth="1"/>
    <col min="2" max="2" width="4.88671875" style="177" bestFit="1" customWidth="1"/>
    <col min="3" max="3" width="22.5546875" style="177" bestFit="1" customWidth="1"/>
    <col min="4" max="4" width="12.88671875" style="177" bestFit="1" customWidth="1"/>
    <col min="5" max="5" width="25.5546875" style="177" customWidth="1"/>
    <col min="6" max="6" width="12.6640625" style="177" customWidth="1"/>
    <col min="7" max="7" width="15.88671875" style="177" customWidth="1"/>
    <col min="8" max="8" width="28.5546875" style="177" customWidth="1"/>
    <col min="9" max="9" width="10.88671875" style="177" bestFit="1" customWidth="1"/>
    <col min="10" max="10" width="57.88671875" style="177" customWidth="1"/>
    <col min="11" max="11" width="13.88671875" style="177" customWidth="1"/>
    <col min="12" max="12" width="4.88671875" style="177" customWidth="1"/>
    <col min="13" max="13" width="7.44140625" style="177" customWidth="1"/>
    <col min="14" max="14" width="5.6640625" style="177" bestFit="1" customWidth="1"/>
    <col min="15" max="15" width="12.88671875" style="177" customWidth="1"/>
    <col min="16" max="16" width="6.44140625" style="177" customWidth="1"/>
    <col min="17" max="17" width="9.109375" style="177" customWidth="1"/>
    <col min="18" max="19" width="14.109375" style="248" customWidth="1"/>
    <col min="20" max="20" width="12.6640625" style="177" bestFit="1" customWidth="1"/>
    <col min="21" max="21" width="9.33203125" style="177" customWidth="1"/>
    <col min="22" max="22" width="8.5546875" style="177" customWidth="1"/>
    <col min="23" max="23" width="8.44140625" style="177" customWidth="1"/>
    <col min="24" max="24" width="11.44140625" style="177" customWidth="1"/>
    <col min="25" max="25" width="12.5546875" style="177" bestFit="1" customWidth="1"/>
    <col min="26" max="26" width="6.5546875" style="177" customWidth="1"/>
    <col min="27" max="27" width="6.88671875" style="177" customWidth="1"/>
    <col min="28" max="28" width="12.109375" style="177" customWidth="1"/>
    <col min="29" max="29" width="7.33203125" style="177" customWidth="1"/>
    <col min="30" max="31" width="9.44140625" style="239" customWidth="1"/>
    <col min="32" max="32" width="4.109375" style="239" customWidth="1"/>
    <col min="33" max="34" width="11.33203125" style="177" bestFit="1" customWidth="1"/>
    <col min="35" max="40" width="8.6640625" style="177"/>
    <col min="41" max="41" width="10.5546875" style="177" bestFit="1" customWidth="1"/>
    <col min="42" max="42" width="8.6640625" style="177"/>
    <col min="43" max="43" width="9.88671875" style="177" customWidth="1"/>
    <col min="44" max="16384" width="8.6640625" style="177"/>
  </cols>
  <sheetData>
    <row r="1" spans="1:43" ht="11.1" customHeight="1">
      <c r="A1" s="147" t="s">
        <v>89</v>
      </c>
      <c r="B1" s="147" t="s">
        <v>90</v>
      </c>
      <c r="C1" s="147" t="s">
        <v>34</v>
      </c>
      <c r="D1" s="147" t="s">
        <v>91</v>
      </c>
      <c r="E1" s="147" t="s">
        <v>92</v>
      </c>
      <c r="F1" s="147" t="s">
        <v>93</v>
      </c>
      <c r="G1" s="147" t="s">
        <v>94</v>
      </c>
      <c r="H1" s="147" t="s">
        <v>95</v>
      </c>
      <c r="I1" s="147" t="s">
        <v>96</v>
      </c>
      <c r="J1" s="148" t="s">
        <v>97</v>
      </c>
      <c r="K1" s="149" t="s">
        <v>98</v>
      </c>
      <c r="L1" s="150" t="s">
        <v>99</v>
      </c>
      <c r="M1" s="151" t="s">
        <v>100</v>
      </c>
      <c r="N1" s="151" t="s">
        <v>101</v>
      </c>
      <c r="O1" s="151" t="s">
        <v>102</v>
      </c>
      <c r="P1" s="152" t="s">
        <v>103</v>
      </c>
      <c r="Q1" s="152" t="s">
        <v>104</v>
      </c>
      <c r="R1" s="208" t="s">
        <v>105</v>
      </c>
      <c r="S1" s="208" t="s">
        <v>265</v>
      </c>
      <c r="T1" s="203" t="s">
        <v>106</v>
      </c>
      <c r="U1" s="147" t="s">
        <v>107</v>
      </c>
      <c r="V1" s="147" t="s">
        <v>108</v>
      </c>
      <c r="W1" s="151" t="s">
        <v>14</v>
      </c>
      <c r="X1" s="151" t="s">
        <v>109</v>
      </c>
      <c r="Y1" s="204" t="s">
        <v>78</v>
      </c>
      <c r="Z1" s="132" t="s">
        <v>15</v>
      </c>
      <c r="AA1" s="205" t="s">
        <v>13</v>
      </c>
      <c r="AB1" s="204" t="s">
        <v>110</v>
      </c>
      <c r="AC1" s="204" t="s">
        <v>111</v>
      </c>
      <c r="AD1" s="204" t="s">
        <v>112</v>
      </c>
      <c r="AE1" s="204" t="s">
        <v>6</v>
      </c>
      <c r="AF1" s="204" t="s">
        <v>8</v>
      </c>
      <c r="AO1" s="369"/>
      <c r="AP1" s="239"/>
      <c r="AQ1" s="239"/>
    </row>
    <row r="2" spans="1:43" ht="12.6" customHeight="1">
      <c r="A2" s="101" t="s">
        <v>126</v>
      </c>
      <c r="B2" s="101"/>
      <c r="C2" s="101"/>
      <c r="D2" s="101"/>
      <c r="E2" s="101"/>
      <c r="F2" s="101"/>
      <c r="G2" s="101"/>
      <c r="H2" s="101"/>
      <c r="I2" s="101"/>
      <c r="J2" s="199"/>
      <c r="K2" s="103"/>
      <c r="L2" s="104"/>
      <c r="M2" s="105"/>
      <c r="N2" s="105"/>
      <c r="O2" s="105"/>
      <c r="P2" s="106"/>
      <c r="Q2" s="106"/>
      <c r="R2" s="107"/>
      <c r="S2" s="107"/>
      <c r="T2" s="105"/>
      <c r="U2" s="107"/>
      <c r="V2" s="108"/>
      <c r="W2" s="105"/>
      <c r="X2" s="105"/>
      <c r="Y2" s="105"/>
      <c r="Z2" s="105"/>
      <c r="AA2" s="105"/>
      <c r="AB2" s="105"/>
      <c r="AC2" s="105"/>
      <c r="AD2" s="105"/>
      <c r="AE2" s="105"/>
      <c r="AF2" s="105"/>
      <c r="AO2" s="370"/>
      <c r="AP2" s="239"/>
      <c r="AQ2" s="239"/>
    </row>
    <row r="3" spans="1:43" ht="12.6" customHeight="1">
      <c r="A3" s="155" t="s">
        <v>61</v>
      </c>
      <c r="B3" s="156" t="s">
        <v>127</v>
      </c>
      <c r="C3" s="156" t="s">
        <v>35</v>
      </c>
      <c r="D3" s="156" t="s">
        <v>128</v>
      </c>
      <c r="E3" s="155" t="s">
        <v>63</v>
      </c>
      <c r="F3" s="48" t="s">
        <v>70</v>
      </c>
      <c r="G3" s="157" t="s">
        <v>155</v>
      </c>
      <c r="H3" s="155" t="s">
        <v>266</v>
      </c>
      <c r="I3" s="48" t="s">
        <v>118</v>
      </c>
      <c r="J3" s="164" t="s">
        <v>267</v>
      </c>
      <c r="K3" s="45">
        <f>W3*AC3</f>
        <v>6972000</v>
      </c>
      <c r="L3" s="42">
        <v>2.5000000000000001E-3</v>
      </c>
      <c r="M3" s="43">
        <f>K3*L3</f>
        <v>17430</v>
      </c>
      <c r="N3" s="46">
        <v>0.75</v>
      </c>
      <c r="O3" s="43">
        <f>N3*K3</f>
        <v>5229000</v>
      </c>
      <c r="P3" s="158">
        <v>110</v>
      </c>
      <c r="Q3" s="158">
        <f t="shared" ref="Q3:Q5" si="0">T3/M3</f>
        <v>44</v>
      </c>
      <c r="R3" s="167">
        <v>110</v>
      </c>
      <c r="S3" s="167"/>
      <c r="T3" s="145">
        <f>K3*R3/1000</f>
        <v>766920</v>
      </c>
      <c r="U3" s="44">
        <f>T3/$T$103</f>
        <v>2.837841318462294E-2</v>
      </c>
      <c r="V3" s="46">
        <v>0.9</v>
      </c>
      <c r="W3" s="45">
        <f>Y3*Z3</f>
        <v>3486000</v>
      </c>
      <c r="X3" s="45">
        <f t="shared" ref="X3:X5" si="1">(1-V3)*W3</f>
        <v>348599.99999999994</v>
      </c>
      <c r="Y3" s="45">
        <f>5.81*1000000</f>
        <v>5810000</v>
      </c>
      <c r="Z3" s="46">
        <v>0.6</v>
      </c>
      <c r="AA3" s="51"/>
      <c r="AB3" s="46" t="e">
        <f t="shared" ref="AB3:AB5" si="2">X3/AA3</f>
        <v>#DIV/0!</v>
      </c>
      <c r="AC3" s="47">
        <v>2</v>
      </c>
      <c r="AD3" s="202" t="s">
        <v>268</v>
      </c>
      <c r="AE3" s="202" t="s">
        <v>269</v>
      </c>
      <c r="AF3" s="374">
        <v>10</v>
      </c>
      <c r="AO3" s="371"/>
      <c r="AP3" s="239"/>
      <c r="AQ3" s="372"/>
    </row>
    <row r="4" spans="1:43" ht="12.6" customHeight="1">
      <c r="A4" s="155" t="s">
        <v>61</v>
      </c>
      <c r="B4" s="156" t="s">
        <v>127</v>
      </c>
      <c r="C4" s="156" t="s">
        <v>35</v>
      </c>
      <c r="D4" s="156" t="s">
        <v>128</v>
      </c>
      <c r="E4" s="155" t="s">
        <v>63</v>
      </c>
      <c r="F4" s="48" t="s">
        <v>70</v>
      </c>
      <c r="G4" s="157" t="s">
        <v>155</v>
      </c>
      <c r="H4" s="156" t="s">
        <v>66</v>
      </c>
      <c r="I4" s="48" t="s">
        <v>118</v>
      </c>
      <c r="J4" s="164" t="s">
        <v>132</v>
      </c>
      <c r="K4" s="45">
        <f>W4*AC4</f>
        <v>8715000</v>
      </c>
      <c r="L4" s="42">
        <v>3.0000000000000001E-3</v>
      </c>
      <c r="M4" s="43">
        <f>K4*L4</f>
        <v>26145</v>
      </c>
      <c r="N4" s="46">
        <v>0.85</v>
      </c>
      <c r="O4" s="43">
        <f>K4*N4</f>
        <v>7407750</v>
      </c>
      <c r="P4" s="158">
        <f>(T4*1000)/K4</f>
        <v>60</v>
      </c>
      <c r="Q4" s="158">
        <f t="shared" si="0"/>
        <v>20</v>
      </c>
      <c r="R4" s="167">
        <v>60</v>
      </c>
      <c r="S4" s="167"/>
      <c r="T4" s="145">
        <f>K4*R4/1000</f>
        <v>522900</v>
      </c>
      <c r="U4" s="44">
        <f>T4/$T$103</f>
        <v>1.9348918080424733E-2</v>
      </c>
      <c r="V4" s="46">
        <v>0.9</v>
      </c>
      <c r="W4" s="45">
        <f>Y4*Z4</f>
        <v>2905000</v>
      </c>
      <c r="X4" s="45">
        <f t="shared" si="1"/>
        <v>290499.99999999994</v>
      </c>
      <c r="Y4" s="45">
        <v>5810000</v>
      </c>
      <c r="Z4" s="46">
        <v>0.5</v>
      </c>
      <c r="AA4" s="51"/>
      <c r="AB4" s="46" t="e">
        <f t="shared" si="2"/>
        <v>#DIV/0!</v>
      </c>
      <c r="AC4" s="47">
        <v>3</v>
      </c>
      <c r="AD4" s="202" t="s">
        <v>268</v>
      </c>
      <c r="AE4" s="202" t="s">
        <v>269</v>
      </c>
      <c r="AF4" s="374">
        <v>10</v>
      </c>
      <c r="AO4" s="371"/>
      <c r="AP4" s="239"/>
      <c r="AQ4" s="372"/>
    </row>
    <row r="5" spans="1:43" ht="12.6" customHeight="1">
      <c r="A5" s="186" t="s">
        <v>61</v>
      </c>
      <c r="B5" s="414" t="s">
        <v>127</v>
      </c>
      <c r="C5" s="414" t="s">
        <v>35</v>
      </c>
      <c r="D5" s="414" t="s">
        <v>128</v>
      </c>
      <c r="E5" s="186" t="s">
        <v>135</v>
      </c>
      <c r="F5" s="417" t="s">
        <v>70</v>
      </c>
      <c r="G5" s="491" t="s">
        <v>136</v>
      </c>
      <c r="H5" s="186" t="s">
        <v>160</v>
      </c>
      <c r="I5" s="417" t="s">
        <v>118</v>
      </c>
      <c r="J5" s="486" t="s">
        <v>138</v>
      </c>
      <c r="K5" s="45">
        <f>W5*AC5</f>
        <v>1522254.4000000001</v>
      </c>
      <c r="L5" s="418">
        <v>3.0000000000000001E-3</v>
      </c>
      <c r="M5" s="419">
        <f t="shared" ref="M5" si="3">K5*L5</f>
        <v>4566.7632000000003</v>
      </c>
      <c r="N5" s="423">
        <v>0.85</v>
      </c>
      <c r="O5" s="419">
        <f t="shared" ref="O5" si="4">K5*N5</f>
        <v>1293916.24</v>
      </c>
      <c r="P5" s="487">
        <f t="shared" ref="P5" si="5">T5/(K5/1000)</f>
        <v>125.00000000000001</v>
      </c>
      <c r="Q5" s="421">
        <f t="shared" si="0"/>
        <v>41.666666666666664</v>
      </c>
      <c r="R5" s="499">
        <v>125</v>
      </c>
      <c r="S5" s="499"/>
      <c r="T5" s="145">
        <f>K5*R5/1000</f>
        <v>190281.80000000002</v>
      </c>
      <c r="U5" s="420">
        <f>T5/$T$103</f>
        <v>7.0410154147939625E-3</v>
      </c>
      <c r="V5" s="423">
        <v>1</v>
      </c>
      <c r="W5" s="45">
        <f>Y5*Z5</f>
        <v>761127.20000000007</v>
      </c>
      <c r="X5" s="185">
        <f t="shared" si="1"/>
        <v>0</v>
      </c>
      <c r="Y5" s="419">
        <v>1902818</v>
      </c>
      <c r="Z5" s="423">
        <v>0.4</v>
      </c>
      <c r="AA5" s="489"/>
      <c r="AB5" s="420" t="e">
        <f t="shared" si="2"/>
        <v>#DIV/0!</v>
      </c>
      <c r="AC5" s="424">
        <v>2</v>
      </c>
      <c r="AD5" s="202" t="s">
        <v>268</v>
      </c>
      <c r="AE5" s="202" t="s">
        <v>269</v>
      </c>
      <c r="AF5" s="374">
        <v>10</v>
      </c>
      <c r="AO5" s="490"/>
      <c r="AQ5" s="248"/>
    </row>
    <row r="6" spans="1:43" ht="12.6" customHeight="1">
      <c r="A6" s="101" t="s">
        <v>140</v>
      </c>
      <c r="B6" s="101"/>
      <c r="C6" s="101"/>
      <c r="D6" s="101"/>
      <c r="E6" s="101"/>
      <c r="F6" s="101"/>
      <c r="G6" s="101"/>
      <c r="H6" s="101"/>
      <c r="I6" s="101"/>
      <c r="J6" s="199"/>
      <c r="K6" s="103"/>
      <c r="L6" s="104"/>
      <c r="M6" s="105"/>
      <c r="N6" s="105"/>
      <c r="O6" s="105"/>
      <c r="P6" s="106"/>
      <c r="Q6" s="106"/>
      <c r="R6" s="107"/>
      <c r="S6" s="107"/>
      <c r="T6" s="105"/>
      <c r="U6" s="107"/>
      <c r="V6" s="108"/>
      <c r="W6" s="105"/>
      <c r="X6" s="105"/>
      <c r="Y6" s="105"/>
      <c r="Z6" s="105"/>
      <c r="AA6" s="105"/>
      <c r="AB6" s="105"/>
      <c r="AC6" s="105"/>
      <c r="AD6" s="105"/>
      <c r="AE6" s="105"/>
      <c r="AF6" s="105"/>
      <c r="AO6" s="370"/>
      <c r="AP6" s="239"/>
      <c r="AQ6" s="372"/>
    </row>
    <row r="7" spans="1:43" s="239" customFormat="1" ht="12.6" customHeight="1">
      <c r="A7" s="155" t="s">
        <v>61</v>
      </c>
      <c r="B7" s="156" t="s">
        <v>127</v>
      </c>
      <c r="C7" s="156" t="s">
        <v>36</v>
      </c>
      <c r="D7" s="156" t="s">
        <v>128</v>
      </c>
      <c r="E7" s="155" t="s">
        <v>63</v>
      </c>
      <c r="F7" s="48" t="s">
        <v>70</v>
      </c>
      <c r="G7" s="157" t="s">
        <v>155</v>
      </c>
      <c r="H7" s="155" t="s">
        <v>266</v>
      </c>
      <c r="I7" s="48" t="s">
        <v>118</v>
      </c>
      <c r="J7" s="164" t="s">
        <v>270</v>
      </c>
      <c r="K7" s="45">
        <f>W7*AC7</f>
        <v>8136000</v>
      </c>
      <c r="L7" s="42">
        <v>2.5000000000000001E-3</v>
      </c>
      <c r="M7" s="43">
        <f>K7*L7</f>
        <v>20340</v>
      </c>
      <c r="N7" s="46">
        <v>0.75</v>
      </c>
      <c r="O7" s="43">
        <f>N7*K7</f>
        <v>6102000</v>
      </c>
      <c r="P7" s="158">
        <v>110</v>
      </c>
      <c r="Q7" s="158">
        <f t="shared" ref="Q7:Q9" si="6">T7/M7</f>
        <v>44</v>
      </c>
      <c r="R7" s="167">
        <v>110</v>
      </c>
      <c r="S7" s="167"/>
      <c r="T7" s="145">
        <f>K7*R7/1000</f>
        <v>894960</v>
      </c>
      <c r="U7" s="44">
        <f>T7/$T$103</f>
        <v>3.3116289396169285E-2</v>
      </c>
      <c r="V7" s="46">
        <v>0.9</v>
      </c>
      <c r="W7" s="45">
        <f>Y7*Z7</f>
        <v>4068000</v>
      </c>
      <c r="X7" s="45">
        <f>(1-V7)*W7</f>
        <v>406799.99999999988</v>
      </c>
      <c r="Y7" s="45">
        <v>6780000</v>
      </c>
      <c r="Z7" s="46">
        <v>0.6</v>
      </c>
      <c r="AA7" s="51"/>
      <c r="AB7" s="46" t="e">
        <f>X7/AA7</f>
        <v>#DIV/0!</v>
      </c>
      <c r="AC7" s="47">
        <v>2</v>
      </c>
      <c r="AD7" s="202" t="s">
        <v>268</v>
      </c>
      <c r="AE7" s="202" t="s">
        <v>269</v>
      </c>
      <c r="AF7" s="374">
        <v>10</v>
      </c>
      <c r="AO7" s="371"/>
      <c r="AQ7" s="372"/>
    </row>
    <row r="8" spans="1:43" ht="12.6" customHeight="1">
      <c r="A8" s="186" t="s">
        <v>61</v>
      </c>
      <c r="B8" s="414" t="s">
        <v>127</v>
      </c>
      <c r="C8" s="414" t="s">
        <v>36</v>
      </c>
      <c r="D8" s="414" t="s">
        <v>128</v>
      </c>
      <c r="E8" s="186" t="s">
        <v>63</v>
      </c>
      <c r="F8" s="417" t="s">
        <v>70</v>
      </c>
      <c r="G8" s="491" t="s">
        <v>155</v>
      </c>
      <c r="H8" s="414" t="s">
        <v>66</v>
      </c>
      <c r="I8" s="417" t="s">
        <v>118</v>
      </c>
      <c r="J8" s="486" t="s">
        <v>132</v>
      </c>
      <c r="K8" s="45">
        <f>W8*AC8</f>
        <v>6780000</v>
      </c>
      <c r="L8" s="42">
        <v>3.0000000000000001E-3</v>
      </c>
      <c r="M8" s="43">
        <f>K8*L8</f>
        <v>20340</v>
      </c>
      <c r="N8" s="46">
        <v>0.85</v>
      </c>
      <c r="O8" s="43">
        <f>K8*N8</f>
        <v>5763000</v>
      </c>
      <c r="P8" s="158">
        <f>(T8*1000)/K8</f>
        <v>60</v>
      </c>
      <c r="Q8" s="158">
        <f t="shared" si="6"/>
        <v>20</v>
      </c>
      <c r="R8" s="167">
        <v>60</v>
      </c>
      <c r="S8" s="167"/>
      <c r="T8" s="145">
        <f>K8*R8/1000</f>
        <v>406800</v>
      </c>
      <c r="U8" s="44">
        <f>T8/$T$103</f>
        <v>1.5052858816440582E-2</v>
      </c>
      <c r="V8" s="46">
        <v>0.9</v>
      </c>
      <c r="W8" s="45">
        <f>Y8*Z8</f>
        <v>3390000</v>
      </c>
      <c r="X8" s="185">
        <f t="shared" ref="X8:X9" si="7">(1-V8)*W8</f>
        <v>338999.99999999994</v>
      </c>
      <c r="Y8" s="185">
        <v>6780000</v>
      </c>
      <c r="Z8" s="46">
        <v>0.5</v>
      </c>
      <c r="AA8" s="489"/>
      <c r="AB8" s="46" t="e">
        <f>X8/AA8</f>
        <v>#DIV/0!</v>
      </c>
      <c r="AC8" s="424">
        <v>2</v>
      </c>
      <c r="AD8" s="202" t="s">
        <v>268</v>
      </c>
      <c r="AE8" s="202" t="s">
        <v>269</v>
      </c>
      <c r="AF8" s="374">
        <v>10</v>
      </c>
      <c r="AO8" s="500"/>
      <c r="AQ8" s="248"/>
    </row>
    <row r="9" spans="1:43" ht="12.6" customHeight="1">
      <c r="A9" s="186" t="s">
        <v>61</v>
      </c>
      <c r="B9" s="414" t="s">
        <v>127</v>
      </c>
      <c r="C9" s="414" t="s">
        <v>36</v>
      </c>
      <c r="D9" s="414" t="s">
        <v>128</v>
      </c>
      <c r="E9" s="186" t="s">
        <v>135</v>
      </c>
      <c r="F9" s="417" t="s">
        <v>70</v>
      </c>
      <c r="G9" s="491" t="s">
        <v>136</v>
      </c>
      <c r="H9" s="186" t="s">
        <v>160</v>
      </c>
      <c r="I9" s="417" t="s">
        <v>118</v>
      </c>
      <c r="J9" s="486" t="s">
        <v>138</v>
      </c>
      <c r="K9" s="45">
        <f>W9*AC9</f>
        <v>2541421.6</v>
      </c>
      <c r="L9" s="418">
        <v>3.0000000000000001E-3</v>
      </c>
      <c r="M9" s="419">
        <f t="shared" ref="M9" si="8">K9*L9</f>
        <v>7624.2648000000008</v>
      </c>
      <c r="N9" s="423">
        <v>0.85</v>
      </c>
      <c r="O9" s="419">
        <f t="shared" ref="O9" si="9">K9*N9</f>
        <v>2160208.36</v>
      </c>
      <c r="P9" s="487">
        <f>T9/(K9/1000)</f>
        <v>125</v>
      </c>
      <c r="Q9" s="421">
        <f t="shared" si="6"/>
        <v>41.666666666666664</v>
      </c>
      <c r="R9" s="499">
        <v>125</v>
      </c>
      <c r="S9" s="499"/>
      <c r="T9" s="145">
        <f>K9*R9/1000</f>
        <v>317677.7</v>
      </c>
      <c r="U9" s="420">
        <f>T9/$T$103</f>
        <v>1.1755057933214274E-2</v>
      </c>
      <c r="V9" s="423">
        <v>1</v>
      </c>
      <c r="W9" s="45">
        <f>Y9*Z9</f>
        <v>1270710.8</v>
      </c>
      <c r="X9" s="185">
        <f t="shared" si="7"/>
        <v>0</v>
      </c>
      <c r="Y9" s="419">
        <v>3176777</v>
      </c>
      <c r="Z9" s="423">
        <v>0.4</v>
      </c>
      <c r="AA9" s="489"/>
      <c r="AB9" s="420" t="e">
        <f t="shared" ref="AB9" si="10">X9/AA9</f>
        <v>#DIV/0!</v>
      </c>
      <c r="AC9" s="424">
        <v>2</v>
      </c>
      <c r="AD9" s="202" t="s">
        <v>268</v>
      </c>
      <c r="AE9" s="202" t="s">
        <v>269</v>
      </c>
      <c r="AF9" s="374">
        <v>10</v>
      </c>
      <c r="AO9" s="490"/>
      <c r="AQ9" s="248"/>
    </row>
    <row r="10" spans="1:43" ht="12.6" customHeight="1">
      <c r="A10" s="101" t="s">
        <v>141</v>
      </c>
      <c r="B10" s="101"/>
      <c r="C10" s="101"/>
      <c r="D10" s="101"/>
      <c r="E10" s="101"/>
      <c r="F10" s="101"/>
      <c r="G10" s="101"/>
      <c r="H10" s="101"/>
      <c r="I10" s="101"/>
      <c r="J10" s="199"/>
      <c r="K10" s="103"/>
      <c r="L10" s="104"/>
      <c r="M10" s="105"/>
      <c r="N10" s="105"/>
      <c r="O10" s="105"/>
      <c r="P10" s="106"/>
      <c r="Q10" s="106"/>
      <c r="R10" s="107"/>
      <c r="S10" s="107"/>
      <c r="T10" s="105"/>
      <c r="U10" s="107"/>
      <c r="V10" s="108"/>
      <c r="W10" s="105"/>
      <c r="X10" s="105"/>
      <c r="Y10" s="105"/>
      <c r="Z10" s="105"/>
      <c r="AA10" s="105"/>
      <c r="AB10" s="105"/>
      <c r="AC10" s="105"/>
      <c r="AD10" s="105"/>
      <c r="AE10" s="105"/>
      <c r="AF10" s="105"/>
      <c r="AO10" s="370"/>
      <c r="AP10" s="239"/>
      <c r="AQ10" s="372"/>
    </row>
    <row r="11" spans="1:43" ht="12.6" customHeight="1">
      <c r="A11" s="186" t="s">
        <v>61</v>
      </c>
      <c r="B11" s="414" t="s">
        <v>127</v>
      </c>
      <c r="C11" s="414" t="s">
        <v>37</v>
      </c>
      <c r="D11" s="414" t="s">
        <v>128</v>
      </c>
      <c r="E11" s="186" t="s">
        <v>63</v>
      </c>
      <c r="F11" s="417" t="s">
        <v>70</v>
      </c>
      <c r="G11" s="491" t="s">
        <v>155</v>
      </c>
      <c r="H11" s="186" t="s">
        <v>266</v>
      </c>
      <c r="I11" s="417" t="s">
        <v>118</v>
      </c>
      <c r="J11" s="486" t="s">
        <v>271</v>
      </c>
      <c r="K11" s="45">
        <f>W11*AC11</f>
        <v>4860000</v>
      </c>
      <c r="L11" s="42">
        <v>2.5000000000000001E-3</v>
      </c>
      <c r="M11" s="43">
        <f>K11*L11</f>
        <v>12150</v>
      </c>
      <c r="N11" s="46">
        <v>0.75</v>
      </c>
      <c r="O11" s="43">
        <f>N11*K11</f>
        <v>3645000</v>
      </c>
      <c r="P11" s="158">
        <v>110</v>
      </c>
      <c r="Q11" s="158">
        <f t="shared" ref="Q11:Q13" si="11">T11/M11</f>
        <v>44</v>
      </c>
      <c r="R11" s="167">
        <v>110</v>
      </c>
      <c r="S11" s="167"/>
      <c r="T11" s="145">
        <f>K11*R11/1000</f>
        <v>534600</v>
      </c>
      <c r="U11" s="44">
        <f>T11/$T$103</f>
        <v>1.9781854285322358E-2</v>
      </c>
      <c r="V11" s="46">
        <v>0.9</v>
      </c>
      <c r="W11" s="45">
        <f>Y11*Z11</f>
        <v>2430000</v>
      </c>
      <c r="X11" s="185">
        <f>(1-V11)*W11</f>
        <v>242999.99999999994</v>
      </c>
      <c r="Y11" s="185">
        <v>4050000</v>
      </c>
      <c r="Z11" s="46">
        <v>0.6</v>
      </c>
      <c r="AA11" s="489"/>
      <c r="AB11" s="423" t="e">
        <f>X11/AA11</f>
        <v>#DIV/0!</v>
      </c>
      <c r="AC11" s="424">
        <v>2</v>
      </c>
      <c r="AD11" s="202" t="s">
        <v>268</v>
      </c>
      <c r="AE11" s="202" t="s">
        <v>269</v>
      </c>
      <c r="AF11" s="374">
        <v>10</v>
      </c>
      <c r="AO11" s="500"/>
      <c r="AQ11" s="248"/>
    </row>
    <row r="12" spans="1:43" ht="12.6" customHeight="1">
      <c r="A12" s="186" t="s">
        <v>61</v>
      </c>
      <c r="B12" s="414" t="s">
        <v>127</v>
      </c>
      <c r="C12" s="414" t="s">
        <v>37</v>
      </c>
      <c r="D12" s="414" t="s">
        <v>128</v>
      </c>
      <c r="E12" s="186" t="s">
        <v>63</v>
      </c>
      <c r="F12" s="417" t="s">
        <v>70</v>
      </c>
      <c r="G12" s="491" t="s">
        <v>155</v>
      </c>
      <c r="H12" s="414" t="s">
        <v>66</v>
      </c>
      <c r="I12" s="417" t="s">
        <v>118</v>
      </c>
      <c r="J12" s="486" t="s">
        <v>132</v>
      </c>
      <c r="K12" s="45">
        <f>W12*AC12</f>
        <v>4050000</v>
      </c>
      <c r="L12" s="42">
        <v>3.0000000000000001E-3</v>
      </c>
      <c r="M12" s="43">
        <f>K12*L12</f>
        <v>12150</v>
      </c>
      <c r="N12" s="46">
        <v>0.85</v>
      </c>
      <c r="O12" s="43">
        <f>K12*N12</f>
        <v>3442500</v>
      </c>
      <c r="P12" s="158">
        <f>(T12*1000)/K12</f>
        <v>60</v>
      </c>
      <c r="Q12" s="158">
        <f t="shared" si="11"/>
        <v>20</v>
      </c>
      <c r="R12" s="167">
        <v>60</v>
      </c>
      <c r="S12" s="167"/>
      <c r="T12" s="145">
        <f>K12*R12/1000</f>
        <v>243000</v>
      </c>
      <c r="U12" s="44">
        <f>T12/$T$103</f>
        <v>8.9917519478737995E-3</v>
      </c>
      <c r="V12" s="46">
        <v>0.9</v>
      </c>
      <c r="W12" s="45">
        <f>Y12*Z12</f>
        <v>2025000</v>
      </c>
      <c r="X12" s="185">
        <f t="shared" ref="X12:X13" si="12">(1-V12)*W12</f>
        <v>202499.99999999994</v>
      </c>
      <c r="Y12" s="185">
        <v>4050000</v>
      </c>
      <c r="Z12" s="46">
        <v>0.5</v>
      </c>
      <c r="AA12" s="489"/>
      <c r="AB12" s="423" t="e">
        <f>X12/AA12</f>
        <v>#DIV/0!</v>
      </c>
      <c r="AC12" s="424">
        <v>2</v>
      </c>
      <c r="AD12" s="202" t="s">
        <v>268</v>
      </c>
      <c r="AE12" s="202" t="s">
        <v>269</v>
      </c>
      <c r="AF12" s="374">
        <v>10</v>
      </c>
      <c r="AO12" s="500"/>
      <c r="AQ12" s="248"/>
    </row>
    <row r="13" spans="1:43" ht="12.6" customHeight="1">
      <c r="A13" s="186" t="s">
        <v>61</v>
      </c>
      <c r="B13" s="414" t="s">
        <v>127</v>
      </c>
      <c r="C13" s="414" t="s">
        <v>37</v>
      </c>
      <c r="D13" s="414" t="s">
        <v>128</v>
      </c>
      <c r="E13" s="186" t="s">
        <v>135</v>
      </c>
      <c r="F13" s="417" t="s">
        <v>70</v>
      </c>
      <c r="G13" s="491" t="s">
        <v>136</v>
      </c>
      <c r="H13" s="186" t="s">
        <v>160</v>
      </c>
      <c r="I13" s="417" t="s">
        <v>118</v>
      </c>
      <c r="J13" s="486" t="s">
        <v>138</v>
      </c>
      <c r="K13" s="45">
        <f>W13*AC13</f>
        <v>1557868</v>
      </c>
      <c r="L13" s="418">
        <v>3.0000000000000001E-3</v>
      </c>
      <c r="M13" s="419">
        <f t="shared" ref="M13" si="13">K13*L13</f>
        <v>4673.6040000000003</v>
      </c>
      <c r="N13" s="423">
        <v>0.85</v>
      </c>
      <c r="O13" s="419">
        <f t="shared" ref="O13" si="14">K13*N13</f>
        <v>1324187.8</v>
      </c>
      <c r="P13" s="487">
        <f t="shared" ref="P13" si="15">T13/(K13/1000)</f>
        <v>125</v>
      </c>
      <c r="Q13" s="421">
        <f t="shared" si="11"/>
        <v>41.666666666666664</v>
      </c>
      <c r="R13" s="499">
        <v>125</v>
      </c>
      <c r="S13" s="499"/>
      <c r="T13" s="145">
        <f>K13*R13/1000</f>
        <v>194733.5</v>
      </c>
      <c r="U13" s="420">
        <f>T13/$T$103</f>
        <v>7.2057420902933442E-3</v>
      </c>
      <c r="V13" s="423">
        <v>1</v>
      </c>
      <c r="W13" s="45">
        <f>Y13*Z13</f>
        <v>778934</v>
      </c>
      <c r="X13" s="185">
        <f t="shared" si="12"/>
        <v>0</v>
      </c>
      <c r="Y13" s="419">
        <v>1947335</v>
      </c>
      <c r="Z13" s="423">
        <v>0.4</v>
      </c>
      <c r="AA13" s="489"/>
      <c r="AB13" s="420" t="e">
        <f t="shared" ref="AB13" si="16">X13/AA13</f>
        <v>#DIV/0!</v>
      </c>
      <c r="AC13" s="424">
        <v>2</v>
      </c>
      <c r="AD13" s="202" t="s">
        <v>268</v>
      </c>
      <c r="AE13" s="202" t="s">
        <v>269</v>
      </c>
      <c r="AF13" s="374">
        <v>10</v>
      </c>
      <c r="AO13" s="490"/>
      <c r="AQ13" s="248"/>
    </row>
    <row r="14" spans="1:43" ht="12.6" customHeight="1">
      <c r="A14" s="101" t="s">
        <v>142</v>
      </c>
      <c r="B14" s="101"/>
      <c r="C14" s="101"/>
      <c r="D14" s="101"/>
      <c r="E14" s="101"/>
      <c r="F14" s="101"/>
      <c r="G14" s="101"/>
      <c r="H14" s="101"/>
      <c r="I14" s="101"/>
      <c r="J14" s="199"/>
      <c r="K14" s="103"/>
      <c r="L14" s="104"/>
      <c r="M14" s="105"/>
      <c r="N14" s="105"/>
      <c r="O14" s="105"/>
      <c r="P14" s="106"/>
      <c r="Q14" s="106"/>
      <c r="R14" s="107"/>
      <c r="S14" s="107"/>
      <c r="T14" s="105"/>
      <c r="U14" s="107"/>
      <c r="V14" s="108"/>
      <c r="W14" s="105"/>
      <c r="X14" s="105"/>
      <c r="Y14" s="105"/>
      <c r="Z14" s="105"/>
      <c r="AA14" s="105"/>
      <c r="AB14" s="105"/>
      <c r="AC14" s="105"/>
      <c r="AD14" s="105"/>
      <c r="AE14" s="105"/>
      <c r="AF14" s="105"/>
      <c r="AO14" s="370"/>
      <c r="AP14" s="239"/>
      <c r="AQ14" s="372"/>
    </row>
    <row r="15" spans="1:43" s="239" customFormat="1" ht="12.6" customHeight="1">
      <c r="A15" s="155" t="s">
        <v>61</v>
      </c>
      <c r="B15" s="156" t="s">
        <v>127</v>
      </c>
      <c r="C15" s="156" t="s">
        <v>39</v>
      </c>
      <c r="D15" s="156" t="s">
        <v>128</v>
      </c>
      <c r="E15" s="155" t="s">
        <v>63</v>
      </c>
      <c r="F15" s="48" t="s">
        <v>70</v>
      </c>
      <c r="G15" s="157" t="s">
        <v>155</v>
      </c>
      <c r="H15" s="155" t="s">
        <v>266</v>
      </c>
      <c r="I15" s="48" t="s">
        <v>118</v>
      </c>
      <c r="J15" s="164" t="s">
        <v>272</v>
      </c>
      <c r="K15" s="45">
        <f>W15*AC15</f>
        <v>1776000</v>
      </c>
      <c r="L15" s="42">
        <v>2.5000000000000001E-3</v>
      </c>
      <c r="M15" s="43">
        <f>K15*L15</f>
        <v>4440</v>
      </c>
      <c r="N15" s="46">
        <v>0.75</v>
      </c>
      <c r="O15" s="43">
        <f>N15*K15</f>
        <v>1332000</v>
      </c>
      <c r="P15" s="158">
        <v>110</v>
      </c>
      <c r="Q15" s="158">
        <f t="shared" ref="Q15:Q17" si="17">T15/M15</f>
        <v>44</v>
      </c>
      <c r="R15" s="167">
        <v>110</v>
      </c>
      <c r="S15" s="167"/>
      <c r="T15" s="145">
        <f>K15*R15/1000</f>
        <v>195360</v>
      </c>
      <c r="U15" s="44">
        <f>T15/$T$103</f>
        <v>7.2289245289573062E-3</v>
      </c>
      <c r="V15" s="46">
        <v>0.9</v>
      </c>
      <c r="W15" s="45">
        <f>Y15*Z15</f>
        <v>888000</v>
      </c>
      <c r="X15" s="45">
        <f t="shared" ref="X15:X17" si="18">(1-V15)*W15</f>
        <v>88799.999999999985</v>
      </c>
      <c r="Y15" s="45">
        <v>1480000</v>
      </c>
      <c r="Z15" s="46">
        <v>0.6</v>
      </c>
      <c r="AA15" s="51"/>
      <c r="AB15" s="46" t="e">
        <f>X15/AA15</f>
        <v>#DIV/0!</v>
      </c>
      <c r="AC15" s="47">
        <v>2</v>
      </c>
      <c r="AD15" s="202" t="s">
        <v>268</v>
      </c>
      <c r="AE15" s="202" t="s">
        <v>269</v>
      </c>
      <c r="AF15" s="374">
        <v>10</v>
      </c>
      <c r="AO15" s="371"/>
      <c r="AQ15" s="372"/>
    </row>
    <row r="16" spans="1:43" s="239" customFormat="1" ht="12.6" customHeight="1">
      <c r="A16" s="155" t="s">
        <v>61</v>
      </c>
      <c r="B16" s="156" t="s">
        <v>127</v>
      </c>
      <c r="C16" s="156" t="s">
        <v>39</v>
      </c>
      <c r="D16" s="156" t="s">
        <v>128</v>
      </c>
      <c r="E16" s="155" t="s">
        <v>63</v>
      </c>
      <c r="F16" s="48" t="s">
        <v>70</v>
      </c>
      <c r="G16" s="157" t="s">
        <v>155</v>
      </c>
      <c r="H16" s="156" t="s">
        <v>66</v>
      </c>
      <c r="I16" s="48" t="s">
        <v>118</v>
      </c>
      <c r="J16" s="164" t="s">
        <v>132</v>
      </c>
      <c r="K16" s="45">
        <f>W16*AC16</f>
        <v>1480000</v>
      </c>
      <c r="L16" s="42">
        <v>3.0000000000000001E-3</v>
      </c>
      <c r="M16" s="43">
        <f>K16*L16</f>
        <v>4440</v>
      </c>
      <c r="N16" s="46">
        <v>0.85</v>
      </c>
      <c r="O16" s="43">
        <f>K16*N16</f>
        <v>1258000</v>
      </c>
      <c r="P16" s="158">
        <f>(T16*1000)/K16</f>
        <v>60</v>
      </c>
      <c r="Q16" s="158">
        <f t="shared" si="17"/>
        <v>20</v>
      </c>
      <c r="R16" s="167">
        <v>60</v>
      </c>
      <c r="S16" s="167"/>
      <c r="T16" s="145">
        <f>K16*R16/1000</f>
        <v>88800</v>
      </c>
      <c r="U16" s="44">
        <f>T16/$T$103</f>
        <v>3.2858747858896848E-3</v>
      </c>
      <c r="V16" s="46">
        <v>0.9</v>
      </c>
      <c r="W16" s="45">
        <f>Y16*Z16</f>
        <v>740000</v>
      </c>
      <c r="X16" s="45">
        <f>(1-V16)*W16</f>
        <v>73999.999999999985</v>
      </c>
      <c r="Y16" s="45">
        <v>1480000</v>
      </c>
      <c r="Z16" s="46">
        <v>0.5</v>
      </c>
      <c r="AA16" s="51"/>
      <c r="AB16" s="46" t="e">
        <f>X16/AA16</f>
        <v>#DIV/0!</v>
      </c>
      <c r="AC16" s="47">
        <v>2</v>
      </c>
      <c r="AD16" s="202" t="s">
        <v>268</v>
      </c>
      <c r="AE16" s="202" t="s">
        <v>269</v>
      </c>
      <c r="AF16" s="374">
        <v>10</v>
      </c>
      <c r="AO16" s="371"/>
      <c r="AQ16" s="372"/>
    </row>
    <row r="17" spans="1:43" s="239" customFormat="1" ht="12.6" customHeight="1">
      <c r="A17" s="155" t="s">
        <v>61</v>
      </c>
      <c r="B17" s="156" t="s">
        <v>127</v>
      </c>
      <c r="C17" s="156" t="s">
        <v>39</v>
      </c>
      <c r="D17" s="156" t="s">
        <v>128</v>
      </c>
      <c r="E17" s="155" t="s">
        <v>135</v>
      </c>
      <c r="F17" s="48" t="s">
        <v>70</v>
      </c>
      <c r="G17" s="157" t="s">
        <v>136</v>
      </c>
      <c r="H17" s="155" t="s">
        <v>160</v>
      </c>
      <c r="I17" s="48" t="s">
        <v>118</v>
      </c>
      <c r="J17" s="164" t="s">
        <v>138</v>
      </c>
      <c r="K17" s="45">
        <f>W17*AC17</f>
        <v>1362554.4000000001</v>
      </c>
      <c r="L17" s="418">
        <v>3.0000000000000001E-3</v>
      </c>
      <c r="M17" s="419">
        <f t="shared" ref="M17" si="19">K17*L17</f>
        <v>4087.6632000000004</v>
      </c>
      <c r="N17" s="423">
        <v>0.85</v>
      </c>
      <c r="O17" s="419">
        <f t="shared" ref="O17" si="20">K17*N17</f>
        <v>1158171.24</v>
      </c>
      <c r="P17" s="487">
        <f t="shared" ref="P17" si="21">T17/(K17/1000)</f>
        <v>125</v>
      </c>
      <c r="Q17" s="421">
        <f t="shared" si="17"/>
        <v>41.666666666666664</v>
      </c>
      <c r="R17" s="499">
        <v>125</v>
      </c>
      <c r="S17" s="499"/>
      <c r="T17" s="145">
        <f>K17*R17/1000</f>
        <v>170319.30000000002</v>
      </c>
      <c r="U17" s="420">
        <f>T17/$T$103</f>
        <v>6.3023411421214079E-3</v>
      </c>
      <c r="V17" s="423">
        <v>1</v>
      </c>
      <c r="W17" s="45">
        <f>Y17*Z17</f>
        <v>681277.20000000007</v>
      </c>
      <c r="X17" s="45">
        <f t="shared" si="18"/>
        <v>0</v>
      </c>
      <c r="Y17" s="43">
        <v>1703193</v>
      </c>
      <c r="Z17" s="423">
        <v>0.4</v>
      </c>
      <c r="AA17" s="51"/>
      <c r="AB17" s="44" t="e">
        <f t="shared" ref="AB17" si="22">X17/AA17</f>
        <v>#DIV/0!</v>
      </c>
      <c r="AC17" s="47">
        <v>2</v>
      </c>
      <c r="AD17" s="202" t="s">
        <v>268</v>
      </c>
      <c r="AE17" s="202" t="s">
        <v>269</v>
      </c>
      <c r="AF17" s="374">
        <v>10</v>
      </c>
      <c r="AO17" s="373"/>
      <c r="AQ17" s="372"/>
    </row>
    <row r="18" spans="1:43" ht="12.6" customHeight="1">
      <c r="A18" s="101" t="s">
        <v>143</v>
      </c>
      <c r="B18" s="101"/>
      <c r="C18" s="101"/>
      <c r="D18" s="101"/>
      <c r="E18" s="101"/>
      <c r="F18" s="101"/>
      <c r="G18" s="101"/>
      <c r="H18" s="101"/>
      <c r="I18" s="101"/>
      <c r="J18" s="199"/>
      <c r="K18" s="103"/>
      <c r="L18" s="104"/>
      <c r="M18" s="105"/>
      <c r="N18" s="105"/>
      <c r="O18" s="105"/>
      <c r="P18" s="106"/>
      <c r="Q18" s="106"/>
      <c r="R18" s="107"/>
      <c r="S18" s="107"/>
      <c r="T18" s="105"/>
      <c r="U18" s="107"/>
      <c r="V18" s="108"/>
      <c r="W18" s="105"/>
      <c r="X18" s="105"/>
      <c r="Y18" s="105"/>
      <c r="Z18" s="105"/>
      <c r="AA18" s="105"/>
      <c r="AB18" s="105"/>
      <c r="AC18" s="105"/>
      <c r="AD18" s="105"/>
      <c r="AE18" s="105"/>
      <c r="AF18" s="105"/>
      <c r="AO18" s="370"/>
      <c r="AP18" s="239"/>
      <c r="AQ18" s="372"/>
    </row>
    <row r="19" spans="1:43" s="239" customFormat="1" ht="12.6" customHeight="1">
      <c r="A19" s="155" t="s">
        <v>61</v>
      </c>
      <c r="B19" s="156" t="s">
        <v>127</v>
      </c>
      <c r="C19" s="156" t="s">
        <v>40</v>
      </c>
      <c r="D19" s="156" t="s">
        <v>128</v>
      </c>
      <c r="E19" s="155" t="s">
        <v>63</v>
      </c>
      <c r="F19" s="48" t="s">
        <v>70</v>
      </c>
      <c r="G19" s="157" t="s">
        <v>155</v>
      </c>
      <c r="H19" s="155" t="s">
        <v>266</v>
      </c>
      <c r="I19" s="48" t="s">
        <v>118</v>
      </c>
      <c r="J19" s="164" t="s">
        <v>273</v>
      </c>
      <c r="K19" s="45">
        <f>W19*AC19</f>
        <v>3732000</v>
      </c>
      <c r="L19" s="42">
        <v>2.5000000000000001E-3</v>
      </c>
      <c r="M19" s="43">
        <f>K19*L19</f>
        <v>9330</v>
      </c>
      <c r="N19" s="46">
        <v>0.75</v>
      </c>
      <c r="O19" s="43">
        <f>N19*K19</f>
        <v>2799000</v>
      </c>
      <c r="P19" s="158">
        <v>110</v>
      </c>
      <c r="Q19" s="158">
        <f t="shared" ref="Q19:Q21" si="23">T19/M19</f>
        <v>44</v>
      </c>
      <c r="R19" s="167">
        <v>110</v>
      </c>
      <c r="S19" s="167"/>
      <c r="T19" s="145">
        <f>K19*R19/1000</f>
        <v>410520</v>
      </c>
      <c r="U19" s="44">
        <f>T19/$T$103</f>
        <v>1.5190510327741368E-2</v>
      </c>
      <c r="V19" s="46">
        <v>0.9</v>
      </c>
      <c r="W19" s="45">
        <f>Y19*Z19</f>
        <v>1866000</v>
      </c>
      <c r="X19" s="45">
        <f>(1-V19)*W19</f>
        <v>186599.99999999997</v>
      </c>
      <c r="Y19" s="235">
        <v>3110000</v>
      </c>
      <c r="Z19" s="46">
        <v>0.6</v>
      </c>
      <c r="AA19" s="51"/>
      <c r="AB19" s="46" t="e">
        <f>X19/AA19</f>
        <v>#DIV/0!</v>
      </c>
      <c r="AC19" s="47">
        <v>2</v>
      </c>
      <c r="AD19" s="202" t="s">
        <v>268</v>
      </c>
      <c r="AE19" s="202" t="s">
        <v>269</v>
      </c>
      <c r="AF19" s="374">
        <v>10</v>
      </c>
      <c r="AO19" s="371"/>
      <c r="AQ19" s="372"/>
    </row>
    <row r="20" spans="1:43" s="239" customFormat="1" ht="12.6" customHeight="1">
      <c r="A20" s="155" t="s">
        <v>61</v>
      </c>
      <c r="B20" s="156" t="s">
        <v>127</v>
      </c>
      <c r="C20" s="156" t="s">
        <v>40</v>
      </c>
      <c r="D20" s="156" t="s">
        <v>128</v>
      </c>
      <c r="E20" s="155" t="s">
        <v>63</v>
      </c>
      <c r="F20" s="48" t="s">
        <v>70</v>
      </c>
      <c r="G20" s="157" t="s">
        <v>155</v>
      </c>
      <c r="H20" s="156" t="s">
        <v>66</v>
      </c>
      <c r="I20" s="48" t="s">
        <v>118</v>
      </c>
      <c r="J20" s="164" t="s">
        <v>132</v>
      </c>
      <c r="K20" s="45">
        <f>W20*AC20</f>
        <v>3110000</v>
      </c>
      <c r="L20" s="42">
        <v>3.0000000000000001E-3</v>
      </c>
      <c r="M20" s="43">
        <f>K20*L20</f>
        <v>9330</v>
      </c>
      <c r="N20" s="46">
        <v>0.85</v>
      </c>
      <c r="O20" s="43">
        <f>K20*N20</f>
        <v>2643500</v>
      </c>
      <c r="P20" s="158">
        <f>(T20*1000)/K20</f>
        <v>60</v>
      </c>
      <c r="Q20" s="158">
        <f t="shared" si="23"/>
        <v>20</v>
      </c>
      <c r="R20" s="167">
        <v>60</v>
      </c>
      <c r="S20" s="167"/>
      <c r="T20" s="145">
        <f>K20*R20/1000</f>
        <v>186600</v>
      </c>
      <c r="U20" s="44">
        <f>T20/$T$103</f>
        <v>6.9047774217006214E-3</v>
      </c>
      <c r="V20" s="46">
        <v>0.9</v>
      </c>
      <c r="W20" s="45">
        <f>Y20*Z20</f>
        <v>1555000</v>
      </c>
      <c r="X20" s="45">
        <f t="shared" ref="X20:X21" si="24">(1-V20)*W20</f>
        <v>155499.99999999997</v>
      </c>
      <c r="Y20" s="235">
        <v>3110000</v>
      </c>
      <c r="Z20" s="46">
        <v>0.5</v>
      </c>
      <c r="AA20" s="51"/>
      <c r="AB20" s="46" t="e">
        <f>X20/AA20</f>
        <v>#DIV/0!</v>
      </c>
      <c r="AC20" s="47">
        <v>2</v>
      </c>
      <c r="AD20" s="202" t="s">
        <v>268</v>
      </c>
      <c r="AE20" s="202" t="s">
        <v>269</v>
      </c>
      <c r="AF20" s="374">
        <v>10</v>
      </c>
      <c r="AO20" s="371"/>
      <c r="AQ20" s="372"/>
    </row>
    <row r="21" spans="1:43" s="239" customFormat="1" ht="12.6" customHeight="1">
      <c r="A21" s="155" t="s">
        <v>61</v>
      </c>
      <c r="B21" s="156" t="s">
        <v>127</v>
      </c>
      <c r="C21" s="156" t="s">
        <v>40</v>
      </c>
      <c r="D21" s="156" t="s">
        <v>128</v>
      </c>
      <c r="E21" s="155" t="s">
        <v>135</v>
      </c>
      <c r="F21" s="48" t="s">
        <v>70</v>
      </c>
      <c r="G21" s="157" t="s">
        <v>136</v>
      </c>
      <c r="H21" s="155" t="s">
        <v>160</v>
      </c>
      <c r="I21" s="48" t="s">
        <v>118</v>
      </c>
      <c r="J21" s="164" t="s">
        <v>138</v>
      </c>
      <c r="K21" s="45">
        <f>W21*AC21</f>
        <v>2440846.4</v>
      </c>
      <c r="L21" s="418">
        <v>3.0000000000000001E-3</v>
      </c>
      <c r="M21" s="419">
        <f t="shared" ref="M21" si="25">K21*L21</f>
        <v>7322.5392000000002</v>
      </c>
      <c r="N21" s="423">
        <v>0.85</v>
      </c>
      <c r="O21" s="419">
        <f t="shared" ref="O21" si="26">K21*N21</f>
        <v>2074719.44</v>
      </c>
      <c r="P21" s="487">
        <f t="shared" ref="P21" si="27">T21/(K21/1000)</f>
        <v>125</v>
      </c>
      <c r="Q21" s="421">
        <f t="shared" si="23"/>
        <v>41.666666666666664</v>
      </c>
      <c r="R21" s="499">
        <v>125</v>
      </c>
      <c r="S21" s="499"/>
      <c r="T21" s="145">
        <f>K21*R21/1000</f>
        <v>305105.8</v>
      </c>
      <c r="U21" s="420">
        <f>T21/$T$103</f>
        <v>1.1289858730278164E-2</v>
      </c>
      <c r="V21" s="423">
        <v>1</v>
      </c>
      <c r="W21" s="45">
        <f>Y21*Z21</f>
        <v>1220423.2</v>
      </c>
      <c r="X21" s="45">
        <f t="shared" si="24"/>
        <v>0</v>
      </c>
      <c r="Y21" s="43">
        <v>3051058</v>
      </c>
      <c r="Z21" s="423">
        <v>0.4</v>
      </c>
      <c r="AA21" s="51"/>
      <c r="AB21" s="44" t="e">
        <f t="shared" ref="AB21" si="28">X21/AA21</f>
        <v>#DIV/0!</v>
      </c>
      <c r="AC21" s="47">
        <v>2</v>
      </c>
      <c r="AD21" s="202" t="s">
        <v>268</v>
      </c>
      <c r="AE21" s="202" t="s">
        <v>269</v>
      </c>
      <c r="AF21" s="374">
        <v>10</v>
      </c>
      <c r="AO21" s="373"/>
      <c r="AQ21" s="372"/>
    </row>
    <row r="22" spans="1:43" ht="12.6" customHeight="1">
      <c r="A22" s="101" t="s">
        <v>144</v>
      </c>
      <c r="B22" s="101"/>
      <c r="C22" s="101"/>
      <c r="D22" s="101"/>
      <c r="E22" s="101"/>
      <c r="F22" s="101"/>
      <c r="G22" s="101"/>
      <c r="H22" s="101"/>
      <c r="I22" s="101"/>
      <c r="J22" s="199"/>
      <c r="K22" s="103"/>
      <c r="L22" s="104"/>
      <c r="M22" s="105"/>
      <c r="N22" s="105"/>
      <c r="O22" s="105"/>
      <c r="P22" s="106"/>
      <c r="Q22" s="106"/>
      <c r="R22" s="107"/>
      <c r="S22" s="107"/>
      <c r="T22" s="105"/>
      <c r="U22" s="107"/>
      <c r="V22" s="108"/>
      <c r="W22" s="105"/>
      <c r="X22" s="105"/>
      <c r="Y22" s="105"/>
      <c r="Z22" s="105"/>
      <c r="AA22" s="105"/>
      <c r="AB22" s="105"/>
      <c r="AC22" s="105"/>
      <c r="AD22" s="105"/>
      <c r="AE22" s="105"/>
      <c r="AF22" s="105"/>
      <c r="AO22" s="370"/>
      <c r="AP22" s="239"/>
      <c r="AQ22" s="372"/>
    </row>
    <row r="23" spans="1:43" s="239" customFormat="1" ht="12.6" customHeight="1">
      <c r="A23" s="155" t="s">
        <v>61</v>
      </c>
      <c r="B23" s="156" t="s">
        <v>127</v>
      </c>
      <c r="C23" s="156" t="s">
        <v>38</v>
      </c>
      <c r="D23" s="156" t="s">
        <v>128</v>
      </c>
      <c r="E23" s="155" t="s">
        <v>63</v>
      </c>
      <c r="F23" s="48" t="s">
        <v>70</v>
      </c>
      <c r="G23" s="157" t="s">
        <v>155</v>
      </c>
      <c r="H23" s="155" t="s">
        <v>266</v>
      </c>
      <c r="I23" s="48" t="s">
        <v>118</v>
      </c>
      <c r="J23" s="164" t="s">
        <v>274</v>
      </c>
      <c r="K23" s="45">
        <f>W23*AC23</f>
        <v>1512000</v>
      </c>
      <c r="L23" s="42">
        <v>2.5000000000000001E-3</v>
      </c>
      <c r="M23" s="43">
        <f>K23*L23</f>
        <v>3780</v>
      </c>
      <c r="N23" s="46">
        <v>0.75</v>
      </c>
      <c r="O23" s="43">
        <f>N23*K23</f>
        <v>1134000</v>
      </c>
      <c r="P23" s="158">
        <v>110</v>
      </c>
      <c r="Q23" s="158">
        <f t="shared" ref="Q23:Q25" si="29">T23/M23</f>
        <v>44</v>
      </c>
      <c r="R23" s="167">
        <v>110</v>
      </c>
      <c r="S23" s="167"/>
      <c r="T23" s="145">
        <f>K23*R23/1000</f>
        <v>166320</v>
      </c>
      <c r="U23" s="44">
        <f>T23/$T$103</f>
        <v>6.1543546665447342E-3</v>
      </c>
      <c r="V23" s="46">
        <v>0.9</v>
      </c>
      <c r="W23" s="45">
        <f>Y23*Z23</f>
        <v>756000</v>
      </c>
      <c r="X23" s="45">
        <f t="shared" ref="X23:X25" si="30">(1-V23)*W23</f>
        <v>75599.999999999985</v>
      </c>
      <c r="Y23" s="235">
        <v>1260000</v>
      </c>
      <c r="Z23" s="46">
        <v>0.6</v>
      </c>
      <c r="AA23" s="51"/>
      <c r="AB23" s="46" t="e">
        <f>X23/AA23</f>
        <v>#DIV/0!</v>
      </c>
      <c r="AC23" s="47">
        <v>2</v>
      </c>
      <c r="AD23" s="202" t="s">
        <v>268</v>
      </c>
      <c r="AE23" s="202" t="s">
        <v>269</v>
      </c>
      <c r="AF23" s="374">
        <v>10</v>
      </c>
      <c r="AO23" s="371"/>
      <c r="AQ23" s="372"/>
    </row>
    <row r="24" spans="1:43" s="239" customFormat="1" ht="12.6" customHeight="1">
      <c r="A24" s="155" t="s">
        <v>61</v>
      </c>
      <c r="B24" s="156" t="s">
        <v>127</v>
      </c>
      <c r="C24" s="156" t="s">
        <v>38</v>
      </c>
      <c r="D24" s="156" t="s">
        <v>128</v>
      </c>
      <c r="E24" s="155" t="s">
        <v>63</v>
      </c>
      <c r="F24" s="48" t="s">
        <v>70</v>
      </c>
      <c r="G24" s="157" t="s">
        <v>155</v>
      </c>
      <c r="H24" s="156" t="s">
        <v>66</v>
      </c>
      <c r="I24" s="48" t="s">
        <v>118</v>
      </c>
      <c r="J24" s="164" t="s">
        <v>132</v>
      </c>
      <c r="K24" s="45">
        <f>W24*AC24</f>
        <v>1260000</v>
      </c>
      <c r="L24" s="42">
        <v>3.0000000000000001E-3</v>
      </c>
      <c r="M24" s="43">
        <f>K24*L24</f>
        <v>3780</v>
      </c>
      <c r="N24" s="46">
        <v>0.85</v>
      </c>
      <c r="O24" s="43">
        <f>K24*N24</f>
        <v>1071000</v>
      </c>
      <c r="P24" s="158">
        <f>(T24*1000)/K24</f>
        <v>60</v>
      </c>
      <c r="Q24" s="158">
        <f t="shared" si="29"/>
        <v>20</v>
      </c>
      <c r="R24" s="167">
        <v>60</v>
      </c>
      <c r="S24" s="167"/>
      <c r="T24" s="145">
        <f>K24*R24/1000</f>
        <v>75600</v>
      </c>
      <c r="U24" s="44">
        <f>T24/$T$103</f>
        <v>2.7974339393385156E-3</v>
      </c>
      <c r="V24" s="46">
        <v>0.9</v>
      </c>
      <c r="W24" s="45">
        <f>Y24*Z24</f>
        <v>630000</v>
      </c>
      <c r="X24" s="45">
        <f t="shared" si="30"/>
        <v>62999.999999999985</v>
      </c>
      <c r="Y24" s="235">
        <v>1260000</v>
      </c>
      <c r="Z24" s="46">
        <v>0.5</v>
      </c>
      <c r="AA24" s="51"/>
      <c r="AB24" s="46" t="e">
        <f>X24/AA24</f>
        <v>#DIV/0!</v>
      </c>
      <c r="AC24" s="47">
        <v>2</v>
      </c>
      <c r="AD24" s="202" t="s">
        <v>268</v>
      </c>
      <c r="AE24" s="202" t="s">
        <v>269</v>
      </c>
      <c r="AF24" s="374">
        <v>10</v>
      </c>
      <c r="AO24" s="371"/>
      <c r="AQ24" s="372"/>
    </row>
    <row r="25" spans="1:43" s="239" customFormat="1" ht="12.6" customHeight="1">
      <c r="A25" s="155" t="s">
        <v>61</v>
      </c>
      <c r="B25" s="156" t="s">
        <v>127</v>
      </c>
      <c r="C25" s="156" t="s">
        <v>38</v>
      </c>
      <c r="D25" s="156" t="s">
        <v>128</v>
      </c>
      <c r="E25" s="155" t="s">
        <v>135</v>
      </c>
      <c r="F25" s="48" t="s">
        <v>70</v>
      </c>
      <c r="G25" s="157" t="s">
        <v>136</v>
      </c>
      <c r="H25" s="155" t="s">
        <v>160</v>
      </c>
      <c r="I25" s="48" t="s">
        <v>118</v>
      </c>
      <c r="J25" s="164" t="s">
        <v>138</v>
      </c>
      <c r="K25" s="45">
        <f>W25*AC25</f>
        <v>1222120.8</v>
      </c>
      <c r="L25" s="418">
        <v>3.0000000000000001E-3</v>
      </c>
      <c r="M25" s="419">
        <f t="shared" ref="M25" si="31">K25*L25</f>
        <v>3666.3624000000004</v>
      </c>
      <c r="N25" s="423">
        <v>0.85</v>
      </c>
      <c r="O25" s="419">
        <f t="shared" ref="O25" si="32">K25*N25</f>
        <v>1038802.68</v>
      </c>
      <c r="P25" s="487">
        <f t="shared" ref="P25" si="33">T25/(K25/1000)</f>
        <v>124.99999999999999</v>
      </c>
      <c r="Q25" s="421">
        <f t="shared" si="29"/>
        <v>41.666666666666664</v>
      </c>
      <c r="R25" s="499">
        <v>125</v>
      </c>
      <c r="S25" s="499"/>
      <c r="T25" s="145">
        <f>K25*R25/1000</f>
        <v>152765.1</v>
      </c>
      <c r="U25" s="420">
        <f>T25/$T$103</f>
        <v>5.652781421778337E-3</v>
      </c>
      <c r="V25" s="423">
        <v>1</v>
      </c>
      <c r="W25" s="45">
        <f>Y25*Z25</f>
        <v>611060.4</v>
      </c>
      <c r="X25" s="45">
        <f t="shared" si="30"/>
        <v>0</v>
      </c>
      <c r="Y25" s="43">
        <v>1527651</v>
      </c>
      <c r="Z25" s="423">
        <v>0.4</v>
      </c>
      <c r="AA25" s="51"/>
      <c r="AB25" s="46" t="e">
        <f>X25/AA25</f>
        <v>#DIV/0!</v>
      </c>
      <c r="AC25" s="47">
        <v>2</v>
      </c>
      <c r="AD25" s="202" t="s">
        <v>268</v>
      </c>
      <c r="AE25" s="202" t="s">
        <v>269</v>
      </c>
      <c r="AF25" s="374">
        <v>10</v>
      </c>
      <c r="AO25" s="373"/>
      <c r="AQ25" s="372"/>
    </row>
    <row r="26" spans="1:43" ht="12.6" customHeight="1">
      <c r="A26" s="101" t="s">
        <v>145</v>
      </c>
      <c r="B26" s="101"/>
      <c r="C26" s="101"/>
      <c r="D26" s="101"/>
      <c r="E26" s="101"/>
      <c r="F26" s="101"/>
      <c r="G26" s="101"/>
      <c r="H26" s="101"/>
      <c r="I26" s="101"/>
      <c r="J26" s="199"/>
      <c r="K26" s="103"/>
      <c r="L26" s="104"/>
      <c r="M26" s="105"/>
      <c r="N26" s="105"/>
      <c r="O26" s="105"/>
      <c r="P26" s="106"/>
      <c r="Q26" s="106"/>
      <c r="R26" s="107"/>
      <c r="S26" s="107"/>
      <c r="T26" s="105"/>
      <c r="U26" s="107"/>
      <c r="V26" s="108"/>
      <c r="W26" s="105"/>
      <c r="X26" s="105"/>
      <c r="Y26" s="105"/>
      <c r="Z26" s="105"/>
      <c r="AA26" s="105"/>
      <c r="AB26" s="105"/>
      <c r="AC26" s="105"/>
      <c r="AD26" s="105"/>
      <c r="AE26" s="105"/>
      <c r="AF26" s="105"/>
      <c r="AO26" s="370"/>
      <c r="AP26" s="239"/>
      <c r="AQ26" s="372"/>
    </row>
    <row r="27" spans="1:43" ht="12.6" customHeight="1">
      <c r="A27" s="155" t="s">
        <v>61</v>
      </c>
      <c r="B27" s="156" t="s">
        <v>127</v>
      </c>
      <c r="C27" s="156" t="s">
        <v>41</v>
      </c>
      <c r="D27" s="156" t="s">
        <v>128</v>
      </c>
      <c r="E27" s="155" t="s">
        <v>63</v>
      </c>
      <c r="F27" s="48" t="s">
        <v>70</v>
      </c>
      <c r="G27" s="157" t="s">
        <v>155</v>
      </c>
      <c r="H27" s="155" t="s">
        <v>266</v>
      </c>
      <c r="I27" s="48" t="s">
        <v>118</v>
      </c>
      <c r="J27" s="164" t="s">
        <v>275</v>
      </c>
      <c r="K27" s="45">
        <f>W27*AC27</f>
        <v>990000</v>
      </c>
      <c r="L27" s="42">
        <v>2.5000000000000001E-3</v>
      </c>
      <c r="M27" s="43">
        <f>K27*L27</f>
        <v>2475</v>
      </c>
      <c r="N27" s="46">
        <v>0.75</v>
      </c>
      <c r="O27" s="43">
        <f>N27*K27</f>
        <v>742500</v>
      </c>
      <c r="P27" s="158">
        <v>110</v>
      </c>
      <c r="Q27" s="158">
        <f t="shared" ref="Q27:Q29" si="34">T27/M27</f>
        <v>44</v>
      </c>
      <c r="R27" s="167">
        <v>110</v>
      </c>
      <c r="S27" s="167"/>
      <c r="T27" s="145">
        <f>K27*R27/1000</f>
        <v>108900</v>
      </c>
      <c r="U27" s="44">
        <f>T27/$T$103</f>
        <v>4.0296369840471472E-3</v>
      </c>
      <c r="V27" s="46">
        <v>0.9</v>
      </c>
      <c r="W27" s="45">
        <f>Y27*Z27</f>
        <v>660000</v>
      </c>
      <c r="X27" s="45">
        <f t="shared" ref="X27:X29" si="35">(1-V27)*W27</f>
        <v>65999.999999999985</v>
      </c>
      <c r="Y27" s="235">
        <v>1100000</v>
      </c>
      <c r="Z27" s="46">
        <v>0.6</v>
      </c>
      <c r="AA27" s="51"/>
      <c r="AB27" s="46" t="e">
        <f>X27/AA27</f>
        <v>#DIV/0!</v>
      </c>
      <c r="AC27" s="47">
        <v>1.5</v>
      </c>
      <c r="AD27" s="202" t="s">
        <v>268</v>
      </c>
      <c r="AE27" s="202" t="s">
        <v>269</v>
      </c>
      <c r="AF27" s="374">
        <v>10</v>
      </c>
      <c r="AO27" s="371"/>
      <c r="AP27" s="239"/>
      <c r="AQ27" s="372"/>
    </row>
    <row r="28" spans="1:43" ht="12.6" customHeight="1">
      <c r="A28" s="155" t="s">
        <v>61</v>
      </c>
      <c r="B28" s="156" t="s">
        <v>127</v>
      </c>
      <c r="C28" s="156" t="s">
        <v>41</v>
      </c>
      <c r="D28" s="156" t="s">
        <v>128</v>
      </c>
      <c r="E28" s="155" t="s">
        <v>63</v>
      </c>
      <c r="F28" s="48" t="s">
        <v>70</v>
      </c>
      <c r="G28" s="157" t="s">
        <v>155</v>
      </c>
      <c r="H28" s="156" t="s">
        <v>66</v>
      </c>
      <c r="I28" s="48" t="s">
        <v>118</v>
      </c>
      <c r="J28" s="164" t="s">
        <v>132</v>
      </c>
      <c r="K28" s="45">
        <f>W28*AC28</f>
        <v>1100000</v>
      </c>
      <c r="L28" s="42">
        <v>3.0000000000000001E-3</v>
      </c>
      <c r="M28" s="43">
        <f>K28*L28</f>
        <v>3300</v>
      </c>
      <c r="N28" s="46">
        <v>0.85</v>
      </c>
      <c r="O28" s="43">
        <f>K28*N28</f>
        <v>935000</v>
      </c>
      <c r="P28" s="158">
        <f>(T28*1000)/K28</f>
        <v>60</v>
      </c>
      <c r="Q28" s="158">
        <f t="shared" si="34"/>
        <v>20</v>
      </c>
      <c r="R28" s="167">
        <v>60</v>
      </c>
      <c r="S28" s="167"/>
      <c r="T28" s="145">
        <f>K28*R28/1000</f>
        <v>66000</v>
      </c>
      <c r="U28" s="44">
        <f>T28/$T$103</f>
        <v>2.4422042327558466E-3</v>
      </c>
      <c r="V28" s="46">
        <v>0.9</v>
      </c>
      <c r="W28" s="45">
        <f>Y28*Z28</f>
        <v>550000</v>
      </c>
      <c r="X28" s="45">
        <f t="shared" si="35"/>
        <v>54999.999999999985</v>
      </c>
      <c r="Y28" s="235">
        <v>1100000</v>
      </c>
      <c r="Z28" s="46">
        <v>0.5</v>
      </c>
      <c r="AA28" s="51"/>
      <c r="AB28" s="46" t="e">
        <f>X28/AA28</f>
        <v>#DIV/0!</v>
      </c>
      <c r="AC28" s="47">
        <v>2</v>
      </c>
      <c r="AD28" s="202" t="s">
        <v>268</v>
      </c>
      <c r="AE28" s="202" t="s">
        <v>269</v>
      </c>
      <c r="AF28" s="374">
        <v>10</v>
      </c>
      <c r="AO28" s="371"/>
      <c r="AP28" s="239"/>
      <c r="AQ28" s="372"/>
    </row>
    <row r="29" spans="1:43" ht="12.6" customHeight="1">
      <c r="A29" s="186" t="s">
        <v>61</v>
      </c>
      <c r="B29" s="414" t="s">
        <v>127</v>
      </c>
      <c r="C29" s="414" t="s">
        <v>41</v>
      </c>
      <c r="D29" s="414" t="s">
        <v>128</v>
      </c>
      <c r="E29" s="186" t="s">
        <v>135</v>
      </c>
      <c r="F29" s="417" t="s">
        <v>70</v>
      </c>
      <c r="G29" s="491" t="s">
        <v>136</v>
      </c>
      <c r="H29" s="186" t="s">
        <v>160</v>
      </c>
      <c r="I29" s="417" t="s">
        <v>118</v>
      </c>
      <c r="J29" s="486" t="s">
        <v>138</v>
      </c>
      <c r="K29" s="45">
        <f>W29*AC29</f>
        <v>850967.20000000007</v>
      </c>
      <c r="L29" s="418">
        <v>3.0000000000000001E-3</v>
      </c>
      <c r="M29" s="419">
        <f t="shared" ref="M29" si="36">K29*L29</f>
        <v>2552.9016000000001</v>
      </c>
      <c r="N29" s="423">
        <v>0.85</v>
      </c>
      <c r="O29" s="419">
        <f t="shared" ref="O29" si="37">K29*N29</f>
        <v>723322.12</v>
      </c>
      <c r="P29" s="487">
        <f t="shared" ref="P29" si="38">T29/(K29/1000)</f>
        <v>125</v>
      </c>
      <c r="Q29" s="421">
        <f t="shared" si="34"/>
        <v>41.666666666666664</v>
      </c>
      <c r="R29" s="499">
        <v>125</v>
      </c>
      <c r="S29" s="499"/>
      <c r="T29" s="145">
        <f>K29*R29/1000</f>
        <v>106370.90000000001</v>
      </c>
      <c r="U29" s="420">
        <f>T29/$T$103</f>
        <v>3.9360524579098322E-3</v>
      </c>
      <c r="V29" s="423">
        <v>1</v>
      </c>
      <c r="W29" s="45">
        <f>Y29*Z29</f>
        <v>425483.60000000003</v>
      </c>
      <c r="X29" s="185">
        <f t="shared" si="35"/>
        <v>0</v>
      </c>
      <c r="Y29" s="419">
        <v>1063709</v>
      </c>
      <c r="Z29" s="423">
        <v>0.4</v>
      </c>
      <c r="AA29" s="489"/>
      <c r="AB29" s="420" t="e">
        <f t="shared" ref="AB29" si="39">X29/AA29</f>
        <v>#DIV/0!</v>
      </c>
      <c r="AC29" s="424">
        <v>2</v>
      </c>
      <c r="AD29" s="202" t="s">
        <v>268</v>
      </c>
      <c r="AE29" s="202" t="s">
        <v>269</v>
      </c>
      <c r="AF29" s="374">
        <v>10</v>
      </c>
      <c r="AO29" s="490"/>
      <c r="AQ29" s="248"/>
    </row>
    <row r="30" spans="1:43" ht="12.6" customHeight="1">
      <c r="A30" s="101" t="s">
        <v>146</v>
      </c>
      <c r="B30" s="101"/>
      <c r="C30" s="101"/>
      <c r="D30" s="101"/>
      <c r="E30" s="101"/>
      <c r="F30" s="101"/>
      <c r="G30" s="101"/>
      <c r="H30" s="101"/>
      <c r="I30" s="101"/>
      <c r="J30" s="199"/>
      <c r="K30" s="103"/>
      <c r="L30" s="104"/>
      <c r="M30" s="105"/>
      <c r="N30" s="105"/>
      <c r="O30" s="105"/>
      <c r="P30" s="106"/>
      <c r="Q30" s="106"/>
      <c r="R30" s="107"/>
      <c r="S30" s="107"/>
      <c r="T30" s="105"/>
      <c r="U30" s="107"/>
      <c r="V30" s="108"/>
      <c r="W30" s="105"/>
      <c r="X30" s="105"/>
      <c r="Y30" s="105"/>
      <c r="Z30" s="105"/>
      <c r="AA30" s="105"/>
      <c r="AB30" s="105"/>
      <c r="AC30" s="105"/>
      <c r="AD30" s="105"/>
      <c r="AE30" s="105"/>
      <c r="AF30" s="105"/>
      <c r="AO30" s="370"/>
      <c r="AP30" s="239"/>
      <c r="AQ30" s="372"/>
    </row>
    <row r="31" spans="1:43" ht="12.6" customHeight="1">
      <c r="A31" s="155" t="s">
        <v>61</v>
      </c>
      <c r="B31" s="156" t="s">
        <v>127</v>
      </c>
      <c r="C31" s="156" t="s">
        <v>55</v>
      </c>
      <c r="D31" s="156" t="s">
        <v>128</v>
      </c>
      <c r="E31" s="155" t="s">
        <v>63</v>
      </c>
      <c r="F31" s="48" t="s">
        <v>70</v>
      </c>
      <c r="G31" s="157" t="s">
        <v>155</v>
      </c>
      <c r="H31" s="155" t="s">
        <v>266</v>
      </c>
      <c r="I31" s="48" t="s">
        <v>118</v>
      </c>
      <c r="J31" s="164" t="s">
        <v>276</v>
      </c>
      <c r="K31" s="45">
        <f>W31*AC31</f>
        <v>1762134.1802180144</v>
      </c>
      <c r="L31" s="42">
        <v>2.5000000000000001E-3</v>
      </c>
      <c r="M31" s="43">
        <f>K31*L31</f>
        <v>4405.3354505450361</v>
      </c>
      <c r="N31" s="46">
        <v>0.75</v>
      </c>
      <c r="O31" s="43">
        <f>N31*K31</f>
        <v>1321600.6351635107</v>
      </c>
      <c r="P31" s="158">
        <v>110</v>
      </c>
      <c r="Q31" s="158">
        <f t="shared" ref="Q31:Q32" si="40">T31/M31</f>
        <v>44</v>
      </c>
      <c r="R31" s="167">
        <v>110</v>
      </c>
      <c r="S31" s="167"/>
      <c r="T31" s="145">
        <f>K31*R31/1000</f>
        <v>193834.75982398159</v>
      </c>
      <c r="U31" s="44">
        <f>T31/$T$103</f>
        <v>7.1724859226869817E-3</v>
      </c>
      <c r="V31" s="46">
        <v>0.9</v>
      </c>
      <c r="W31" s="45">
        <f>Y31*Z31</f>
        <v>1174756.120145343</v>
      </c>
      <c r="X31" s="45">
        <f t="shared" ref="X31:X32" si="41">(1-V31)*W31</f>
        <v>117475.61201453427</v>
      </c>
      <c r="Y31" s="45">
        <v>1957926.8669089051</v>
      </c>
      <c r="Z31" s="46">
        <v>0.6</v>
      </c>
      <c r="AA31" s="51"/>
      <c r="AB31" s="46" t="e">
        <f>X31/AA31</f>
        <v>#DIV/0!</v>
      </c>
      <c r="AC31" s="47">
        <v>1.5</v>
      </c>
      <c r="AD31" s="202" t="s">
        <v>268</v>
      </c>
      <c r="AE31" s="202" t="s">
        <v>269</v>
      </c>
      <c r="AF31" s="374">
        <v>10</v>
      </c>
      <c r="AO31" s="371"/>
      <c r="AP31" s="239"/>
      <c r="AQ31" s="372"/>
    </row>
    <row r="32" spans="1:43" ht="12.6" customHeight="1">
      <c r="A32" s="155" t="s">
        <v>61</v>
      </c>
      <c r="B32" s="156" t="s">
        <v>127</v>
      </c>
      <c r="C32" s="156" t="s">
        <v>55</v>
      </c>
      <c r="D32" s="156" t="s">
        <v>128</v>
      </c>
      <c r="E32" s="155" t="s">
        <v>63</v>
      </c>
      <c r="F32" s="48" t="s">
        <v>70</v>
      </c>
      <c r="G32" s="157" t="s">
        <v>155</v>
      </c>
      <c r="H32" s="156" t="s">
        <v>66</v>
      </c>
      <c r="I32" s="48" t="s">
        <v>118</v>
      </c>
      <c r="J32" s="164" t="s">
        <v>132</v>
      </c>
      <c r="K32" s="45">
        <f>W32*AC32</f>
        <v>1957926.8669089051</v>
      </c>
      <c r="L32" s="42">
        <v>3.0000000000000001E-3</v>
      </c>
      <c r="M32" s="43">
        <f>K32*L32</f>
        <v>5873.7806007267154</v>
      </c>
      <c r="N32" s="46">
        <v>0.85</v>
      </c>
      <c r="O32" s="43">
        <f>K32*N32</f>
        <v>1664237.8368725693</v>
      </c>
      <c r="P32" s="158">
        <f>(T32*1000)/K32</f>
        <v>60</v>
      </c>
      <c r="Q32" s="158">
        <f t="shared" si="40"/>
        <v>20</v>
      </c>
      <c r="R32" s="167">
        <v>60</v>
      </c>
      <c r="S32" s="167"/>
      <c r="T32" s="145">
        <f>K32*R32/1000</f>
        <v>117475.61201453432</v>
      </c>
      <c r="U32" s="44">
        <f>T32/$T$103</f>
        <v>4.3469611652648382E-3</v>
      </c>
      <c r="V32" s="46">
        <v>0.9</v>
      </c>
      <c r="W32" s="45">
        <f>Y32*Z32</f>
        <v>978963.43345445255</v>
      </c>
      <c r="X32" s="45">
        <f t="shared" si="41"/>
        <v>97896.343345445232</v>
      </c>
      <c r="Y32" s="45">
        <v>1957926.8669089051</v>
      </c>
      <c r="Z32" s="46">
        <v>0.5</v>
      </c>
      <c r="AA32" s="51"/>
      <c r="AB32" s="46" t="e">
        <f>X32/AA32</f>
        <v>#DIV/0!</v>
      </c>
      <c r="AC32" s="47">
        <v>2</v>
      </c>
      <c r="AD32" s="202" t="s">
        <v>268</v>
      </c>
      <c r="AE32" s="202" t="s">
        <v>269</v>
      </c>
      <c r="AF32" s="374">
        <v>10</v>
      </c>
      <c r="AO32" s="371"/>
      <c r="AP32" s="239"/>
      <c r="AQ32" s="372"/>
    </row>
    <row r="33" spans="1:43" ht="12.6" customHeight="1">
      <c r="A33" s="101" t="s">
        <v>147</v>
      </c>
      <c r="B33" s="101"/>
      <c r="C33" s="101"/>
      <c r="D33" s="101"/>
      <c r="E33" s="101"/>
      <c r="F33" s="101"/>
      <c r="G33" s="101"/>
      <c r="H33" s="101"/>
      <c r="I33" s="101"/>
      <c r="J33" s="199"/>
      <c r="K33" s="103"/>
      <c r="L33" s="104"/>
      <c r="M33" s="105"/>
      <c r="N33" s="105"/>
      <c r="O33" s="105"/>
      <c r="P33" s="106"/>
      <c r="Q33" s="106"/>
      <c r="R33" s="107"/>
      <c r="S33" s="107"/>
      <c r="T33" s="105"/>
      <c r="U33" s="107"/>
      <c r="V33" s="108"/>
      <c r="W33" s="105"/>
      <c r="X33" s="105"/>
      <c r="Y33" s="105"/>
      <c r="Z33" s="105"/>
      <c r="AA33" s="105"/>
      <c r="AB33" s="105"/>
      <c r="AC33" s="105"/>
      <c r="AD33" s="105"/>
      <c r="AE33" s="105"/>
      <c r="AF33" s="105"/>
      <c r="AO33" s="370"/>
      <c r="AP33" s="239"/>
      <c r="AQ33" s="372"/>
    </row>
    <row r="34" spans="1:43" ht="12">
      <c r="A34" s="155" t="s">
        <v>61</v>
      </c>
      <c r="B34" s="156" t="s">
        <v>127</v>
      </c>
      <c r="C34" s="156" t="s">
        <v>49</v>
      </c>
      <c r="D34" s="156" t="s">
        <v>128</v>
      </c>
      <c r="E34" s="155" t="s">
        <v>63</v>
      </c>
      <c r="F34" s="168" t="s">
        <v>70</v>
      </c>
      <c r="G34" s="169" t="s">
        <v>155</v>
      </c>
      <c r="H34" s="155" t="s">
        <v>266</v>
      </c>
      <c r="I34" s="48" t="s">
        <v>118</v>
      </c>
      <c r="J34" s="164" t="s">
        <v>132</v>
      </c>
      <c r="K34" s="45">
        <f>W34*AC34</f>
        <v>1995633.5888656522</v>
      </c>
      <c r="L34" s="42">
        <v>2.5000000000000001E-3</v>
      </c>
      <c r="M34" s="43">
        <f>K34*L34</f>
        <v>4989.0839721641305</v>
      </c>
      <c r="N34" s="46">
        <v>0.75</v>
      </c>
      <c r="O34" s="43">
        <f>N34*K34</f>
        <v>1496725.191649239</v>
      </c>
      <c r="P34" s="158">
        <v>110</v>
      </c>
      <c r="Q34" s="158">
        <f t="shared" ref="Q34:Q35" si="42">T34/M34</f>
        <v>43.999999999999993</v>
      </c>
      <c r="R34" s="167">
        <v>110</v>
      </c>
      <c r="S34" s="167"/>
      <c r="T34" s="145">
        <f>K34*R34/1000</f>
        <v>219519.69477522172</v>
      </c>
      <c r="U34" s="44">
        <f>T34/$T$103</f>
        <v>8.1229079962623942E-3</v>
      </c>
      <c r="V34" s="46">
        <v>0.9</v>
      </c>
      <c r="W34" s="45">
        <f>Y34*Z34</f>
        <v>1330422.3925771015</v>
      </c>
      <c r="X34" s="45">
        <f t="shared" ref="X34:X35" si="43">(1-V34)*W34</f>
        <v>133042.23925771011</v>
      </c>
      <c r="Y34" s="45">
        <v>2217370.6542951693</v>
      </c>
      <c r="Z34" s="46">
        <v>0.6</v>
      </c>
      <c r="AA34" s="51"/>
      <c r="AB34" s="46" t="e">
        <f>X34/AA34</f>
        <v>#DIV/0!</v>
      </c>
      <c r="AC34" s="47">
        <v>1.5</v>
      </c>
      <c r="AD34" s="202" t="s">
        <v>268</v>
      </c>
      <c r="AE34" s="202" t="s">
        <v>269</v>
      </c>
      <c r="AF34" s="374">
        <v>10</v>
      </c>
      <c r="AO34" s="371"/>
      <c r="AP34" s="239"/>
      <c r="AQ34" s="372"/>
    </row>
    <row r="35" spans="1:43" ht="12">
      <c r="A35" s="155" t="s">
        <v>61</v>
      </c>
      <c r="B35" s="156" t="s">
        <v>127</v>
      </c>
      <c r="C35" s="156" t="s">
        <v>49</v>
      </c>
      <c r="D35" s="156" t="s">
        <v>128</v>
      </c>
      <c r="E35" s="155" t="s">
        <v>63</v>
      </c>
      <c r="F35" s="48" t="s">
        <v>70</v>
      </c>
      <c r="G35" s="157" t="s">
        <v>155</v>
      </c>
      <c r="H35" s="156" t="s">
        <v>66</v>
      </c>
      <c r="I35" s="48" t="s">
        <v>118</v>
      </c>
      <c r="J35" s="164" t="s">
        <v>132</v>
      </c>
      <c r="K35" s="45">
        <f>W35*AC35</f>
        <v>2217370.6542951693</v>
      </c>
      <c r="L35" s="42">
        <v>3.0000000000000001E-3</v>
      </c>
      <c r="M35" s="43">
        <f>K35*L35</f>
        <v>6652.1119628855076</v>
      </c>
      <c r="N35" s="46">
        <v>0.85</v>
      </c>
      <c r="O35" s="43">
        <f>K35*N35</f>
        <v>1884765.0561508939</v>
      </c>
      <c r="P35" s="158">
        <f>(T35*1000)/K35</f>
        <v>60.000000000000007</v>
      </c>
      <c r="Q35" s="158">
        <f t="shared" si="42"/>
        <v>20.000000000000004</v>
      </c>
      <c r="R35" s="167">
        <v>60</v>
      </c>
      <c r="S35" s="167"/>
      <c r="T35" s="145">
        <f>K35*R35/1000</f>
        <v>133042.23925771017</v>
      </c>
      <c r="U35" s="44">
        <f>T35/$T$103</f>
        <v>4.9229745431893313E-3</v>
      </c>
      <c r="V35" s="46">
        <v>0.9</v>
      </c>
      <c r="W35" s="45">
        <f>Y35*Z35</f>
        <v>1108685.3271475846</v>
      </c>
      <c r="X35" s="45">
        <f t="shared" si="43"/>
        <v>110868.53271475845</v>
      </c>
      <c r="Y35" s="45">
        <v>2217370.6542951693</v>
      </c>
      <c r="Z35" s="46">
        <v>0.5</v>
      </c>
      <c r="AA35" s="51"/>
      <c r="AB35" s="46" t="e">
        <f>X35/AA35</f>
        <v>#DIV/0!</v>
      </c>
      <c r="AC35" s="47">
        <v>2</v>
      </c>
      <c r="AD35" s="202" t="s">
        <v>268</v>
      </c>
      <c r="AE35" s="202" t="s">
        <v>269</v>
      </c>
      <c r="AF35" s="374">
        <v>10</v>
      </c>
      <c r="AO35" s="371"/>
      <c r="AP35" s="239"/>
      <c r="AQ35" s="372"/>
    </row>
    <row r="36" spans="1:43" ht="12.6" customHeight="1">
      <c r="A36" s="101" t="s">
        <v>277</v>
      </c>
      <c r="B36" s="101"/>
      <c r="C36" s="101"/>
      <c r="D36" s="101"/>
      <c r="E36" s="101"/>
      <c r="F36" s="101"/>
      <c r="G36" s="101"/>
      <c r="H36" s="101"/>
      <c r="I36" s="101"/>
      <c r="J36" s="199"/>
      <c r="K36" s="103"/>
      <c r="L36" s="104"/>
      <c r="M36" s="105"/>
      <c r="N36" s="105"/>
      <c r="O36" s="105"/>
      <c r="P36" s="106"/>
      <c r="Q36" s="106"/>
      <c r="R36" s="107"/>
      <c r="S36" s="107"/>
      <c r="T36" s="105"/>
      <c r="U36" s="107"/>
      <c r="V36" s="108"/>
      <c r="W36" s="105"/>
      <c r="X36" s="105"/>
      <c r="Y36" s="210"/>
      <c r="Z36" s="105"/>
      <c r="AA36" s="105"/>
      <c r="AB36" s="105"/>
      <c r="AC36" s="105"/>
      <c r="AD36" s="105"/>
      <c r="AE36" s="105"/>
      <c r="AF36" s="105"/>
      <c r="AO36" s="370"/>
      <c r="AP36" s="239"/>
      <c r="AQ36" s="372"/>
    </row>
    <row r="37" spans="1:43" ht="12.6" customHeight="1">
      <c r="A37" s="155" t="s">
        <v>61</v>
      </c>
      <c r="B37" s="156" t="s">
        <v>127</v>
      </c>
      <c r="C37" s="156" t="s">
        <v>50</v>
      </c>
      <c r="D37" s="156" t="s">
        <v>128</v>
      </c>
      <c r="E37" s="155" t="s">
        <v>63</v>
      </c>
      <c r="F37" s="48" t="s">
        <v>70</v>
      </c>
      <c r="G37" s="157" t="s">
        <v>155</v>
      </c>
      <c r="H37" s="155" t="s">
        <v>266</v>
      </c>
      <c r="I37" s="48" t="s">
        <v>118</v>
      </c>
      <c r="J37" s="164" t="s">
        <v>149</v>
      </c>
      <c r="K37" s="45">
        <f>W37*AC37</f>
        <v>941369.39788665518</v>
      </c>
      <c r="L37" s="42">
        <v>2.5000000000000001E-3</v>
      </c>
      <c r="M37" s="43">
        <f>K37*L37</f>
        <v>2353.4234947166378</v>
      </c>
      <c r="N37" s="46">
        <v>0.75</v>
      </c>
      <c r="O37" s="43">
        <f>N37*K37</f>
        <v>706027.04841499135</v>
      </c>
      <c r="P37" s="158">
        <v>110</v>
      </c>
      <c r="Q37" s="158">
        <f t="shared" ref="Q37:Q38" si="44">T37/M37</f>
        <v>44</v>
      </c>
      <c r="R37" s="167">
        <v>110</v>
      </c>
      <c r="S37" s="167"/>
      <c r="T37" s="145">
        <f>K37*R37/1000</f>
        <v>103550.63376753207</v>
      </c>
      <c r="U37" s="44">
        <f>T37/$T$103</f>
        <v>3.8316938801760203E-3</v>
      </c>
      <c r="V37" s="46">
        <v>0.9</v>
      </c>
      <c r="W37" s="45">
        <f>Y37*Z37</f>
        <v>627579.59859110345</v>
      </c>
      <c r="X37" s="45">
        <f t="shared" ref="X37:X38" si="45">(1-V37)*W37</f>
        <v>62757.959859110328</v>
      </c>
      <c r="Y37" s="45">
        <v>1045965.997651839</v>
      </c>
      <c r="Z37" s="46">
        <v>0.6</v>
      </c>
      <c r="AA37" s="51"/>
      <c r="AB37" s="46" t="e">
        <f>X37/AA37</f>
        <v>#DIV/0!</v>
      </c>
      <c r="AC37" s="47">
        <v>1.5</v>
      </c>
      <c r="AD37" s="202" t="s">
        <v>268</v>
      </c>
      <c r="AE37" s="202" t="s">
        <v>269</v>
      </c>
      <c r="AF37" s="374">
        <v>10</v>
      </c>
      <c r="AO37" s="371"/>
      <c r="AP37" s="239"/>
      <c r="AQ37" s="372"/>
    </row>
    <row r="38" spans="1:43" ht="12.6" customHeight="1">
      <c r="A38" s="155" t="s">
        <v>61</v>
      </c>
      <c r="B38" s="156" t="s">
        <v>127</v>
      </c>
      <c r="C38" s="156" t="s">
        <v>50</v>
      </c>
      <c r="D38" s="156" t="s">
        <v>128</v>
      </c>
      <c r="E38" s="155" t="s">
        <v>63</v>
      </c>
      <c r="F38" s="48" t="s">
        <v>70</v>
      </c>
      <c r="G38" s="157" t="s">
        <v>155</v>
      </c>
      <c r="H38" s="156" t="s">
        <v>66</v>
      </c>
      <c r="I38" s="48" t="s">
        <v>118</v>
      </c>
      <c r="J38" s="164" t="s">
        <v>132</v>
      </c>
      <c r="K38" s="45">
        <f>W38*AC38</f>
        <v>1045965.997651839</v>
      </c>
      <c r="L38" s="42">
        <v>3.0000000000000001E-3</v>
      </c>
      <c r="M38" s="43">
        <f>K38*L38</f>
        <v>3137.8979929555171</v>
      </c>
      <c r="N38" s="46">
        <v>0.85</v>
      </c>
      <c r="O38" s="43">
        <f>K38*N38</f>
        <v>889071.09800406313</v>
      </c>
      <c r="P38" s="158">
        <f>(T38*1000)/K38</f>
        <v>60</v>
      </c>
      <c r="Q38" s="158">
        <f t="shared" si="44"/>
        <v>20</v>
      </c>
      <c r="R38" s="167">
        <v>60</v>
      </c>
      <c r="S38" s="167"/>
      <c r="T38" s="145">
        <f>K38*R38/1000</f>
        <v>62757.959859110342</v>
      </c>
      <c r="U38" s="44">
        <f>T38/$T$103</f>
        <v>2.3222387152581942E-3</v>
      </c>
      <c r="V38" s="46">
        <v>0.9</v>
      </c>
      <c r="W38" s="45">
        <f>Y38*Z38</f>
        <v>522982.99882591952</v>
      </c>
      <c r="X38" s="45">
        <f t="shared" si="45"/>
        <v>52298.299882591942</v>
      </c>
      <c r="Y38" s="45">
        <v>1045965.997651839</v>
      </c>
      <c r="Z38" s="46">
        <v>0.5</v>
      </c>
      <c r="AA38" s="51"/>
      <c r="AB38" s="46"/>
      <c r="AC38" s="47">
        <v>2</v>
      </c>
      <c r="AD38" s="202" t="s">
        <v>268</v>
      </c>
      <c r="AE38" s="202" t="s">
        <v>269</v>
      </c>
      <c r="AF38" s="374">
        <v>10</v>
      </c>
      <c r="AO38" s="371"/>
      <c r="AP38" s="239"/>
      <c r="AQ38" s="372"/>
    </row>
    <row r="39" spans="1:43" ht="12.6" customHeight="1">
      <c r="A39" s="101" t="s">
        <v>278</v>
      </c>
      <c r="B39" s="101"/>
      <c r="C39" s="101"/>
      <c r="D39" s="101"/>
      <c r="E39" s="101"/>
      <c r="F39" s="101"/>
      <c r="G39" s="101"/>
      <c r="H39" s="101"/>
      <c r="I39" s="101"/>
      <c r="J39" s="199"/>
      <c r="K39" s="103"/>
      <c r="L39" s="104"/>
      <c r="M39" s="105"/>
      <c r="N39" s="105"/>
      <c r="O39" s="105"/>
      <c r="P39" s="106"/>
      <c r="Q39" s="106"/>
      <c r="R39" s="107"/>
      <c r="S39" s="107"/>
      <c r="T39" s="105"/>
      <c r="U39" s="107"/>
      <c r="V39" s="108"/>
      <c r="W39" s="105"/>
      <c r="X39" s="105"/>
      <c r="Y39" s="210"/>
      <c r="Z39" s="105"/>
      <c r="AA39" s="105"/>
      <c r="AB39" s="105"/>
      <c r="AC39" s="105"/>
      <c r="AD39" s="105"/>
      <c r="AE39" s="105"/>
      <c r="AF39" s="105"/>
      <c r="AO39" s="370"/>
      <c r="AP39" s="239"/>
      <c r="AQ39" s="372"/>
    </row>
    <row r="40" spans="1:43" ht="12.6" customHeight="1">
      <c r="A40" s="155" t="s">
        <v>61</v>
      </c>
      <c r="B40" s="156" t="s">
        <v>127</v>
      </c>
      <c r="C40" s="156" t="s">
        <v>51</v>
      </c>
      <c r="D40" s="156" t="s">
        <v>128</v>
      </c>
      <c r="E40" s="155" t="s">
        <v>63</v>
      </c>
      <c r="F40" s="48" t="s">
        <v>70</v>
      </c>
      <c r="G40" s="157" t="s">
        <v>155</v>
      </c>
      <c r="H40" s="155" t="s">
        <v>266</v>
      </c>
      <c r="I40" s="48" t="s">
        <v>118</v>
      </c>
      <c r="J40" s="164" t="s">
        <v>149</v>
      </c>
      <c r="K40" s="45">
        <f>W40*AC40</f>
        <v>1400426.1903135462</v>
      </c>
      <c r="L40" s="42">
        <v>2.5000000000000001E-3</v>
      </c>
      <c r="M40" s="43">
        <f>K40*L40</f>
        <v>3501.0654757838656</v>
      </c>
      <c r="N40" s="46">
        <v>0.75</v>
      </c>
      <c r="O40" s="43">
        <f>N40*K40</f>
        <v>1050319.6427351597</v>
      </c>
      <c r="P40" s="158">
        <v>110</v>
      </c>
      <c r="Q40" s="158">
        <f t="shared" ref="Q40:Q41" si="46">T40/M40</f>
        <v>44</v>
      </c>
      <c r="R40" s="167">
        <v>110</v>
      </c>
      <c r="S40" s="167"/>
      <c r="T40" s="145">
        <f>K40*R40/1000</f>
        <v>154046.88093449009</v>
      </c>
      <c r="U40" s="44">
        <f>T40/$T$103</f>
        <v>5.7002112827431468E-3</v>
      </c>
      <c r="V40" s="46">
        <v>0.9</v>
      </c>
      <c r="W40" s="45">
        <f>Y40*Z40</f>
        <v>933617.46020903077</v>
      </c>
      <c r="X40" s="45">
        <f t="shared" ref="X40:X41" si="47">(1-V40)*W40</f>
        <v>93361.746020903054</v>
      </c>
      <c r="Y40" s="45">
        <v>1556029.1003483846</v>
      </c>
      <c r="Z40" s="46">
        <v>0.6</v>
      </c>
      <c r="AA40" s="51"/>
      <c r="AB40" s="46" t="e">
        <f>X40/AA40</f>
        <v>#DIV/0!</v>
      </c>
      <c r="AC40" s="47">
        <v>1.5</v>
      </c>
      <c r="AD40" s="202" t="s">
        <v>268</v>
      </c>
      <c r="AE40" s="202" t="s">
        <v>269</v>
      </c>
      <c r="AF40" s="374">
        <v>10</v>
      </c>
      <c r="AO40" s="371"/>
      <c r="AP40" s="239"/>
      <c r="AQ40" s="372"/>
    </row>
    <row r="41" spans="1:43" ht="12.6" customHeight="1">
      <c r="A41" s="155" t="s">
        <v>61</v>
      </c>
      <c r="B41" s="156" t="s">
        <v>127</v>
      </c>
      <c r="C41" s="156" t="s">
        <v>51</v>
      </c>
      <c r="D41" s="156" t="s">
        <v>128</v>
      </c>
      <c r="E41" s="155" t="s">
        <v>63</v>
      </c>
      <c r="F41" s="48" t="s">
        <v>70</v>
      </c>
      <c r="G41" s="157" t="s">
        <v>155</v>
      </c>
      <c r="H41" s="156" t="s">
        <v>66</v>
      </c>
      <c r="I41" s="48" t="s">
        <v>118</v>
      </c>
      <c r="J41" s="164" t="s">
        <v>132</v>
      </c>
      <c r="K41" s="45">
        <f>W41*AC41</f>
        <v>1556029.1003483846</v>
      </c>
      <c r="L41" s="42">
        <v>3.0000000000000001E-3</v>
      </c>
      <c r="M41" s="43">
        <f>K41*L41</f>
        <v>4668.0873010451542</v>
      </c>
      <c r="N41" s="46">
        <v>0.85</v>
      </c>
      <c r="O41" s="43">
        <f>K41*N41</f>
        <v>1322624.7352961269</v>
      </c>
      <c r="P41" s="158">
        <f>(T41*1000)/K41</f>
        <v>60.000000000000007</v>
      </c>
      <c r="Q41" s="158">
        <f t="shared" si="46"/>
        <v>20</v>
      </c>
      <c r="R41" s="167">
        <v>60</v>
      </c>
      <c r="S41" s="167"/>
      <c r="T41" s="145">
        <f>K41*R41/1000</f>
        <v>93361.746020903083</v>
      </c>
      <c r="U41" s="44">
        <f>T41/$T$103</f>
        <v>3.4546735046928159E-3</v>
      </c>
      <c r="V41" s="46">
        <v>0.9</v>
      </c>
      <c r="W41" s="45">
        <f>Y41*Z41</f>
        <v>778014.55017419229</v>
      </c>
      <c r="X41" s="45">
        <f t="shared" si="47"/>
        <v>77801.455017419212</v>
      </c>
      <c r="Y41" s="45">
        <v>1556029.1003483846</v>
      </c>
      <c r="Z41" s="46">
        <v>0.5</v>
      </c>
      <c r="AA41" s="51"/>
      <c r="AB41" s="46"/>
      <c r="AC41" s="47">
        <v>2</v>
      </c>
      <c r="AD41" s="202" t="s">
        <v>268</v>
      </c>
      <c r="AE41" s="202" t="s">
        <v>269</v>
      </c>
      <c r="AF41" s="374">
        <v>10</v>
      </c>
      <c r="AO41" s="371"/>
      <c r="AP41" s="239"/>
      <c r="AQ41" s="372"/>
    </row>
    <row r="42" spans="1:43" ht="12.6" customHeight="1">
      <c r="A42" s="101" t="s">
        <v>279</v>
      </c>
      <c r="B42" s="101"/>
      <c r="C42" s="101"/>
      <c r="D42" s="101"/>
      <c r="E42" s="101"/>
      <c r="F42" s="101"/>
      <c r="G42" s="101"/>
      <c r="H42" s="101"/>
      <c r="I42" s="101"/>
      <c r="J42" s="199"/>
      <c r="K42" s="103"/>
      <c r="L42" s="104"/>
      <c r="M42" s="105"/>
      <c r="N42" s="105"/>
      <c r="O42" s="105"/>
      <c r="P42" s="106"/>
      <c r="Q42" s="106"/>
      <c r="R42" s="107"/>
      <c r="S42" s="107"/>
      <c r="T42" s="105"/>
      <c r="U42" s="107"/>
      <c r="V42" s="108"/>
      <c r="W42" s="105"/>
      <c r="X42" s="105"/>
      <c r="Y42" s="210"/>
      <c r="Z42" s="105"/>
      <c r="AA42" s="105"/>
      <c r="AB42" s="105"/>
      <c r="AC42" s="105"/>
      <c r="AD42" s="105"/>
      <c r="AE42" s="105"/>
      <c r="AF42" s="105"/>
      <c r="AO42" s="370"/>
      <c r="AP42" s="239"/>
      <c r="AQ42" s="372"/>
    </row>
    <row r="43" spans="1:43" ht="12.6" customHeight="1">
      <c r="A43" s="155" t="s">
        <v>61</v>
      </c>
      <c r="B43" s="156" t="s">
        <v>127</v>
      </c>
      <c r="C43" s="156" t="s">
        <v>53</v>
      </c>
      <c r="D43" s="156" t="s">
        <v>128</v>
      </c>
      <c r="E43" s="155" t="s">
        <v>63</v>
      </c>
      <c r="F43" s="48" t="s">
        <v>70</v>
      </c>
      <c r="G43" s="157" t="s">
        <v>155</v>
      </c>
      <c r="H43" s="155" t="s">
        <v>266</v>
      </c>
      <c r="I43" s="48" t="s">
        <v>118</v>
      </c>
      <c r="J43" s="164" t="s">
        <v>280</v>
      </c>
      <c r="K43" s="45">
        <f>W43*AC43</f>
        <v>610944.30000000005</v>
      </c>
      <c r="L43" s="42">
        <v>2.5000000000000001E-3</v>
      </c>
      <c r="M43" s="43">
        <f>K43*L43</f>
        <v>1527.3607500000001</v>
      </c>
      <c r="N43" s="46">
        <v>0.75</v>
      </c>
      <c r="O43" s="43">
        <f>N43*K43</f>
        <v>458208.22500000003</v>
      </c>
      <c r="P43" s="158">
        <v>110</v>
      </c>
      <c r="Q43" s="158">
        <f t="shared" ref="Q43:Q44" si="48">T43/M43</f>
        <v>44</v>
      </c>
      <c r="R43" s="167">
        <v>110</v>
      </c>
      <c r="S43" s="167"/>
      <c r="T43" s="145">
        <f>K43*R43/1000</f>
        <v>67203.873000000007</v>
      </c>
      <c r="U43" s="44">
        <f>T43/$T$103</f>
        <v>2.4867512590634301E-3</v>
      </c>
      <c r="V43" s="46">
        <v>0.9</v>
      </c>
      <c r="W43" s="45">
        <f>Y43*Z43</f>
        <v>407296.2</v>
      </c>
      <c r="X43" s="45">
        <f t="shared" ref="X43:X44" si="49">(1-V43)*W43</f>
        <v>40729.619999999995</v>
      </c>
      <c r="Y43" s="45">
        <v>678827</v>
      </c>
      <c r="Z43" s="46">
        <v>0.6</v>
      </c>
      <c r="AA43" s="51"/>
      <c r="AB43" s="46" t="e">
        <f>X43/AA43</f>
        <v>#DIV/0!</v>
      </c>
      <c r="AC43" s="47">
        <v>1.5</v>
      </c>
      <c r="AD43" s="202" t="s">
        <v>268</v>
      </c>
      <c r="AE43" s="202" t="s">
        <v>269</v>
      </c>
      <c r="AF43" s="374">
        <v>10</v>
      </c>
      <c r="AO43" s="371"/>
      <c r="AP43" s="239"/>
      <c r="AQ43" s="372"/>
    </row>
    <row r="44" spans="1:43" ht="12.6" customHeight="1">
      <c r="A44" s="155" t="s">
        <v>61</v>
      </c>
      <c r="B44" s="156" t="s">
        <v>127</v>
      </c>
      <c r="C44" s="156" t="s">
        <v>53</v>
      </c>
      <c r="D44" s="156" t="s">
        <v>128</v>
      </c>
      <c r="E44" s="155" t="s">
        <v>63</v>
      </c>
      <c r="F44" s="48" t="s">
        <v>70</v>
      </c>
      <c r="G44" s="157" t="s">
        <v>155</v>
      </c>
      <c r="H44" s="156" t="s">
        <v>66</v>
      </c>
      <c r="I44" s="48" t="s">
        <v>118</v>
      </c>
      <c r="J44" s="164" t="s">
        <v>132</v>
      </c>
      <c r="K44" s="45">
        <f>W44*AC44</f>
        <v>678827</v>
      </c>
      <c r="L44" s="42">
        <v>3.0000000000000001E-3</v>
      </c>
      <c r="M44" s="43">
        <f>K44*L44</f>
        <v>2036.481</v>
      </c>
      <c r="N44" s="46">
        <v>0.85</v>
      </c>
      <c r="O44" s="43">
        <f>K44*N44</f>
        <v>577002.94999999995</v>
      </c>
      <c r="P44" s="158">
        <f>(T44*1000)/K44</f>
        <v>60</v>
      </c>
      <c r="Q44" s="158">
        <f t="shared" si="48"/>
        <v>20</v>
      </c>
      <c r="R44" s="167">
        <v>60</v>
      </c>
      <c r="S44" s="167"/>
      <c r="T44" s="145">
        <f>K44*R44/1000</f>
        <v>40729.620000000003</v>
      </c>
      <c r="U44" s="44">
        <f>T44/$T$103</f>
        <v>1.5071219751899576E-3</v>
      </c>
      <c r="V44" s="46">
        <v>0.9</v>
      </c>
      <c r="W44" s="45">
        <f>Y44*Z44</f>
        <v>339413.5</v>
      </c>
      <c r="X44" s="45">
        <f t="shared" si="49"/>
        <v>33941.349999999991</v>
      </c>
      <c r="Y44" s="45">
        <v>678827</v>
      </c>
      <c r="Z44" s="46">
        <v>0.5</v>
      </c>
      <c r="AA44" s="51"/>
      <c r="AB44" s="46"/>
      <c r="AC44" s="47">
        <v>2</v>
      </c>
      <c r="AD44" s="202" t="s">
        <v>268</v>
      </c>
      <c r="AE44" s="202" t="s">
        <v>269</v>
      </c>
      <c r="AF44" s="374">
        <v>10</v>
      </c>
      <c r="AO44" s="371"/>
      <c r="AP44" s="239"/>
      <c r="AQ44" s="372"/>
    </row>
    <row r="45" spans="1:43" ht="12.6" customHeight="1">
      <c r="A45" s="101" t="s">
        <v>281</v>
      </c>
      <c r="B45" s="101"/>
      <c r="C45" s="101"/>
      <c r="D45" s="101"/>
      <c r="E45" s="101"/>
      <c r="F45" s="101"/>
      <c r="G45" s="101"/>
      <c r="H45" s="101"/>
      <c r="I45" s="101"/>
      <c r="J45" s="199"/>
      <c r="K45" s="103"/>
      <c r="L45" s="104"/>
      <c r="M45" s="105"/>
      <c r="N45" s="105"/>
      <c r="O45" s="105"/>
      <c r="P45" s="106"/>
      <c r="Q45" s="106"/>
      <c r="R45" s="107"/>
      <c r="S45" s="107"/>
      <c r="T45" s="105"/>
      <c r="U45" s="107"/>
      <c r="V45" s="108"/>
      <c r="W45" s="105"/>
      <c r="X45" s="105"/>
      <c r="Y45" s="210"/>
      <c r="Z45" s="105"/>
      <c r="AA45" s="105"/>
      <c r="AB45" s="105"/>
      <c r="AC45" s="105"/>
      <c r="AD45" s="105"/>
      <c r="AE45" s="105"/>
      <c r="AF45" s="105"/>
      <c r="AO45" s="370"/>
      <c r="AP45" s="239"/>
      <c r="AQ45" s="372"/>
    </row>
    <row r="46" spans="1:43" ht="12.6" customHeight="1">
      <c r="A46" s="155" t="s">
        <v>61</v>
      </c>
      <c r="B46" s="156" t="s">
        <v>127</v>
      </c>
      <c r="C46" s="156" t="s">
        <v>52</v>
      </c>
      <c r="D46" s="156" t="s">
        <v>128</v>
      </c>
      <c r="E46" s="155" t="s">
        <v>63</v>
      </c>
      <c r="F46" s="168" t="s">
        <v>70</v>
      </c>
      <c r="G46" s="169" t="s">
        <v>155</v>
      </c>
      <c r="H46" s="155" t="s">
        <v>266</v>
      </c>
      <c r="I46" s="48" t="s">
        <v>118</v>
      </c>
      <c r="J46" s="164" t="s">
        <v>282</v>
      </c>
      <c r="K46" s="45">
        <f>W46*AC46</f>
        <v>637410.68999999994</v>
      </c>
      <c r="L46" s="42">
        <v>2.5000000000000001E-3</v>
      </c>
      <c r="M46" s="43">
        <f>K46*L46</f>
        <v>1593.5267249999999</v>
      </c>
      <c r="N46" s="46">
        <v>0.75</v>
      </c>
      <c r="O46" s="43">
        <f>N46*K46</f>
        <v>478058.01749999996</v>
      </c>
      <c r="P46" s="158">
        <v>110</v>
      </c>
      <c r="Q46" s="158">
        <f t="shared" ref="Q46:Q47" si="50">T46/M46</f>
        <v>43.999999999999993</v>
      </c>
      <c r="R46" s="167">
        <v>110</v>
      </c>
      <c r="S46" s="167"/>
      <c r="T46" s="145">
        <f>K46*R46/1000</f>
        <v>70115.175899999987</v>
      </c>
      <c r="U46" s="44">
        <f>T46/$T$103</f>
        <v>2.5944784752030409E-3</v>
      </c>
      <c r="V46" s="46">
        <v>0.9</v>
      </c>
      <c r="W46" s="45">
        <f>Y46*Z46</f>
        <v>424940.45999999996</v>
      </c>
      <c r="X46" s="45">
        <f t="shared" ref="X46:X47" si="51">(1-V46)*W46</f>
        <v>42494.045999999988</v>
      </c>
      <c r="Y46" s="45">
        <v>708234.1</v>
      </c>
      <c r="Z46" s="46">
        <v>0.6</v>
      </c>
      <c r="AA46" s="51"/>
      <c r="AB46" s="46" t="e">
        <f>X46/AA46</f>
        <v>#DIV/0!</v>
      </c>
      <c r="AC46" s="47">
        <v>1.5</v>
      </c>
      <c r="AD46" s="202" t="s">
        <v>268</v>
      </c>
      <c r="AE46" s="202" t="s">
        <v>269</v>
      </c>
      <c r="AF46" s="374">
        <v>10</v>
      </c>
      <c r="AO46" s="371"/>
      <c r="AP46" s="239"/>
      <c r="AQ46" s="372"/>
    </row>
    <row r="47" spans="1:43" ht="12.6" customHeight="1">
      <c r="A47" s="155" t="s">
        <v>61</v>
      </c>
      <c r="B47" s="156" t="s">
        <v>127</v>
      </c>
      <c r="C47" s="156" t="s">
        <v>52</v>
      </c>
      <c r="D47" s="156" t="s">
        <v>128</v>
      </c>
      <c r="E47" s="155" t="s">
        <v>63</v>
      </c>
      <c r="F47" s="48" t="s">
        <v>70</v>
      </c>
      <c r="G47" s="157" t="s">
        <v>155</v>
      </c>
      <c r="H47" s="156" t="s">
        <v>66</v>
      </c>
      <c r="I47" s="48" t="s">
        <v>118</v>
      </c>
      <c r="J47" s="164" t="s">
        <v>132</v>
      </c>
      <c r="K47" s="45">
        <f>W47*AC47</f>
        <v>708234.1</v>
      </c>
      <c r="L47" s="42">
        <v>3.0000000000000001E-3</v>
      </c>
      <c r="M47" s="43">
        <f>K47*L47</f>
        <v>2124.7022999999999</v>
      </c>
      <c r="N47" s="46">
        <v>0.85</v>
      </c>
      <c r="O47" s="43">
        <f>K47*N47</f>
        <v>601998.98499999999</v>
      </c>
      <c r="P47" s="158">
        <f>(T47*1000)/K47</f>
        <v>60</v>
      </c>
      <c r="Q47" s="158">
        <f t="shared" si="50"/>
        <v>20</v>
      </c>
      <c r="R47" s="167">
        <v>60</v>
      </c>
      <c r="S47" s="167"/>
      <c r="T47" s="145">
        <f>K47*R47/1000</f>
        <v>42494.046000000002</v>
      </c>
      <c r="U47" s="44">
        <f>T47/$T$103</f>
        <v>1.5724111970927526E-3</v>
      </c>
      <c r="V47" s="46">
        <v>0.9</v>
      </c>
      <c r="W47" s="45">
        <f>Y47*Z47</f>
        <v>354117.05</v>
      </c>
      <c r="X47" s="45">
        <f t="shared" si="51"/>
        <v>35411.704999999994</v>
      </c>
      <c r="Y47" s="45">
        <v>708234.1</v>
      </c>
      <c r="Z47" s="46">
        <v>0.5</v>
      </c>
      <c r="AA47" s="51"/>
      <c r="AB47" s="46"/>
      <c r="AC47" s="47">
        <v>2</v>
      </c>
      <c r="AD47" s="202" t="s">
        <v>268</v>
      </c>
      <c r="AE47" s="202" t="s">
        <v>269</v>
      </c>
      <c r="AF47" s="374">
        <v>10</v>
      </c>
      <c r="AO47" s="371"/>
      <c r="AP47" s="239"/>
      <c r="AQ47" s="372"/>
    </row>
    <row r="48" spans="1:43" ht="12.6" customHeight="1">
      <c r="A48" s="101" t="s">
        <v>283</v>
      </c>
      <c r="B48" s="101"/>
      <c r="C48" s="101"/>
      <c r="D48" s="101"/>
      <c r="E48" s="101"/>
      <c r="F48" s="101"/>
      <c r="G48" s="101"/>
      <c r="H48" s="101"/>
      <c r="I48" s="101"/>
      <c r="J48" s="199"/>
      <c r="K48" s="103"/>
      <c r="L48" s="104"/>
      <c r="M48" s="105"/>
      <c r="N48" s="105"/>
      <c r="O48" s="105"/>
      <c r="P48" s="106"/>
      <c r="Q48" s="106"/>
      <c r="R48" s="107"/>
      <c r="S48" s="107"/>
      <c r="T48" s="105"/>
      <c r="U48" s="107"/>
      <c r="V48" s="108"/>
      <c r="W48" s="105"/>
      <c r="X48" s="105"/>
      <c r="Y48" s="210"/>
      <c r="Z48" s="105"/>
      <c r="AA48" s="105"/>
      <c r="AB48" s="105"/>
      <c r="AC48" s="105"/>
      <c r="AD48" s="105"/>
      <c r="AE48" s="105"/>
      <c r="AF48" s="105"/>
      <c r="AO48" s="370"/>
      <c r="AP48" s="239"/>
      <c r="AQ48" s="372"/>
    </row>
    <row r="49" spans="1:43" ht="12.6" customHeight="1">
      <c r="A49" s="155" t="s">
        <v>61</v>
      </c>
      <c r="B49" s="156" t="s">
        <v>127</v>
      </c>
      <c r="C49" s="156" t="s">
        <v>54</v>
      </c>
      <c r="D49" s="156" t="s">
        <v>128</v>
      </c>
      <c r="E49" s="155" t="s">
        <v>63</v>
      </c>
      <c r="F49" s="168" t="s">
        <v>70</v>
      </c>
      <c r="G49" s="169" t="s">
        <v>155</v>
      </c>
      <c r="H49" s="155" t="s">
        <v>266</v>
      </c>
      <c r="I49" s="48" t="s">
        <v>118</v>
      </c>
      <c r="J49" s="164" t="s">
        <v>282</v>
      </c>
      <c r="K49" s="45">
        <f>W49*AC49</f>
        <v>273176.00999999995</v>
      </c>
      <c r="L49" s="42">
        <v>2.5000000000000001E-3</v>
      </c>
      <c r="M49" s="43">
        <f>K49*L49</f>
        <v>682.94002499999988</v>
      </c>
      <c r="N49" s="46">
        <v>0.75</v>
      </c>
      <c r="O49" s="43">
        <f>N49*K49</f>
        <v>204882.00749999995</v>
      </c>
      <c r="P49" s="158">
        <v>110</v>
      </c>
      <c r="Q49" s="158">
        <f t="shared" ref="Q49:Q50" si="52">T49/M49</f>
        <v>44</v>
      </c>
      <c r="R49" s="167">
        <v>110</v>
      </c>
      <c r="S49" s="167"/>
      <c r="T49" s="145">
        <f>K49*R49/1000</f>
        <v>30049.361099999995</v>
      </c>
      <c r="U49" s="44">
        <f>T49/$T$103</f>
        <v>1.1119193465155891E-3</v>
      </c>
      <c r="V49" s="46">
        <v>0.9</v>
      </c>
      <c r="W49" s="45">
        <f>Y49*Z49</f>
        <v>182117.33999999997</v>
      </c>
      <c r="X49" s="45">
        <f t="shared" ref="X49:X50" si="53">(1-V49)*W49</f>
        <v>18211.733999999993</v>
      </c>
      <c r="Y49" s="45">
        <v>303528.89999999997</v>
      </c>
      <c r="Z49" s="46">
        <v>0.6</v>
      </c>
      <c r="AA49" s="51"/>
      <c r="AB49" s="46" t="e">
        <f>X49/AA49</f>
        <v>#DIV/0!</v>
      </c>
      <c r="AC49" s="47">
        <v>1.5</v>
      </c>
      <c r="AD49" s="202" t="s">
        <v>268</v>
      </c>
      <c r="AE49" s="202" t="s">
        <v>269</v>
      </c>
      <c r="AF49" s="374">
        <v>10</v>
      </c>
      <c r="AO49" s="371"/>
      <c r="AP49" s="239"/>
      <c r="AQ49" s="372"/>
    </row>
    <row r="50" spans="1:43" ht="12.6" customHeight="1">
      <c r="A50" s="155" t="s">
        <v>61</v>
      </c>
      <c r="B50" s="156" t="s">
        <v>127</v>
      </c>
      <c r="C50" s="156" t="s">
        <v>54</v>
      </c>
      <c r="D50" s="156" t="s">
        <v>128</v>
      </c>
      <c r="E50" s="155" t="s">
        <v>63</v>
      </c>
      <c r="F50" s="48" t="s">
        <v>70</v>
      </c>
      <c r="G50" s="157" t="s">
        <v>155</v>
      </c>
      <c r="H50" s="156" t="s">
        <v>66</v>
      </c>
      <c r="I50" s="48" t="s">
        <v>118</v>
      </c>
      <c r="J50" s="164" t="s">
        <v>132</v>
      </c>
      <c r="K50" s="45">
        <f>W50*AC50</f>
        <v>303528.89999999997</v>
      </c>
      <c r="L50" s="42">
        <v>3.0000000000000001E-3</v>
      </c>
      <c r="M50" s="43">
        <f>K50*L50</f>
        <v>910.58669999999995</v>
      </c>
      <c r="N50" s="46">
        <v>0.85</v>
      </c>
      <c r="O50" s="43">
        <f>K50*N50</f>
        <v>257999.56499999997</v>
      </c>
      <c r="P50" s="158">
        <f>(T50*1000)/K50</f>
        <v>59.999999999999993</v>
      </c>
      <c r="Q50" s="158">
        <f t="shared" si="52"/>
        <v>19.999999999999996</v>
      </c>
      <c r="R50" s="167">
        <v>60</v>
      </c>
      <c r="S50" s="167"/>
      <c r="T50" s="145">
        <f>K50*R50/1000</f>
        <v>18211.733999999997</v>
      </c>
      <c r="U50" s="44">
        <f>T50/$T$103</f>
        <v>6.7389051303975089E-4</v>
      </c>
      <c r="V50" s="46">
        <v>0.9</v>
      </c>
      <c r="W50" s="45">
        <f>Y50*Z50</f>
        <v>151764.44999999998</v>
      </c>
      <c r="X50" s="45">
        <f t="shared" si="53"/>
        <v>15176.444999999994</v>
      </c>
      <c r="Y50" s="45">
        <v>303528.89999999997</v>
      </c>
      <c r="Z50" s="46">
        <v>0.5</v>
      </c>
      <c r="AA50" s="51"/>
      <c r="AB50" s="46" t="e">
        <f>X50/AA50</f>
        <v>#DIV/0!</v>
      </c>
      <c r="AC50" s="47">
        <v>2</v>
      </c>
      <c r="AD50" s="202" t="s">
        <v>268</v>
      </c>
      <c r="AE50" s="202" t="s">
        <v>269</v>
      </c>
      <c r="AF50" s="374">
        <v>10</v>
      </c>
      <c r="AO50" s="371"/>
      <c r="AP50" s="239"/>
      <c r="AQ50" s="372"/>
    </row>
    <row r="51" spans="1:43" ht="12.6" customHeight="1">
      <c r="A51" s="211" t="s">
        <v>57</v>
      </c>
      <c r="B51" s="211"/>
      <c r="C51" s="211"/>
      <c r="D51" s="211"/>
      <c r="E51" s="211"/>
      <c r="F51" s="211"/>
      <c r="G51" s="211"/>
      <c r="H51" s="211"/>
      <c r="I51" s="211"/>
      <c r="J51" s="212"/>
      <c r="K51" s="213"/>
      <c r="L51" s="214"/>
      <c r="M51" s="210"/>
      <c r="N51" s="210"/>
      <c r="O51" s="210"/>
      <c r="P51" s="215"/>
      <c r="Q51" s="215"/>
      <c r="R51" s="107"/>
      <c r="S51" s="107"/>
      <c r="T51" s="105"/>
      <c r="U51" s="154"/>
      <c r="V51" s="108"/>
      <c r="W51" s="210"/>
      <c r="X51" s="210"/>
      <c r="Y51" s="210"/>
      <c r="Z51" s="105"/>
      <c r="AA51" s="105"/>
      <c r="AB51" s="105"/>
      <c r="AC51" s="105"/>
      <c r="AD51" s="105"/>
      <c r="AE51" s="105"/>
      <c r="AF51" s="105"/>
      <c r="AO51" s="370"/>
      <c r="AP51" s="239"/>
      <c r="AQ51" s="372"/>
    </row>
    <row r="52" spans="1:43" ht="12.6" customHeight="1">
      <c r="A52" s="155" t="s">
        <v>61</v>
      </c>
      <c r="B52" s="156" t="s">
        <v>127</v>
      </c>
      <c r="C52" s="156" t="s">
        <v>62</v>
      </c>
      <c r="D52" s="156" t="s">
        <v>128</v>
      </c>
      <c r="E52" s="155" t="s">
        <v>63</v>
      </c>
      <c r="F52" s="168" t="s">
        <v>64</v>
      </c>
      <c r="G52" s="169" t="s">
        <v>129</v>
      </c>
      <c r="H52" s="156" t="s">
        <v>284</v>
      </c>
      <c r="I52" s="48" t="s">
        <v>118</v>
      </c>
      <c r="J52" s="164" t="s">
        <v>285</v>
      </c>
      <c r="K52" s="45">
        <f t="shared" ref="K52" si="54">W52*AC52</f>
        <v>7650000</v>
      </c>
      <c r="L52" s="42">
        <v>0</v>
      </c>
      <c r="M52" s="43">
        <f t="shared" ref="M52" si="55">K52*L52</f>
        <v>0</v>
      </c>
      <c r="N52" s="46">
        <v>0.85</v>
      </c>
      <c r="O52" s="43">
        <f t="shared" ref="O52" si="56">K52*N52</f>
        <v>6502500</v>
      </c>
      <c r="P52" s="158">
        <f t="shared" ref="P52" si="57">(T52*1000)/K52</f>
        <v>150</v>
      </c>
      <c r="Q52" s="158" t="e">
        <f t="shared" ref="Q52" si="58">T52/M52</f>
        <v>#DIV/0!</v>
      </c>
      <c r="R52" s="167">
        <v>150</v>
      </c>
      <c r="S52" s="167"/>
      <c r="T52" s="145">
        <f t="shared" ref="T52" si="59">K52*R52/1000</f>
        <v>1147500</v>
      </c>
      <c r="U52" s="44">
        <f>T52/$T$103</f>
        <v>4.2461050864959611E-2</v>
      </c>
      <c r="V52" s="44">
        <v>1</v>
      </c>
      <c r="W52" s="45">
        <f t="shared" ref="W52" si="60">Z52*Y52</f>
        <v>5100000</v>
      </c>
      <c r="X52" s="45">
        <f t="shared" ref="X52" si="61">(1-V52)*W52</f>
        <v>0</v>
      </c>
      <c r="Y52" s="45">
        <v>17000000</v>
      </c>
      <c r="Z52" s="46">
        <v>0.3</v>
      </c>
      <c r="AA52" s="51"/>
      <c r="AB52" s="44" t="e">
        <f t="shared" ref="AB52" si="62">X52/AA52</f>
        <v>#DIV/0!</v>
      </c>
      <c r="AC52" s="47">
        <v>1.5</v>
      </c>
      <c r="AD52" s="202" t="s">
        <v>268</v>
      </c>
      <c r="AE52" s="202" t="s">
        <v>269</v>
      </c>
      <c r="AF52" s="374">
        <v>10</v>
      </c>
      <c r="AO52" s="371"/>
      <c r="AP52" s="239"/>
      <c r="AQ52" s="372"/>
    </row>
    <row r="53" spans="1:43" ht="12.6" customHeight="1">
      <c r="A53" s="155" t="s">
        <v>61</v>
      </c>
      <c r="B53" s="156" t="s">
        <v>127</v>
      </c>
      <c r="C53" s="156" t="s">
        <v>62</v>
      </c>
      <c r="D53" s="156" t="s">
        <v>128</v>
      </c>
      <c r="E53" s="155" t="s">
        <v>63</v>
      </c>
      <c r="F53" s="168" t="s">
        <v>64</v>
      </c>
      <c r="G53" s="169" t="s">
        <v>129</v>
      </c>
      <c r="H53" s="156" t="s">
        <v>66</v>
      </c>
      <c r="I53" s="48" t="s">
        <v>118</v>
      </c>
      <c r="J53" s="164" t="s">
        <v>285</v>
      </c>
      <c r="K53" s="45">
        <f t="shared" ref="K53:K59" si="63">W53*AC53</f>
        <v>7650000</v>
      </c>
      <c r="L53" s="42">
        <v>0</v>
      </c>
      <c r="M53" s="43">
        <f t="shared" ref="M53:M56" si="64">K53*L53</f>
        <v>0</v>
      </c>
      <c r="N53" s="46">
        <v>0.85</v>
      </c>
      <c r="O53" s="43">
        <f t="shared" ref="O53:O56" si="65">K53*N53</f>
        <v>6502500</v>
      </c>
      <c r="P53" s="158">
        <f t="shared" ref="P53:P55" si="66">(T53*1000)/K53</f>
        <v>110</v>
      </c>
      <c r="Q53" s="158" t="e">
        <f t="shared" ref="Q53:Q56" si="67">T53/M53</f>
        <v>#DIV/0!</v>
      </c>
      <c r="R53" s="167">
        <v>110</v>
      </c>
      <c r="S53" s="167"/>
      <c r="T53" s="145">
        <f t="shared" ref="T53:T55" si="68">K53*R53/1000</f>
        <v>841500</v>
      </c>
      <c r="U53" s="44">
        <f>T53/$T$103</f>
        <v>3.1138103967637047E-2</v>
      </c>
      <c r="V53" s="44">
        <v>1</v>
      </c>
      <c r="W53" s="45">
        <f t="shared" ref="W53:W59" si="69">Z53*Y53</f>
        <v>5100000</v>
      </c>
      <c r="X53" s="45">
        <f t="shared" ref="X53:X59" si="70">(1-V53)*W53</f>
        <v>0</v>
      </c>
      <c r="Y53" s="45">
        <v>17000000</v>
      </c>
      <c r="Z53" s="46">
        <v>0.3</v>
      </c>
      <c r="AA53" s="51"/>
      <c r="AB53" s="44" t="e">
        <f t="shared" ref="AB53:AB59" si="71">X53/AA53</f>
        <v>#DIV/0!</v>
      </c>
      <c r="AC53" s="47">
        <v>1.5</v>
      </c>
      <c r="AD53" s="202" t="s">
        <v>268</v>
      </c>
      <c r="AE53" s="202" t="s">
        <v>269</v>
      </c>
      <c r="AF53" s="374">
        <v>10</v>
      </c>
      <c r="AO53" s="371"/>
      <c r="AP53" s="239"/>
      <c r="AQ53" s="372"/>
    </row>
    <row r="54" spans="1:43" ht="12.6" customHeight="1">
      <c r="A54" s="155" t="s">
        <v>61</v>
      </c>
      <c r="B54" s="156" t="s">
        <v>127</v>
      </c>
      <c r="C54" s="156" t="s">
        <v>67</v>
      </c>
      <c r="D54" s="156" t="s">
        <v>128</v>
      </c>
      <c r="E54" s="155" t="s">
        <v>63</v>
      </c>
      <c r="F54" s="168" t="s">
        <v>64</v>
      </c>
      <c r="G54" s="169" t="s">
        <v>129</v>
      </c>
      <c r="H54" s="156" t="s">
        <v>284</v>
      </c>
      <c r="I54" s="48" t="s">
        <v>118</v>
      </c>
      <c r="J54" s="164" t="s">
        <v>286</v>
      </c>
      <c r="K54" s="45">
        <f t="shared" ref="K54" si="72">W54*AC54</f>
        <v>1778255.4299999997</v>
      </c>
      <c r="L54" s="42">
        <v>0</v>
      </c>
      <c r="M54" s="43">
        <f t="shared" ref="M54" si="73">K54*L54</f>
        <v>0</v>
      </c>
      <c r="N54" s="46">
        <v>0.85</v>
      </c>
      <c r="O54" s="43">
        <f t="shared" ref="O54" si="74">K54*N54</f>
        <v>1511517.1154999996</v>
      </c>
      <c r="P54" s="158">
        <f t="shared" ref="P54" si="75">(T54*1000)/K54</f>
        <v>149.99999999999997</v>
      </c>
      <c r="Q54" s="158" t="e">
        <f t="shared" ref="Q54" si="76">T54/M54</f>
        <v>#DIV/0!</v>
      </c>
      <c r="R54" s="167">
        <v>150</v>
      </c>
      <c r="S54" s="167"/>
      <c r="T54" s="145">
        <f t="shared" ref="T54" si="77">K54*R54/1000</f>
        <v>266738.31449999992</v>
      </c>
      <c r="U54" s="44">
        <f>T54/$T$103</f>
        <v>9.8701430410615167E-3</v>
      </c>
      <c r="V54" s="46">
        <v>1</v>
      </c>
      <c r="W54" s="45">
        <f t="shared" ref="W54" si="78">Z54*Y54</f>
        <v>1185503.6199999999</v>
      </c>
      <c r="X54" s="45">
        <f t="shared" ref="X54" si="79">(1-V54)*W54</f>
        <v>0</v>
      </c>
      <c r="Y54" s="45">
        <v>5927518.0999999996</v>
      </c>
      <c r="Z54" s="46">
        <v>0.2</v>
      </c>
      <c r="AA54" s="51"/>
      <c r="AB54" s="44" t="e">
        <f t="shared" ref="AB54" si="80">X54/AA54</f>
        <v>#DIV/0!</v>
      </c>
      <c r="AC54" s="47">
        <v>1.5</v>
      </c>
      <c r="AD54" s="202" t="s">
        <v>268</v>
      </c>
      <c r="AE54" s="202" t="s">
        <v>269</v>
      </c>
      <c r="AF54" s="374">
        <v>10</v>
      </c>
      <c r="AO54" s="371"/>
      <c r="AP54" s="239"/>
      <c r="AQ54" s="372"/>
    </row>
    <row r="55" spans="1:43" ht="12.6" customHeight="1">
      <c r="A55" s="155" t="s">
        <v>61</v>
      </c>
      <c r="B55" s="156" t="s">
        <v>127</v>
      </c>
      <c r="C55" s="156" t="s">
        <v>67</v>
      </c>
      <c r="D55" s="156" t="s">
        <v>128</v>
      </c>
      <c r="E55" s="155" t="s">
        <v>63</v>
      </c>
      <c r="F55" s="168" t="s">
        <v>64</v>
      </c>
      <c r="G55" s="169" t="s">
        <v>129</v>
      </c>
      <c r="H55" s="156" t="s">
        <v>66</v>
      </c>
      <c r="I55" s="48" t="s">
        <v>118</v>
      </c>
      <c r="J55" s="164" t="s">
        <v>286</v>
      </c>
      <c r="K55" s="45">
        <f t="shared" si="63"/>
        <v>1778255.4299999997</v>
      </c>
      <c r="L55" s="42">
        <v>0</v>
      </c>
      <c r="M55" s="43">
        <f t="shared" si="64"/>
        <v>0</v>
      </c>
      <c r="N55" s="46">
        <v>0.85</v>
      </c>
      <c r="O55" s="43">
        <f t="shared" si="65"/>
        <v>1511517.1154999996</v>
      </c>
      <c r="P55" s="158">
        <f t="shared" si="66"/>
        <v>109.99999999999999</v>
      </c>
      <c r="Q55" s="158" t="e">
        <f t="shared" si="67"/>
        <v>#DIV/0!</v>
      </c>
      <c r="R55" s="167">
        <v>110</v>
      </c>
      <c r="S55" s="167"/>
      <c r="T55" s="145">
        <f t="shared" si="68"/>
        <v>195608.09729999996</v>
      </c>
      <c r="U55" s="44">
        <f>T55/$T$103</f>
        <v>7.2381048967784462E-3</v>
      </c>
      <c r="V55" s="46">
        <v>1</v>
      </c>
      <c r="W55" s="45">
        <f t="shared" si="69"/>
        <v>1185503.6199999999</v>
      </c>
      <c r="X55" s="45">
        <f t="shared" si="70"/>
        <v>0</v>
      </c>
      <c r="Y55" s="45">
        <v>5927518.0999999996</v>
      </c>
      <c r="Z55" s="46">
        <v>0.2</v>
      </c>
      <c r="AA55" s="51"/>
      <c r="AB55" s="44" t="e">
        <f t="shared" si="71"/>
        <v>#DIV/0!</v>
      </c>
      <c r="AC55" s="47">
        <v>1.5</v>
      </c>
      <c r="AD55" s="202" t="s">
        <v>268</v>
      </c>
      <c r="AE55" s="202" t="s">
        <v>269</v>
      </c>
      <c r="AF55" s="374">
        <v>10</v>
      </c>
      <c r="AO55" s="371"/>
      <c r="AP55" s="239"/>
      <c r="AQ55" s="372"/>
    </row>
    <row r="56" spans="1:43" s="239" customFormat="1" ht="12.6" customHeight="1">
      <c r="A56" s="289" t="s">
        <v>61</v>
      </c>
      <c r="B56" s="164" t="s">
        <v>154</v>
      </c>
      <c r="C56" s="164" t="s">
        <v>62</v>
      </c>
      <c r="D56" s="164" t="s">
        <v>128</v>
      </c>
      <c r="E56" s="289" t="s">
        <v>135</v>
      </c>
      <c r="F56" s="383" t="s">
        <v>64</v>
      </c>
      <c r="G56" s="491" t="s">
        <v>136</v>
      </c>
      <c r="H56" s="156" t="s">
        <v>284</v>
      </c>
      <c r="I56" s="385" t="s">
        <v>118</v>
      </c>
      <c r="J56" s="164" t="s">
        <v>287</v>
      </c>
      <c r="K56" s="45">
        <f>W56*AC56</f>
        <v>3600000</v>
      </c>
      <c r="L56" s="386">
        <v>0</v>
      </c>
      <c r="M56" s="387">
        <f t="shared" si="64"/>
        <v>0</v>
      </c>
      <c r="N56" s="388">
        <v>0.75</v>
      </c>
      <c r="O56" s="387">
        <f t="shared" si="65"/>
        <v>2700000</v>
      </c>
      <c r="P56" s="389">
        <f t="shared" ref="P56" si="81">T56/(K56/1000)</f>
        <v>170</v>
      </c>
      <c r="Q56" s="390" t="e">
        <f t="shared" si="67"/>
        <v>#DIV/0!</v>
      </c>
      <c r="R56" s="391">
        <v>170</v>
      </c>
      <c r="S56" s="391"/>
      <c r="T56" s="158">
        <f t="shared" ref="T56" si="82">R56*K56/1000</f>
        <v>612000</v>
      </c>
      <c r="U56" s="392">
        <f>T56/$T$65</f>
        <v>0.51</v>
      </c>
      <c r="V56" s="46">
        <v>1</v>
      </c>
      <c r="W56" s="45">
        <f t="shared" ref="W56" si="83">Z56*Y56</f>
        <v>2400000</v>
      </c>
      <c r="X56" s="393">
        <f t="shared" ref="X56" si="84">(1-V56)*W56</f>
        <v>0</v>
      </c>
      <c r="Y56" s="393">
        <v>12000000</v>
      </c>
      <c r="Z56" s="46">
        <v>0.2</v>
      </c>
      <c r="AA56" s="394"/>
      <c r="AB56" s="392" t="e">
        <f t="shared" ref="AB56" si="85">X56/AA56</f>
        <v>#DIV/0!</v>
      </c>
      <c r="AC56" s="47">
        <v>1.5</v>
      </c>
      <c r="AD56" s="202" t="s">
        <v>268</v>
      </c>
      <c r="AE56" s="202" t="s">
        <v>269</v>
      </c>
      <c r="AF56" s="374">
        <v>10</v>
      </c>
      <c r="AO56" s="373"/>
      <c r="AQ56" s="372"/>
    </row>
    <row r="57" spans="1:43" s="239" customFormat="1" ht="12.6" customHeight="1">
      <c r="A57" s="289" t="s">
        <v>61</v>
      </c>
      <c r="B57" s="164" t="s">
        <v>154</v>
      </c>
      <c r="C57" s="164" t="s">
        <v>62</v>
      </c>
      <c r="D57" s="164" t="s">
        <v>128</v>
      </c>
      <c r="E57" s="289" t="s">
        <v>135</v>
      </c>
      <c r="F57" s="383" t="s">
        <v>64</v>
      </c>
      <c r="G57" s="491" t="s">
        <v>136</v>
      </c>
      <c r="H57" s="155" t="s">
        <v>71</v>
      </c>
      <c r="I57" s="385" t="s">
        <v>118</v>
      </c>
      <c r="J57" s="164" t="s">
        <v>287</v>
      </c>
      <c r="K57" s="45">
        <f>W57*AC57</f>
        <v>3600000</v>
      </c>
      <c r="L57" s="386">
        <v>0</v>
      </c>
      <c r="M57" s="387">
        <f t="shared" ref="M57:M59" si="86">K57*L57</f>
        <v>0</v>
      </c>
      <c r="N57" s="388">
        <v>0.75</v>
      </c>
      <c r="O57" s="387">
        <f t="shared" ref="O57:O59" si="87">K57*N57</f>
        <v>2700000</v>
      </c>
      <c r="P57" s="389">
        <f t="shared" ref="P57:P59" si="88">T57/(K57/1000)</f>
        <v>125</v>
      </c>
      <c r="Q57" s="390" t="e">
        <f t="shared" ref="Q57:Q59" si="89">T57/M57</f>
        <v>#DIV/0!</v>
      </c>
      <c r="R57" s="391">
        <v>125</v>
      </c>
      <c r="S57" s="391"/>
      <c r="T57" s="158">
        <f t="shared" ref="T57:T59" si="90">R57*K57/1000</f>
        <v>450000</v>
      </c>
      <c r="U57" s="392">
        <f>T57/$T$65</f>
        <v>0.375</v>
      </c>
      <c r="V57" s="46">
        <v>1</v>
      </c>
      <c r="W57" s="45">
        <f t="shared" si="69"/>
        <v>2400000</v>
      </c>
      <c r="X57" s="393">
        <f t="shared" si="70"/>
        <v>0</v>
      </c>
      <c r="Y57" s="393">
        <v>12000000</v>
      </c>
      <c r="Z57" s="46">
        <v>0.2</v>
      </c>
      <c r="AA57" s="394"/>
      <c r="AB57" s="392" t="e">
        <f t="shared" si="71"/>
        <v>#DIV/0!</v>
      </c>
      <c r="AC57" s="47">
        <v>1.5</v>
      </c>
      <c r="AD57" s="202" t="s">
        <v>268</v>
      </c>
      <c r="AE57" s="202" t="s">
        <v>269</v>
      </c>
      <c r="AF57" s="374">
        <v>10</v>
      </c>
      <c r="AO57" s="373"/>
      <c r="AQ57" s="372"/>
    </row>
    <row r="58" spans="1:43" s="239" customFormat="1" ht="12.6" customHeight="1">
      <c r="A58" s="289" t="s">
        <v>61</v>
      </c>
      <c r="B58" s="164" t="s">
        <v>154</v>
      </c>
      <c r="C58" s="164" t="s">
        <v>67</v>
      </c>
      <c r="D58" s="164" t="s">
        <v>128</v>
      </c>
      <c r="E58" s="289" t="s">
        <v>135</v>
      </c>
      <c r="F58" s="383" t="s">
        <v>64</v>
      </c>
      <c r="G58" s="491" t="s">
        <v>136</v>
      </c>
      <c r="H58" s="156" t="s">
        <v>284</v>
      </c>
      <c r="I58" s="385" t="s">
        <v>118</v>
      </c>
      <c r="J58" s="164" t="s">
        <v>288</v>
      </c>
      <c r="K58" s="45">
        <f t="shared" ref="K58" si="91">W58*AC58</f>
        <v>1200000</v>
      </c>
      <c r="L58" s="386">
        <v>0</v>
      </c>
      <c r="M58" s="387">
        <f t="shared" ref="M58" si="92">K58*L58</f>
        <v>0</v>
      </c>
      <c r="N58" s="388">
        <v>0.75</v>
      </c>
      <c r="O58" s="387">
        <f t="shared" ref="O58" si="93">K58*N58</f>
        <v>900000</v>
      </c>
      <c r="P58" s="389">
        <f t="shared" ref="P58" si="94">T58/(K58/1000)</f>
        <v>170</v>
      </c>
      <c r="Q58" s="390" t="e">
        <f t="shared" ref="Q58" si="95">T58/M58</f>
        <v>#DIV/0!</v>
      </c>
      <c r="R58" s="391">
        <v>170</v>
      </c>
      <c r="S58" s="391"/>
      <c r="T58" s="158">
        <f t="shared" ref="T58" si="96">R58*K58/1000</f>
        <v>204000</v>
      </c>
      <c r="U58" s="392">
        <f>T58/$T$65</f>
        <v>0.17</v>
      </c>
      <c r="V58" s="46">
        <v>1</v>
      </c>
      <c r="W58" s="45">
        <f t="shared" ref="W58" si="97">Z58*Y58</f>
        <v>800000</v>
      </c>
      <c r="X58" s="393">
        <f t="shared" ref="X58" si="98">(1-V58)*W58</f>
        <v>0</v>
      </c>
      <c r="Y58" s="393">
        <v>4000000</v>
      </c>
      <c r="Z58" s="46">
        <v>0.2</v>
      </c>
      <c r="AA58" s="394"/>
      <c r="AB58" s="392" t="e">
        <f t="shared" ref="AB58" si="99">X58/AA58</f>
        <v>#DIV/0!</v>
      </c>
      <c r="AC58" s="47">
        <v>1.5</v>
      </c>
      <c r="AD58" s="202" t="s">
        <v>268</v>
      </c>
      <c r="AE58" s="202" t="s">
        <v>269</v>
      </c>
      <c r="AF58" s="374">
        <v>10</v>
      </c>
      <c r="AO58" s="373"/>
      <c r="AQ58" s="372"/>
    </row>
    <row r="59" spans="1:43" s="239" customFormat="1" ht="12.6" customHeight="1">
      <c r="A59" s="289" t="s">
        <v>61</v>
      </c>
      <c r="B59" s="164" t="s">
        <v>154</v>
      </c>
      <c r="C59" s="164" t="s">
        <v>67</v>
      </c>
      <c r="D59" s="164" t="s">
        <v>128</v>
      </c>
      <c r="E59" s="289" t="s">
        <v>135</v>
      </c>
      <c r="F59" s="383" t="s">
        <v>64</v>
      </c>
      <c r="G59" s="491" t="s">
        <v>136</v>
      </c>
      <c r="H59" s="155" t="s">
        <v>71</v>
      </c>
      <c r="I59" s="385" t="s">
        <v>118</v>
      </c>
      <c r="J59" s="164" t="s">
        <v>288</v>
      </c>
      <c r="K59" s="45">
        <f t="shared" si="63"/>
        <v>1200000</v>
      </c>
      <c r="L59" s="386">
        <v>0</v>
      </c>
      <c r="M59" s="387">
        <f t="shared" si="86"/>
        <v>0</v>
      </c>
      <c r="N59" s="388">
        <v>0.75</v>
      </c>
      <c r="O59" s="387">
        <f t="shared" si="87"/>
        <v>900000</v>
      </c>
      <c r="P59" s="389">
        <f t="shared" si="88"/>
        <v>125</v>
      </c>
      <c r="Q59" s="390" t="e">
        <f t="shared" si="89"/>
        <v>#DIV/0!</v>
      </c>
      <c r="R59" s="391">
        <v>125</v>
      </c>
      <c r="S59" s="391"/>
      <c r="T59" s="158">
        <f t="shared" si="90"/>
        <v>150000</v>
      </c>
      <c r="U59" s="392">
        <f>T59/$T$65</f>
        <v>0.125</v>
      </c>
      <c r="V59" s="46">
        <v>1</v>
      </c>
      <c r="W59" s="45">
        <f t="shared" si="69"/>
        <v>800000</v>
      </c>
      <c r="X59" s="393">
        <f t="shared" si="70"/>
        <v>0</v>
      </c>
      <c r="Y59" s="393">
        <v>4000000</v>
      </c>
      <c r="Z59" s="46">
        <v>0.2</v>
      </c>
      <c r="AA59" s="394"/>
      <c r="AB59" s="392" t="e">
        <f t="shared" si="71"/>
        <v>#DIV/0!</v>
      </c>
      <c r="AC59" s="47">
        <v>1.5</v>
      </c>
      <c r="AD59" s="202" t="s">
        <v>268</v>
      </c>
      <c r="AE59" s="202" t="s">
        <v>269</v>
      </c>
      <c r="AF59" s="374">
        <v>10</v>
      </c>
      <c r="AO59" s="373"/>
      <c r="AQ59" s="372"/>
    </row>
    <row r="60" spans="1:43" ht="12.6" customHeight="1">
      <c r="A60" s="211" t="s">
        <v>289</v>
      </c>
      <c r="B60" s="211"/>
      <c r="C60" s="211"/>
      <c r="D60" s="211"/>
      <c r="E60" s="211"/>
      <c r="F60" s="211"/>
      <c r="G60" s="211"/>
      <c r="H60" s="211"/>
      <c r="I60" s="211"/>
      <c r="J60" s="212"/>
      <c r="K60" s="213"/>
      <c r="L60" s="214"/>
      <c r="M60" s="210"/>
      <c r="N60" s="210"/>
      <c r="O60" s="210"/>
      <c r="P60" s="215"/>
      <c r="Q60" s="215"/>
      <c r="R60" s="107"/>
      <c r="S60" s="107"/>
      <c r="T60" s="105"/>
      <c r="U60" s="154"/>
      <c r="V60" s="108"/>
      <c r="W60" s="210"/>
      <c r="X60" s="210"/>
      <c r="Y60" s="210"/>
      <c r="Z60" s="105"/>
      <c r="AA60" s="105"/>
      <c r="AB60" s="105"/>
      <c r="AC60" s="105"/>
      <c r="AD60" s="105"/>
      <c r="AE60" s="105"/>
      <c r="AF60" s="105"/>
      <c r="AO60" s="370"/>
      <c r="AP60" s="239"/>
      <c r="AQ60" s="372"/>
    </row>
    <row r="61" spans="1:43" s="239" customFormat="1" ht="12.6" customHeight="1">
      <c r="A61" s="155" t="s">
        <v>290</v>
      </c>
      <c r="B61" s="156" t="s">
        <v>127</v>
      </c>
      <c r="C61" s="156" t="s">
        <v>73</v>
      </c>
      <c r="D61" s="156" t="s">
        <v>164</v>
      </c>
      <c r="E61" s="155" t="s">
        <v>180</v>
      </c>
      <c r="F61" s="48" t="s">
        <v>70</v>
      </c>
      <c r="G61" s="169" t="s">
        <v>155</v>
      </c>
      <c r="H61" s="331" t="s">
        <v>291</v>
      </c>
      <c r="I61" s="48" t="s">
        <v>292</v>
      </c>
      <c r="J61" s="164" t="s">
        <v>293</v>
      </c>
      <c r="K61" s="45">
        <f>AC61*W61</f>
        <v>20000000</v>
      </c>
      <c r="L61" s="42">
        <v>0.01</v>
      </c>
      <c r="M61" s="43">
        <f t="shared" ref="M61" si="100">K61*L61</f>
        <v>200000</v>
      </c>
      <c r="N61" s="46">
        <v>0</v>
      </c>
      <c r="O61" s="43">
        <f t="shared" ref="O61" si="101">K61*N61</f>
        <v>0</v>
      </c>
      <c r="P61" s="158">
        <f t="shared" ref="P61" si="102">T61/(K61/1000)</f>
        <v>60</v>
      </c>
      <c r="Q61" s="159">
        <f t="shared" ref="Q61" si="103">T61/M61</f>
        <v>6</v>
      </c>
      <c r="R61" s="167">
        <v>60</v>
      </c>
      <c r="S61" s="167"/>
      <c r="T61" s="158">
        <f>R61*K61/1000</f>
        <v>1200000</v>
      </c>
      <c r="U61" s="44">
        <f>T61/$T$103</f>
        <v>4.4403713322833577E-2</v>
      </c>
      <c r="V61" s="44">
        <v>1</v>
      </c>
      <c r="W61" s="45">
        <f>Z61*Y61</f>
        <v>10000000</v>
      </c>
      <c r="X61" s="45">
        <f t="shared" ref="X61" si="104">(1-V61)*W61</f>
        <v>0</v>
      </c>
      <c r="Y61" s="43">
        <v>25000000</v>
      </c>
      <c r="Z61" s="46">
        <v>0.4</v>
      </c>
      <c r="AA61" s="51"/>
      <c r="AB61" s="44" t="e">
        <f t="shared" ref="AB61" si="105">X61/AA61</f>
        <v>#DIV/0!</v>
      </c>
      <c r="AC61" s="47">
        <v>2</v>
      </c>
      <c r="AD61" s="202" t="s">
        <v>268</v>
      </c>
      <c r="AE61" s="202" t="s">
        <v>269</v>
      </c>
      <c r="AF61" s="374">
        <v>10</v>
      </c>
      <c r="AO61" s="373"/>
      <c r="AQ61" s="372"/>
    </row>
    <row r="62" spans="1:43" s="239" customFormat="1" ht="12">
      <c r="A62" s="155" t="s">
        <v>204</v>
      </c>
      <c r="B62" s="156" t="s">
        <v>127</v>
      </c>
      <c r="C62" s="156" t="s">
        <v>73</v>
      </c>
      <c r="D62" s="156" t="s">
        <v>164</v>
      </c>
      <c r="E62" s="156" t="s">
        <v>76</v>
      </c>
      <c r="F62" s="48" t="s">
        <v>294</v>
      </c>
      <c r="G62" s="169" t="s">
        <v>155</v>
      </c>
      <c r="H62" s="414" t="s">
        <v>295</v>
      </c>
      <c r="I62" s="48" t="s">
        <v>118</v>
      </c>
      <c r="J62" s="486" t="s">
        <v>296</v>
      </c>
      <c r="K62" s="45">
        <f>AC62*W62</f>
        <v>18000000</v>
      </c>
      <c r="L62" s="42">
        <v>5.0000000000000001E-3</v>
      </c>
      <c r="M62" s="43">
        <f t="shared" ref="M62:M63" si="106">K62*L62</f>
        <v>90000</v>
      </c>
      <c r="N62" s="46">
        <v>0</v>
      </c>
      <c r="O62" s="43">
        <f t="shared" ref="O62:O63" si="107">K62*N62</f>
        <v>0</v>
      </c>
      <c r="P62" s="158">
        <f t="shared" ref="P62:P63" si="108">T62/(K62/1000)</f>
        <v>49.5</v>
      </c>
      <c r="Q62" s="159">
        <f t="shared" ref="Q62:Q63" si="109">T62/M62</f>
        <v>9.9</v>
      </c>
      <c r="R62" s="167">
        <v>49.5</v>
      </c>
      <c r="S62" s="167"/>
      <c r="T62" s="158">
        <f>R62*K62/1000</f>
        <v>891000</v>
      </c>
      <c r="U62" s="44">
        <f>T62/$T$103</f>
        <v>3.2969757142203931E-2</v>
      </c>
      <c r="V62" s="46">
        <v>1</v>
      </c>
      <c r="W62" s="45">
        <f>Z62*Y62</f>
        <v>6000000</v>
      </c>
      <c r="X62" s="45">
        <f t="shared" ref="X62:X63" si="110">(1-V62)*W62</f>
        <v>0</v>
      </c>
      <c r="Y62" s="45">
        <v>30000000</v>
      </c>
      <c r="Z62" s="46">
        <v>0.2</v>
      </c>
      <c r="AA62" s="51"/>
      <c r="AB62" s="44" t="e">
        <f t="shared" ref="AB62:AB63" si="111">X62/AA62</f>
        <v>#DIV/0!</v>
      </c>
      <c r="AC62" s="47">
        <v>3</v>
      </c>
      <c r="AD62" s="202" t="s">
        <v>268</v>
      </c>
      <c r="AE62" s="202" t="s">
        <v>269</v>
      </c>
      <c r="AF62" s="374">
        <v>10</v>
      </c>
      <c r="AO62" s="373"/>
      <c r="AQ62" s="372"/>
    </row>
    <row r="63" spans="1:43" ht="12">
      <c r="A63" s="186" t="s">
        <v>201</v>
      </c>
      <c r="B63" s="414" t="s">
        <v>127</v>
      </c>
      <c r="C63" s="414" t="s">
        <v>73</v>
      </c>
      <c r="D63" s="414" t="s">
        <v>297</v>
      </c>
      <c r="E63" s="414" t="s">
        <v>87</v>
      </c>
      <c r="F63" s="417" t="s">
        <v>70</v>
      </c>
      <c r="G63" s="599" t="s">
        <v>298</v>
      </c>
      <c r="H63" s="414" t="s">
        <v>299</v>
      </c>
      <c r="I63" s="417" t="s">
        <v>167</v>
      </c>
      <c r="J63" s="414" t="s">
        <v>300</v>
      </c>
      <c r="K63" s="185">
        <f>W63*AC63</f>
        <v>13880000</v>
      </c>
      <c r="L63" s="418">
        <v>0.01</v>
      </c>
      <c r="M63" s="43">
        <f t="shared" si="106"/>
        <v>138800</v>
      </c>
      <c r="N63" s="423">
        <v>0</v>
      </c>
      <c r="O63" s="419">
        <f t="shared" si="107"/>
        <v>0</v>
      </c>
      <c r="P63" s="487">
        <f t="shared" si="108"/>
        <v>30</v>
      </c>
      <c r="Q63" s="421">
        <f t="shared" si="109"/>
        <v>3</v>
      </c>
      <c r="R63" s="568">
        <v>3</v>
      </c>
      <c r="S63" s="568"/>
      <c r="T63" s="487">
        <f>M63*R63</f>
        <v>416400</v>
      </c>
      <c r="U63" s="420">
        <f>T63/$T$72</f>
        <v>0.50472727272727269</v>
      </c>
      <c r="V63" s="46">
        <v>1</v>
      </c>
      <c r="W63" s="185">
        <f>Z63*Y63</f>
        <v>6940000</v>
      </c>
      <c r="X63" s="185">
        <f t="shared" si="110"/>
        <v>0</v>
      </c>
      <c r="Y63" s="419">
        <v>34700000</v>
      </c>
      <c r="Z63" s="423">
        <v>0.2</v>
      </c>
      <c r="AA63" s="489"/>
      <c r="AB63" s="420" t="e">
        <f t="shared" si="111"/>
        <v>#DIV/0!</v>
      </c>
      <c r="AC63" s="424">
        <v>2</v>
      </c>
      <c r="AD63" s="425" t="s">
        <v>268</v>
      </c>
      <c r="AE63" s="425" t="s">
        <v>269</v>
      </c>
      <c r="AF63" s="479">
        <v>10</v>
      </c>
      <c r="AO63" s="490"/>
      <c r="AQ63" s="248"/>
    </row>
    <row r="64" spans="1:43" ht="12.6" customHeight="1">
      <c r="A64" s="211" t="s">
        <v>301</v>
      </c>
      <c r="B64" s="211"/>
      <c r="C64" s="211"/>
      <c r="D64" s="211"/>
      <c r="E64" s="211"/>
      <c r="F64" s="211"/>
      <c r="G64" s="211"/>
      <c r="H64" s="211"/>
      <c r="I64" s="211"/>
      <c r="J64" s="212"/>
      <c r="K64" s="213"/>
      <c r="L64" s="214"/>
      <c r="M64" s="210"/>
      <c r="N64" s="210"/>
      <c r="O64" s="210"/>
      <c r="P64" s="215"/>
      <c r="Q64" s="215"/>
      <c r="R64" s="107"/>
      <c r="S64" s="107"/>
      <c r="T64" s="105"/>
      <c r="U64" s="154"/>
      <c r="V64" s="108"/>
      <c r="W64" s="210"/>
      <c r="X64" s="210"/>
      <c r="Y64" s="210"/>
      <c r="Z64" s="105"/>
      <c r="AA64" s="105"/>
      <c r="AB64" s="105"/>
      <c r="AC64" s="105"/>
      <c r="AD64" s="105"/>
      <c r="AE64" s="105"/>
      <c r="AF64" s="105"/>
      <c r="AO64" s="370"/>
      <c r="AP64" s="239"/>
      <c r="AQ64" s="372"/>
    </row>
    <row r="65" spans="1:49" ht="12.6" customHeight="1">
      <c r="A65" s="186" t="s">
        <v>61</v>
      </c>
      <c r="B65" s="414" t="s">
        <v>127</v>
      </c>
      <c r="C65" s="414" t="s">
        <v>73</v>
      </c>
      <c r="D65" s="414" t="s">
        <v>128</v>
      </c>
      <c r="E65" s="186" t="s">
        <v>76</v>
      </c>
      <c r="F65" s="417" t="s">
        <v>70</v>
      </c>
      <c r="G65" s="491" t="s">
        <v>136</v>
      </c>
      <c r="H65" s="186" t="s">
        <v>160</v>
      </c>
      <c r="I65" s="417" t="s">
        <v>118</v>
      </c>
      <c r="J65" s="486" t="s">
        <v>161</v>
      </c>
      <c r="K65" s="185">
        <f>W65*AC65</f>
        <v>10000000</v>
      </c>
      <c r="L65" s="420">
        <v>0.01</v>
      </c>
      <c r="M65" s="419">
        <f t="shared" ref="M65" si="112">K65*L65</f>
        <v>100000</v>
      </c>
      <c r="N65" s="423">
        <v>0.85</v>
      </c>
      <c r="O65" s="419">
        <f t="shared" ref="O65" si="113">K65*N65</f>
        <v>8500000</v>
      </c>
      <c r="P65" s="487">
        <f t="shared" ref="P65" si="114">T65/(K65/1000)</f>
        <v>120</v>
      </c>
      <c r="Q65" s="421">
        <f t="shared" ref="Q65" si="115">T65/M65</f>
        <v>12</v>
      </c>
      <c r="R65" s="499">
        <v>120</v>
      </c>
      <c r="S65" s="499"/>
      <c r="T65" s="487">
        <f>R65*K65/1000</f>
        <v>1200000</v>
      </c>
      <c r="U65" s="420">
        <f>T65/$T$103</f>
        <v>4.4403713322833577E-2</v>
      </c>
      <c r="V65" s="423">
        <v>0.9</v>
      </c>
      <c r="W65" s="185">
        <f>Y65*Z65</f>
        <v>2500000</v>
      </c>
      <c r="X65" s="185">
        <f t="shared" ref="X65" si="116">(1-V65)*W65</f>
        <v>249999.99999999994</v>
      </c>
      <c r="Y65" s="419">
        <v>5000000</v>
      </c>
      <c r="Z65" s="423">
        <v>0.5</v>
      </c>
      <c r="AA65" s="489"/>
      <c r="AB65" s="420" t="e">
        <f t="shared" ref="AB65" si="117">X65/AA65</f>
        <v>#DIV/0!</v>
      </c>
      <c r="AC65" s="424">
        <v>4</v>
      </c>
      <c r="AD65" s="202" t="s">
        <v>268</v>
      </c>
      <c r="AE65" s="202" t="s">
        <v>269</v>
      </c>
      <c r="AF65" s="374">
        <v>10</v>
      </c>
      <c r="AO65" s="490"/>
      <c r="AQ65" s="248"/>
    </row>
    <row r="66" spans="1:49" ht="12.6" customHeight="1">
      <c r="A66" s="211" t="s">
        <v>68</v>
      </c>
      <c r="B66" s="211"/>
      <c r="C66" s="211"/>
      <c r="D66" s="211"/>
      <c r="E66" s="211"/>
      <c r="F66" s="211"/>
      <c r="G66" s="211"/>
      <c r="H66" s="211"/>
      <c r="I66" s="211"/>
      <c r="J66" s="212"/>
      <c r="K66" s="213"/>
      <c r="L66" s="214"/>
      <c r="M66" s="210"/>
      <c r="N66" s="210"/>
      <c r="O66" s="210"/>
      <c r="P66" s="215"/>
      <c r="Q66" s="215"/>
      <c r="R66" s="107"/>
      <c r="S66" s="107"/>
      <c r="T66" s="105"/>
      <c r="U66" s="154"/>
      <c r="V66" s="108"/>
      <c r="W66" s="210"/>
      <c r="X66" s="210"/>
      <c r="Y66" s="210"/>
      <c r="Z66" s="105"/>
      <c r="AA66" s="105"/>
      <c r="AB66" s="105"/>
      <c r="AC66" s="105"/>
      <c r="AD66" s="105"/>
      <c r="AE66" s="105"/>
      <c r="AF66" s="105"/>
      <c r="AO66" s="370"/>
      <c r="AP66" s="239"/>
      <c r="AQ66" s="372"/>
    </row>
    <row r="67" spans="1:49" ht="12.6" customHeight="1">
      <c r="A67" s="186" t="s">
        <v>61</v>
      </c>
      <c r="B67" s="414" t="s">
        <v>127</v>
      </c>
      <c r="C67" s="414" t="s">
        <v>67</v>
      </c>
      <c r="D67" s="414" t="s">
        <v>128</v>
      </c>
      <c r="E67" s="186" t="s">
        <v>135</v>
      </c>
      <c r="F67" s="417" t="s">
        <v>70</v>
      </c>
      <c r="G67" s="491" t="s">
        <v>136</v>
      </c>
      <c r="H67" s="186" t="s">
        <v>160</v>
      </c>
      <c r="I67" s="417" t="s">
        <v>118</v>
      </c>
      <c r="J67" s="486" t="s">
        <v>138</v>
      </c>
      <c r="K67" s="185">
        <f>W67*AC67</f>
        <v>6000000</v>
      </c>
      <c r="L67" s="418">
        <v>3.0000000000000001E-3</v>
      </c>
      <c r="M67" s="419">
        <f t="shared" ref="M67" si="118">K67*L67</f>
        <v>18000</v>
      </c>
      <c r="N67" s="423">
        <v>0.85</v>
      </c>
      <c r="O67" s="419">
        <f t="shared" ref="O67" si="119">K67*N67</f>
        <v>5100000</v>
      </c>
      <c r="P67" s="487">
        <f t="shared" ref="P67:P75" si="120">T67/(K67/1000)</f>
        <v>125</v>
      </c>
      <c r="Q67" s="421">
        <f t="shared" ref="Q67" si="121">T67/M67</f>
        <v>41.666666666666664</v>
      </c>
      <c r="R67" s="499">
        <v>125</v>
      </c>
      <c r="S67" s="499"/>
      <c r="T67" s="487">
        <f>R67*K67/1000</f>
        <v>750000</v>
      </c>
      <c r="U67" s="420">
        <f>T67/$T$103</f>
        <v>2.7752320826770985E-2</v>
      </c>
      <c r="V67" s="423">
        <v>0.8</v>
      </c>
      <c r="W67" s="185">
        <f>Y67*Z67</f>
        <v>3000000</v>
      </c>
      <c r="X67" s="185">
        <f t="shared" ref="X67:X75" si="122">(1-V67)*W67</f>
        <v>599999.99999999988</v>
      </c>
      <c r="Y67" s="419">
        <v>5000000</v>
      </c>
      <c r="Z67" s="423">
        <v>0.6</v>
      </c>
      <c r="AA67" s="489"/>
      <c r="AB67" s="420" t="e">
        <f t="shared" ref="AB67" si="123">X67/AA67</f>
        <v>#DIV/0!</v>
      </c>
      <c r="AC67" s="424">
        <v>2</v>
      </c>
      <c r="AD67" s="202" t="s">
        <v>268</v>
      </c>
      <c r="AE67" s="202" t="s">
        <v>269</v>
      </c>
      <c r="AF67" s="374">
        <v>10</v>
      </c>
      <c r="AO67" s="490"/>
      <c r="AQ67" s="248"/>
    </row>
    <row r="68" spans="1:49" ht="12.6" customHeight="1">
      <c r="A68" s="211" t="s">
        <v>162</v>
      </c>
      <c r="B68" s="211"/>
      <c r="C68" s="211"/>
      <c r="D68" s="211"/>
      <c r="E68" s="211"/>
      <c r="F68" s="211"/>
      <c r="G68" s="211"/>
      <c r="H68" s="211"/>
      <c r="I68" s="211"/>
      <c r="J68" s="212"/>
      <c r="K68" s="213"/>
      <c r="L68" s="214"/>
      <c r="M68" s="210"/>
      <c r="N68" s="210"/>
      <c r="O68" s="210"/>
      <c r="P68" s="215"/>
      <c r="Q68" s="215"/>
      <c r="R68" s="107"/>
      <c r="S68" s="107"/>
      <c r="T68" s="105"/>
      <c r="U68" s="154"/>
      <c r="V68" s="108"/>
      <c r="W68" s="210"/>
      <c r="X68" s="210"/>
      <c r="Y68" s="210"/>
      <c r="Z68" s="105"/>
      <c r="AA68" s="105"/>
      <c r="AB68" s="105"/>
      <c r="AC68" s="105"/>
      <c r="AD68" s="105"/>
      <c r="AE68" s="105"/>
      <c r="AF68" s="105"/>
      <c r="AO68" s="370"/>
      <c r="AP68" s="239"/>
      <c r="AQ68" s="372"/>
    </row>
    <row r="69" spans="1:49" s="293" customFormat="1" ht="12">
      <c r="A69" s="155" t="s">
        <v>163</v>
      </c>
      <c r="B69" s="156" t="s">
        <v>127</v>
      </c>
      <c r="C69" s="156" t="s">
        <v>62</v>
      </c>
      <c r="D69" s="156" t="s">
        <v>164</v>
      </c>
      <c r="E69" s="155" t="s">
        <v>162</v>
      </c>
      <c r="F69" s="48" t="s">
        <v>70</v>
      </c>
      <c r="G69" s="157" t="s">
        <v>165</v>
      </c>
      <c r="H69" s="153" t="s">
        <v>166</v>
      </c>
      <c r="I69" s="48" t="s">
        <v>167</v>
      </c>
      <c r="J69" s="156" t="s">
        <v>168</v>
      </c>
      <c r="K69" s="45">
        <f>M69/L69</f>
        <v>13333333.333333334</v>
      </c>
      <c r="L69" s="42">
        <v>0.03</v>
      </c>
      <c r="M69" s="43">
        <f>T69/R69</f>
        <v>400000</v>
      </c>
      <c r="N69" s="46">
        <v>0</v>
      </c>
      <c r="O69" s="43">
        <f t="shared" ref="O69:O70" si="124">K69*N69</f>
        <v>0</v>
      </c>
      <c r="P69" s="158">
        <f t="shared" ref="P69:P70" si="125">T69/(K69/1000)</f>
        <v>60</v>
      </c>
      <c r="Q69" s="159">
        <f t="shared" ref="Q69:Q70" si="126">T69/M69</f>
        <v>2</v>
      </c>
      <c r="R69" s="375">
        <v>2</v>
      </c>
      <c r="S69" s="375"/>
      <c r="T69" s="158">
        <v>800000</v>
      </c>
      <c r="U69" s="420">
        <f>T69/$T$103</f>
        <v>2.9602475548555718E-2</v>
      </c>
      <c r="V69" s="46"/>
      <c r="W69" s="45"/>
      <c r="X69" s="45"/>
      <c r="Y69" s="43"/>
      <c r="Z69" s="46"/>
      <c r="AA69" s="51"/>
      <c r="AB69" s="44"/>
      <c r="AC69" s="47"/>
      <c r="AD69" s="202" t="s">
        <v>5</v>
      </c>
      <c r="AE69" s="202" t="s">
        <v>302</v>
      </c>
      <c r="AF69" s="374">
        <v>7</v>
      </c>
      <c r="AQ69" s="293" t="s">
        <v>139</v>
      </c>
      <c r="AR69" s="293">
        <v>6.2</v>
      </c>
    </row>
    <row r="70" spans="1:49" s="293" customFormat="1" ht="12">
      <c r="A70" s="155" t="s">
        <v>163</v>
      </c>
      <c r="B70" s="156" t="s">
        <v>127</v>
      </c>
      <c r="C70" s="156" t="s">
        <v>67</v>
      </c>
      <c r="D70" s="156" t="s">
        <v>164</v>
      </c>
      <c r="E70" s="155" t="s">
        <v>162</v>
      </c>
      <c r="F70" s="48" t="s">
        <v>70</v>
      </c>
      <c r="G70" s="157" t="s">
        <v>165</v>
      </c>
      <c r="H70" s="153" t="s">
        <v>166</v>
      </c>
      <c r="I70" s="48" t="s">
        <v>167</v>
      </c>
      <c r="J70" s="156" t="s">
        <v>168</v>
      </c>
      <c r="K70" s="45">
        <f>M70/L70</f>
        <v>13333333.333333334</v>
      </c>
      <c r="L70" s="42">
        <v>0.03</v>
      </c>
      <c r="M70" s="43">
        <f>T70/R70</f>
        <v>400000</v>
      </c>
      <c r="N70" s="46">
        <v>0</v>
      </c>
      <c r="O70" s="43">
        <f t="shared" si="124"/>
        <v>0</v>
      </c>
      <c r="P70" s="158">
        <f t="shared" si="125"/>
        <v>60</v>
      </c>
      <c r="Q70" s="159">
        <f t="shared" si="126"/>
        <v>2</v>
      </c>
      <c r="R70" s="375">
        <v>2</v>
      </c>
      <c r="S70" s="375"/>
      <c r="T70" s="158">
        <v>800000</v>
      </c>
      <c r="U70" s="420">
        <f>T70/$T$103</f>
        <v>2.9602475548555718E-2</v>
      </c>
      <c r="V70" s="46"/>
      <c r="W70" s="45"/>
      <c r="X70" s="45"/>
      <c r="Y70" s="43"/>
      <c r="Z70" s="46"/>
      <c r="AA70" s="51"/>
      <c r="AB70" s="44"/>
      <c r="AC70" s="47"/>
      <c r="AD70" s="202" t="s">
        <v>5</v>
      </c>
      <c r="AE70" s="202" t="s">
        <v>302</v>
      </c>
      <c r="AF70" s="374">
        <v>7</v>
      </c>
      <c r="AQ70" s="293" t="s">
        <v>139</v>
      </c>
      <c r="AR70" s="293">
        <v>6.2</v>
      </c>
    </row>
    <row r="71" spans="1:49" ht="12.6" customHeight="1">
      <c r="A71" s="211" t="s">
        <v>303</v>
      </c>
      <c r="B71" s="211"/>
      <c r="C71" s="211"/>
      <c r="D71" s="211"/>
      <c r="E71" s="211"/>
      <c r="F71" s="211"/>
      <c r="G71" s="211"/>
      <c r="H71" s="211"/>
      <c r="I71" s="211"/>
      <c r="J71" s="212"/>
      <c r="K71" s="213"/>
      <c r="L71" s="214"/>
      <c r="M71" s="210"/>
      <c r="N71" s="210"/>
      <c r="O71" s="210"/>
      <c r="P71" s="215"/>
      <c r="Q71" s="215"/>
      <c r="R71" s="107"/>
      <c r="S71" s="107"/>
      <c r="T71" s="105"/>
      <c r="U71" s="154"/>
      <c r="V71" s="108"/>
      <c r="W71" s="210"/>
      <c r="X71" s="210"/>
      <c r="Y71" s="210"/>
      <c r="Z71" s="105"/>
      <c r="AA71" s="105"/>
      <c r="AB71" s="105"/>
      <c r="AC71" s="105"/>
      <c r="AD71" s="105"/>
      <c r="AE71" s="105"/>
      <c r="AF71" s="105"/>
      <c r="AO71" s="370"/>
      <c r="AP71" s="239"/>
      <c r="AQ71" s="372"/>
    </row>
    <row r="72" spans="1:49" ht="12.6" customHeight="1">
      <c r="A72" s="413" t="s">
        <v>163</v>
      </c>
      <c r="B72" s="414" t="s">
        <v>154</v>
      </c>
      <c r="C72" s="414" t="s">
        <v>73</v>
      </c>
      <c r="D72" s="414" t="s">
        <v>164</v>
      </c>
      <c r="E72" s="413" t="s">
        <v>174</v>
      </c>
      <c r="F72" s="415" t="s">
        <v>70</v>
      </c>
      <c r="G72" s="416" t="s">
        <v>304</v>
      </c>
      <c r="H72" s="506" t="s">
        <v>166</v>
      </c>
      <c r="I72" s="417" t="s">
        <v>118</v>
      </c>
      <c r="J72" s="486" t="s">
        <v>305</v>
      </c>
      <c r="K72" s="185">
        <f>W72*AC72</f>
        <v>6600000</v>
      </c>
      <c r="L72" s="418">
        <v>0.03</v>
      </c>
      <c r="M72" s="419">
        <f>L72*K72</f>
        <v>198000</v>
      </c>
      <c r="N72" s="423">
        <v>0</v>
      </c>
      <c r="O72" s="419">
        <f t="shared" ref="O72:O75" si="127">K72*N72</f>
        <v>0</v>
      </c>
      <c r="P72" s="487">
        <f t="shared" si="120"/>
        <v>125</v>
      </c>
      <c r="Q72" s="488">
        <f>T72/M72</f>
        <v>4.166666666666667</v>
      </c>
      <c r="R72" s="499">
        <v>105</v>
      </c>
      <c r="S72" s="729">
        <v>20</v>
      </c>
      <c r="T72" s="570">
        <f t="shared" ref="T72:T77" si="128">K72/1000*(R72+S72)</f>
        <v>825000</v>
      </c>
      <c r="U72" s="420">
        <f>T72/$T$103</f>
        <v>3.0527552909448086E-2</v>
      </c>
      <c r="V72" s="420">
        <v>1</v>
      </c>
      <c r="W72" s="185">
        <f>Y72*Z72</f>
        <v>3300000</v>
      </c>
      <c r="X72" s="185">
        <f t="shared" si="122"/>
        <v>0</v>
      </c>
      <c r="Y72" s="43">
        <v>16500000</v>
      </c>
      <c r="Z72" s="423">
        <v>0.2</v>
      </c>
      <c r="AA72" s="489"/>
      <c r="AB72" s="420"/>
      <c r="AC72" s="424">
        <v>2</v>
      </c>
      <c r="AD72" s="202" t="s">
        <v>268</v>
      </c>
      <c r="AE72" s="202" t="s">
        <v>269</v>
      </c>
      <c r="AF72" s="374">
        <v>10</v>
      </c>
      <c r="AO72" s="490"/>
      <c r="AQ72" s="248"/>
    </row>
    <row r="73" spans="1:49" ht="12.6" customHeight="1">
      <c r="A73" s="413" t="s">
        <v>163</v>
      </c>
      <c r="B73" s="414" t="s">
        <v>154</v>
      </c>
      <c r="C73" s="414" t="s">
        <v>73</v>
      </c>
      <c r="D73" s="414" t="s">
        <v>164</v>
      </c>
      <c r="E73" s="413" t="s">
        <v>174</v>
      </c>
      <c r="F73" s="415" t="s">
        <v>70</v>
      </c>
      <c r="G73" s="416" t="s">
        <v>304</v>
      </c>
      <c r="H73" s="506" t="s">
        <v>166</v>
      </c>
      <c r="I73" s="417" t="s">
        <v>118</v>
      </c>
      <c r="J73" s="486" t="s">
        <v>306</v>
      </c>
      <c r="K73" s="185">
        <f t="shared" ref="K73:K75" si="129">W73*AC73</f>
        <v>3440000</v>
      </c>
      <c r="L73" s="418">
        <v>0.03</v>
      </c>
      <c r="M73" s="419">
        <f t="shared" ref="M73:M75" si="130">L73*K73</f>
        <v>103200</v>
      </c>
      <c r="N73" s="423">
        <v>0</v>
      </c>
      <c r="O73" s="419">
        <f t="shared" si="127"/>
        <v>0</v>
      </c>
      <c r="P73" s="487">
        <f t="shared" si="120"/>
        <v>125</v>
      </c>
      <c r="Q73" s="488">
        <f t="shared" ref="Q73:Q75" si="131">T73/M73</f>
        <v>4.166666666666667</v>
      </c>
      <c r="R73" s="499">
        <v>105</v>
      </c>
      <c r="S73" s="729">
        <v>20</v>
      </c>
      <c r="T73" s="570">
        <f t="shared" si="128"/>
        <v>430000</v>
      </c>
      <c r="U73" s="420">
        <f>T73/$T$103</f>
        <v>1.59113306073487E-2</v>
      </c>
      <c r="V73" s="420">
        <v>1</v>
      </c>
      <c r="W73" s="185">
        <f t="shared" ref="W73:W77" si="132">Y73*Z73</f>
        <v>1720000</v>
      </c>
      <c r="X73" s="185">
        <f t="shared" si="122"/>
        <v>0</v>
      </c>
      <c r="Y73" s="419">
        <v>8600000</v>
      </c>
      <c r="Z73" s="423">
        <v>0.2</v>
      </c>
      <c r="AA73" s="489"/>
      <c r="AB73" s="420"/>
      <c r="AC73" s="424">
        <v>2</v>
      </c>
      <c r="AD73" s="202" t="s">
        <v>268</v>
      </c>
      <c r="AE73" s="202" t="s">
        <v>269</v>
      </c>
      <c r="AF73" s="374">
        <v>10</v>
      </c>
      <c r="AO73" s="490"/>
      <c r="AQ73" s="248"/>
    </row>
    <row r="74" spans="1:49" ht="12.6" customHeight="1">
      <c r="A74" s="413" t="s">
        <v>163</v>
      </c>
      <c r="B74" s="414" t="s">
        <v>154</v>
      </c>
      <c r="C74" s="414" t="s">
        <v>73</v>
      </c>
      <c r="D74" s="414" t="s">
        <v>164</v>
      </c>
      <c r="E74" s="413" t="s">
        <v>174</v>
      </c>
      <c r="F74" s="415" t="s">
        <v>70</v>
      </c>
      <c r="G74" s="416" t="s">
        <v>304</v>
      </c>
      <c r="H74" s="506" t="s">
        <v>166</v>
      </c>
      <c r="I74" s="417" t="s">
        <v>118</v>
      </c>
      <c r="J74" s="486" t="s">
        <v>307</v>
      </c>
      <c r="K74" s="185">
        <f t="shared" si="129"/>
        <v>4000000</v>
      </c>
      <c r="L74" s="418">
        <v>0.03</v>
      </c>
      <c r="M74" s="419">
        <f t="shared" si="130"/>
        <v>120000</v>
      </c>
      <c r="N74" s="423">
        <v>0</v>
      </c>
      <c r="O74" s="419">
        <f t="shared" si="127"/>
        <v>0</v>
      </c>
      <c r="P74" s="487">
        <f t="shared" si="120"/>
        <v>125</v>
      </c>
      <c r="Q74" s="488">
        <f t="shared" si="131"/>
        <v>4.166666666666667</v>
      </c>
      <c r="R74" s="499">
        <v>105</v>
      </c>
      <c r="S74" s="729">
        <v>20</v>
      </c>
      <c r="T74" s="570">
        <f t="shared" si="128"/>
        <v>500000</v>
      </c>
      <c r="U74" s="420">
        <f>T74/$T$103</f>
        <v>1.8501547217847324E-2</v>
      </c>
      <c r="V74" s="420">
        <v>1</v>
      </c>
      <c r="W74" s="185">
        <f t="shared" si="132"/>
        <v>2000000</v>
      </c>
      <c r="X74" s="185">
        <f t="shared" si="122"/>
        <v>0</v>
      </c>
      <c r="Y74" s="419">
        <v>10000000</v>
      </c>
      <c r="Z74" s="423">
        <v>0.2</v>
      </c>
      <c r="AA74" s="489"/>
      <c r="AB74" s="420"/>
      <c r="AC74" s="424">
        <v>2</v>
      </c>
      <c r="AD74" s="202" t="s">
        <v>268</v>
      </c>
      <c r="AE74" s="202" t="s">
        <v>269</v>
      </c>
      <c r="AF74" s="374">
        <v>10</v>
      </c>
      <c r="AO74" s="490"/>
      <c r="AQ74" s="248"/>
    </row>
    <row r="75" spans="1:49" ht="12.6" customHeight="1">
      <c r="A75" s="413" t="s">
        <v>163</v>
      </c>
      <c r="B75" s="414" t="s">
        <v>154</v>
      </c>
      <c r="C75" s="414" t="s">
        <v>73</v>
      </c>
      <c r="D75" s="414" t="s">
        <v>164</v>
      </c>
      <c r="E75" s="413" t="s">
        <v>174</v>
      </c>
      <c r="F75" s="415" t="s">
        <v>70</v>
      </c>
      <c r="G75" s="416" t="s">
        <v>304</v>
      </c>
      <c r="H75" s="506" t="s">
        <v>166</v>
      </c>
      <c r="I75" s="417" t="s">
        <v>118</v>
      </c>
      <c r="J75" s="486" t="s">
        <v>308</v>
      </c>
      <c r="K75" s="185">
        <f t="shared" si="129"/>
        <v>4800000</v>
      </c>
      <c r="L75" s="418">
        <v>0.03</v>
      </c>
      <c r="M75" s="419">
        <f t="shared" si="130"/>
        <v>144000</v>
      </c>
      <c r="N75" s="423">
        <v>0</v>
      </c>
      <c r="O75" s="419">
        <f t="shared" si="127"/>
        <v>0</v>
      </c>
      <c r="P75" s="487">
        <f t="shared" si="120"/>
        <v>125</v>
      </c>
      <c r="Q75" s="488">
        <f t="shared" si="131"/>
        <v>4.166666666666667</v>
      </c>
      <c r="R75" s="499">
        <v>105</v>
      </c>
      <c r="S75" s="729">
        <v>20</v>
      </c>
      <c r="T75" s="570">
        <f t="shared" si="128"/>
        <v>600000</v>
      </c>
      <c r="U75" s="420">
        <f>T75/$T$103</f>
        <v>2.2201856661416788E-2</v>
      </c>
      <c r="V75" s="420">
        <v>1</v>
      </c>
      <c r="W75" s="185">
        <f t="shared" si="132"/>
        <v>2400000</v>
      </c>
      <c r="X75" s="185">
        <f t="shared" si="122"/>
        <v>0</v>
      </c>
      <c r="Y75" s="419">
        <v>12000000</v>
      </c>
      <c r="Z75" s="423">
        <v>0.2</v>
      </c>
      <c r="AA75" s="489"/>
      <c r="AB75" s="420"/>
      <c r="AC75" s="424">
        <v>2</v>
      </c>
      <c r="AD75" s="202" t="s">
        <v>268</v>
      </c>
      <c r="AE75" s="202" t="s">
        <v>269</v>
      </c>
      <c r="AF75" s="374">
        <v>10</v>
      </c>
      <c r="AO75" s="490"/>
      <c r="AQ75" s="248"/>
    </row>
    <row r="76" spans="1:49" s="239" customFormat="1" ht="12.6" customHeight="1">
      <c r="A76" s="413" t="s">
        <v>163</v>
      </c>
      <c r="B76" s="156" t="s">
        <v>154</v>
      </c>
      <c r="C76" s="414" t="s">
        <v>73</v>
      </c>
      <c r="D76" s="156" t="s">
        <v>164</v>
      </c>
      <c r="E76" s="413" t="s">
        <v>174</v>
      </c>
      <c r="F76" s="163" t="s">
        <v>70</v>
      </c>
      <c r="G76" s="515" t="s">
        <v>304</v>
      </c>
      <c r="H76" s="516" t="s">
        <v>166</v>
      </c>
      <c r="I76" s="48" t="s">
        <v>118</v>
      </c>
      <c r="J76" s="486" t="s">
        <v>309</v>
      </c>
      <c r="K76" s="45">
        <f t="shared" ref="K76:K77" si="133">W76*AC76</f>
        <v>5800000</v>
      </c>
      <c r="L76" s="42">
        <v>0.03</v>
      </c>
      <c r="M76" s="43">
        <f t="shared" ref="M76:M77" si="134">L76*K76</f>
        <v>174000</v>
      </c>
      <c r="N76" s="46">
        <v>0</v>
      </c>
      <c r="O76" s="43">
        <f t="shared" ref="O76" si="135">K76*N76</f>
        <v>0</v>
      </c>
      <c r="P76" s="158">
        <f t="shared" ref="P76:P77" si="136">T76/(K76/1000)</f>
        <v>125</v>
      </c>
      <c r="Q76" s="160">
        <f t="shared" ref="Q76:Q77" si="137">T76/M76</f>
        <v>4.166666666666667</v>
      </c>
      <c r="R76" s="499">
        <v>105</v>
      </c>
      <c r="S76" s="729">
        <v>20</v>
      </c>
      <c r="T76" s="570">
        <f>K76/1000*(R76+S76)</f>
        <v>725000</v>
      </c>
      <c r="U76" s="44">
        <f>T76/$T$103</f>
        <v>2.6827243465878621E-2</v>
      </c>
      <c r="V76" s="420">
        <v>1</v>
      </c>
      <c r="W76" s="185">
        <f t="shared" si="132"/>
        <v>2900000</v>
      </c>
      <c r="X76" s="45">
        <f t="shared" ref="X76" si="138">(1-V76)*W76</f>
        <v>0</v>
      </c>
      <c r="Y76" s="43">
        <v>14500000</v>
      </c>
      <c r="Z76" s="46">
        <v>0.2</v>
      </c>
      <c r="AA76" s="51"/>
      <c r="AB76" s="44"/>
      <c r="AC76" s="47">
        <v>2</v>
      </c>
      <c r="AD76" s="202" t="s">
        <v>268</v>
      </c>
      <c r="AE76" s="202" t="s">
        <v>269</v>
      </c>
      <c r="AF76" s="374">
        <v>10</v>
      </c>
      <c r="AP76" s="373"/>
      <c r="AR76" s="372"/>
    </row>
    <row r="77" spans="1:49" s="239" customFormat="1" ht="12.6" customHeight="1">
      <c r="A77" s="413" t="s">
        <v>163</v>
      </c>
      <c r="B77" s="156" t="s">
        <v>154</v>
      </c>
      <c r="C77" s="414" t="s">
        <v>73</v>
      </c>
      <c r="D77" s="156" t="s">
        <v>164</v>
      </c>
      <c r="E77" s="413" t="s">
        <v>174</v>
      </c>
      <c r="F77" s="163" t="s">
        <v>70</v>
      </c>
      <c r="G77" s="515" t="s">
        <v>304</v>
      </c>
      <c r="H77" s="516" t="s">
        <v>166</v>
      </c>
      <c r="I77" s="48" t="s">
        <v>118</v>
      </c>
      <c r="J77" s="486" t="s">
        <v>310</v>
      </c>
      <c r="K77" s="45">
        <f t="shared" si="133"/>
        <v>3400000</v>
      </c>
      <c r="L77" s="42">
        <v>0.03</v>
      </c>
      <c r="M77" s="43">
        <f t="shared" si="134"/>
        <v>102000</v>
      </c>
      <c r="N77" s="46">
        <v>0</v>
      </c>
      <c r="O77" s="43">
        <v>0</v>
      </c>
      <c r="P77" s="158">
        <f t="shared" si="136"/>
        <v>125</v>
      </c>
      <c r="Q77" s="160">
        <f t="shared" si="137"/>
        <v>4.166666666666667</v>
      </c>
      <c r="R77" s="499">
        <v>105</v>
      </c>
      <c r="S77" s="729">
        <v>20</v>
      </c>
      <c r="T77" s="570">
        <f t="shared" si="128"/>
        <v>425000</v>
      </c>
      <c r="U77" s="44">
        <v>3.7868180912349864E-2</v>
      </c>
      <c r="V77" s="420">
        <v>1</v>
      </c>
      <c r="W77" s="185">
        <f t="shared" si="132"/>
        <v>1700000</v>
      </c>
      <c r="X77" s="45">
        <f t="shared" ref="X77" si="139">(1-V77)*W77</f>
        <v>0</v>
      </c>
      <c r="Y77" s="43">
        <v>8500000</v>
      </c>
      <c r="Z77" s="46">
        <v>0.2</v>
      </c>
      <c r="AA77" s="51"/>
      <c r="AB77" s="44"/>
      <c r="AC77" s="47">
        <v>2</v>
      </c>
      <c r="AD77" s="202" t="s">
        <v>268</v>
      </c>
      <c r="AE77" s="202" t="s">
        <v>269</v>
      </c>
      <c r="AF77" s="374">
        <v>10</v>
      </c>
      <c r="AP77" s="373"/>
      <c r="AR77" s="372"/>
    </row>
    <row r="78" spans="1:49" ht="12.6" customHeight="1">
      <c r="A78" s="211" t="s">
        <v>311</v>
      </c>
      <c r="B78" s="211"/>
      <c r="C78" s="211"/>
      <c r="D78" s="211"/>
      <c r="E78" s="211"/>
      <c r="F78" s="211"/>
      <c r="G78" s="211"/>
      <c r="H78" s="211"/>
      <c r="I78" s="211"/>
      <c r="J78" s="212"/>
      <c r="K78" s="213"/>
      <c r="L78" s="214"/>
      <c r="M78" s="210"/>
      <c r="N78" s="210"/>
      <c r="O78" s="210"/>
      <c r="P78" s="215"/>
      <c r="Q78" s="215"/>
      <c r="R78" s="107"/>
      <c r="S78" s="107"/>
      <c r="T78" s="105"/>
      <c r="U78" s="154"/>
      <c r="V78" s="108"/>
      <c r="W78" s="210"/>
      <c r="X78" s="210"/>
      <c r="Y78" s="210"/>
      <c r="Z78" s="105"/>
      <c r="AA78" s="105"/>
      <c r="AB78" s="105"/>
      <c r="AC78" s="105"/>
      <c r="AD78" s="105"/>
      <c r="AE78" s="105"/>
      <c r="AF78" s="105"/>
      <c r="AO78" s="370"/>
      <c r="AP78" s="239"/>
      <c r="AQ78" s="372"/>
    </row>
    <row r="79" spans="1:49" ht="12.6" customHeight="1">
      <c r="A79" s="155" t="s">
        <v>61</v>
      </c>
      <c r="B79" s="156" t="s">
        <v>127</v>
      </c>
      <c r="C79" s="156" t="s">
        <v>73</v>
      </c>
      <c r="D79" s="156" t="s">
        <v>128</v>
      </c>
      <c r="E79" s="155" t="s">
        <v>312</v>
      </c>
      <c r="F79" s="48" t="s">
        <v>70</v>
      </c>
      <c r="G79" s="157" t="s">
        <v>155</v>
      </c>
      <c r="H79" s="155" t="s">
        <v>266</v>
      </c>
      <c r="I79" s="48" t="s">
        <v>118</v>
      </c>
      <c r="J79" s="164" t="s">
        <v>313</v>
      </c>
      <c r="K79" s="45">
        <f>W79*AC79</f>
        <v>4950000</v>
      </c>
      <c r="L79" s="42">
        <v>2.5000000000000001E-3</v>
      </c>
      <c r="M79" s="43">
        <f>K79*L79</f>
        <v>12375</v>
      </c>
      <c r="N79" s="46">
        <v>0.75</v>
      </c>
      <c r="O79" s="43">
        <f>N79*K79</f>
        <v>3712500</v>
      </c>
      <c r="P79" s="158">
        <f t="shared" ref="P79" si="140">T79/(K79/1000)</f>
        <v>110</v>
      </c>
      <c r="Q79" s="158">
        <f t="shared" ref="Q79" si="141">T79/M79</f>
        <v>44</v>
      </c>
      <c r="R79" s="167">
        <v>110</v>
      </c>
      <c r="S79" s="167"/>
      <c r="T79" s="145">
        <f>K79*R79/1000</f>
        <v>544500</v>
      </c>
      <c r="U79" s="44">
        <f>T79/$T$103</f>
        <v>2.0148184920235738E-2</v>
      </c>
      <c r="V79" s="46">
        <v>0.9</v>
      </c>
      <c r="W79" s="45">
        <f>Y79*Z79</f>
        <v>3300000</v>
      </c>
      <c r="X79" s="45">
        <f t="shared" ref="X79" si="142">(1-V79)*W79</f>
        <v>329999.99999999994</v>
      </c>
      <c r="Y79" s="45">
        <f>44000000*75%</f>
        <v>33000000</v>
      </c>
      <c r="Z79" s="46">
        <v>0.1</v>
      </c>
      <c r="AA79" s="51"/>
      <c r="AB79" s="46" t="e">
        <f t="shared" ref="AB79" si="143">X79/AA79</f>
        <v>#DIV/0!</v>
      </c>
      <c r="AC79" s="47">
        <v>1.5</v>
      </c>
      <c r="AD79" s="202" t="s">
        <v>268</v>
      </c>
      <c r="AE79" s="202" t="s">
        <v>269</v>
      </c>
      <c r="AF79" s="374">
        <v>10</v>
      </c>
      <c r="AO79" s="371"/>
      <c r="AP79" s="239"/>
      <c r="AQ79" s="372"/>
    </row>
    <row r="80" spans="1:49" s="239" customFormat="1" ht="12">
      <c r="A80" s="684" t="s">
        <v>314</v>
      </c>
      <c r="B80" s="683"/>
      <c r="C80" s="683"/>
      <c r="D80" s="683"/>
      <c r="E80" s="683"/>
      <c r="F80" s="684"/>
      <c r="G80" s="684"/>
      <c r="H80" s="683"/>
      <c r="I80" s="684"/>
      <c r="J80" s="684"/>
      <c r="K80" s="684"/>
      <c r="L80" s="685"/>
      <c r="M80" s="686"/>
      <c r="N80" s="687"/>
      <c r="O80" s="688"/>
      <c r="P80" s="688"/>
      <c r="Q80" s="688"/>
      <c r="R80" s="689"/>
      <c r="S80" s="689"/>
      <c r="T80" s="689"/>
      <c r="U80" s="690"/>
      <c r="V80" s="690"/>
      <c r="W80" s="691"/>
      <c r="X80" s="692"/>
      <c r="Y80" s="693"/>
      <c r="Z80" s="688"/>
      <c r="AA80" s="688"/>
      <c r="AB80" s="688"/>
      <c r="AC80" s="688"/>
      <c r="AD80" s="688"/>
      <c r="AE80" s="688"/>
      <c r="AF80" s="694"/>
      <c r="AH80" s="501"/>
      <c r="AI80" s="501"/>
      <c r="AU80" s="373"/>
      <c r="AW80" s="372"/>
    </row>
    <row r="81" spans="1:49" s="239" customFormat="1" ht="12">
      <c r="A81" s="684" t="s">
        <v>315</v>
      </c>
      <c r="B81" s="683"/>
      <c r="C81" s="683"/>
      <c r="D81" s="683"/>
      <c r="E81" s="683"/>
      <c r="F81" s="684"/>
      <c r="G81" s="684"/>
      <c r="H81" s="683"/>
      <c r="I81" s="684"/>
      <c r="J81" s="684"/>
      <c r="K81" s="684"/>
      <c r="L81" s="685"/>
      <c r="M81" s="686"/>
      <c r="N81" s="687"/>
      <c r="O81" s="688"/>
      <c r="P81" s="688"/>
      <c r="Q81" s="688"/>
      <c r="R81" s="689"/>
      <c r="S81" s="689"/>
      <c r="T81" s="689"/>
      <c r="U81" s="690"/>
      <c r="V81" s="690"/>
      <c r="W81" s="691"/>
      <c r="X81" s="692"/>
      <c r="Y81" s="693"/>
      <c r="Z81" s="688"/>
      <c r="AA81" s="688"/>
      <c r="AB81" s="688"/>
      <c r="AC81" s="688"/>
      <c r="AD81" s="688"/>
      <c r="AE81" s="688"/>
      <c r="AF81" s="694"/>
      <c r="AH81" s="501"/>
      <c r="AI81" s="501"/>
      <c r="AU81" s="373"/>
      <c r="AW81" s="372"/>
    </row>
    <row r="82" spans="1:49" s="239" customFormat="1" ht="12">
      <c r="A82" s="518" t="s">
        <v>61</v>
      </c>
      <c r="B82" s="695" t="s">
        <v>127</v>
      </c>
      <c r="C82" s="156" t="s">
        <v>73</v>
      </c>
      <c r="D82" s="156" t="s">
        <v>128</v>
      </c>
      <c r="E82" s="156" t="s">
        <v>63</v>
      </c>
      <c r="F82" s="163" t="s">
        <v>70</v>
      </c>
      <c r="G82" s="163" t="s">
        <v>129</v>
      </c>
      <c r="H82" s="491" t="s">
        <v>316</v>
      </c>
      <c r="I82" s="156" t="s">
        <v>118</v>
      </c>
      <c r="J82" s="156" t="s">
        <v>315</v>
      </c>
      <c r="K82" s="45">
        <f>W82*AC82</f>
        <v>2163571.1999999997</v>
      </c>
      <c r="L82" s="713">
        <v>2E-3</v>
      </c>
      <c r="M82" s="696">
        <f>K82*L82</f>
        <v>4327.1423999999997</v>
      </c>
      <c r="N82" s="44">
        <v>0.25</v>
      </c>
      <c r="O82" s="43">
        <f>K82*N82</f>
        <v>540892.79999999993</v>
      </c>
      <c r="P82" s="158">
        <f t="shared" ref="P82:P83" si="144">T82/(K82/1000)</f>
        <v>109.99999999999999</v>
      </c>
      <c r="Q82" s="158">
        <f t="shared" ref="Q82:Q83" si="145">T82/M82</f>
        <v>54.999999999999993</v>
      </c>
      <c r="R82" s="697">
        <v>110</v>
      </c>
      <c r="S82" s="697"/>
      <c r="T82" s="145">
        <f>K82*R82/1000</f>
        <v>237992.83199999997</v>
      </c>
      <c r="U82" s="44">
        <v>3.7868180912349864E-2</v>
      </c>
      <c r="V82" s="698"/>
      <c r="W82" s="696">
        <f t="shared" ref="W82:W83" si="146">Y82*Z82</f>
        <v>1802976</v>
      </c>
      <c r="X82" s="44"/>
      <c r="Y82" s="43">
        <v>9014880</v>
      </c>
      <c r="Z82" s="46">
        <v>0.2</v>
      </c>
      <c r="AA82" s="45"/>
      <c r="AB82" s="43"/>
      <c r="AC82" s="711">
        <v>1.2</v>
      </c>
      <c r="AD82" s="202" t="s">
        <v>268</v>
      </c>
      <c r="AE82" s="202" t="s">
        <v>269</v>
      </c>
      <c r="AF82" s="374">
        <v>10</v>
      </c>
      <c r="AH82" s="501"/>
      <c r="AI82" s="501"/>
      <c r="AU82" s="373"/>
      <c r="AW82" s="372"/>
    </row>
    <row r="83" spans="1:49" s="239" customFormat="1" ht="12">
      <c r="A83" s="719" t="s">
        <v>163</v>
      </c>
      <c r="B83" s="699" t="s">
        <v>127</v>
      </c>
      <c r="C83" s="706" t="s">
        <v>73</v>
      </c>
      <c r="D83" s="707" t="s">
        <v>317</v>
      </c>
      <c r="E83" s="191" t="s">
        <v>174</v>
      </c>
      <c r="F83" s="700" t="s">
        <v>70</v>
      </c>
      <c r="G83" s="708" t="s">
        <v>304</v>
      </c>
      <c r="H83" s="709" t="s">
        <v>317</v>
      </c>
      <c r="I83" s="156" t="s">
        <v>118</v>
      </c>
      <c r="J83" s="710" t="s">
        <v>318</v>
      </c>
      <c r="K83" s="45">
        <f>W83*AC83</f>
        <v>355200</v>
      </c>
      <c r="L83" s="714">
        <v>1.4999999999999999E-2</v>
      </c>
      <c r="M83" s="696">
        <f>K83*L83</f>
        <v>5328</v>
      </c>
      <c r="N83" s="44">
        <v>0.25</v>
      </c>
      <c r="O83" s="43">
        <f>K83*N83</f>
        <v>88800</v>
      </c>
      <c r="P83" s="158">
        <f t="shared" si="144"/>
        <v>125</v>
      </c>
      <c r="Q83" s="158">
        <f t="shared" si="145"/>
        <v>8.3333333333333339</v>
      </c>
      <c r="R83" s="702">
        <v>105</v>
      </c>
      <c r="S83" s="729">
        <v>20</v>
      </c>
      <c r="T83" s="570">
        <f>K83/1000*(R83+S83)</f>
        <v>44400</v>
      </c>
      <c r="U83" s="44">
        <v>3.7868180912349864E-2</v>
      </c>
      <c r="V83" s="703"/>
      <c r="W83" s="696">
        <f t="shared" si="146"/>
        <v>296000</v>
      </c>
      <c r="X83" s="704"/>
      <c r="Y83" s="43">
        <v>1480000</v>
      </c>
      <c r="Z83" s="46">
        <v>0.2</v>
      </c>
      <c r="AA83" s="705"/>
      <c r="AB83" s="701"/>
      <c r="AC83" s="711">
        <v>1.2</v>
      </c>
      <c r="AD83" s="202" t="s">
        <v>268</v>
      </c>
      <c r="AE83" s="202" t="s">
        <v>269</v>
      </c>
      <c r="AF83" s="374">
        <v>10</v>
      </c>
      <c r="AH83" s="501"/>
      <c r="AI83" s="501"/>
      <c r="AU83" s="373"/>
      <c r="AW83" s="372"/>
    </row>
    <row r="84" spans="1:49" ht="12.6" customHeight="1">
      <c r="A84" s="684" t="s">
        <v>319</v>
      </c>
      <c r="B84" s="683"/>
      <c r="C84" s="683"/>
      <c r="D84" s="683"/>
      <c r="E84" s="683"/>
      <c r="F84" s="684"/>
      <c r="G84" s="684"/>
      <c r="H84" s="683"/>
      <c r="I84" s="684"/>
      <c r="J84" s="683"/>
      <c r="K84" s="683"/>
      <c r="L84" s="683"/>
      <c r="M84" s="683"/>
      <c r="N84" s="683"/>
      <c r="O84" s="683"/>
      <c r="P84" s="683"/>
      <c r="Q84" s="683"/>
      <c r="R84" s="683"/>
      <c r="S84" s="683"/>
      <c r="T84" s="683"/>
      <c r="U84" s="683"/>
      <c r="V84" s="683"/>
      <c r="W84" s="683"/>
      <c r="X84" s="683"/>
      <c r="Y84" s="683"/>
      <c r="Z84" s="683"/>
      <c r="AA84" s="683"/>
      <c r="AB84" s="683"/>
      <c r="AC84" s="712"/>
      <c r="AD84" s="683"/>
      <c r="AE84" s="683"/>
      <c r="AF84" s="683"/>
      <c r="AO84" s="371"/>
      <c r="AP84" s="239"/>
      <c r="AQ84" s="372"/>
    </row>
    <row r="85" spans="1:49" ht="12.6" customHeight="1">
      <c r="A85" s="518" t="s">
        <v>61</v>
      </c>
      <c r="B85" s="695" t="s">
        <v>127</v>
      </c>
      <c r="C85" s="156" t="s">
        <v>73</v>
      </c>
      <c r="D85" s="156" t="s">
        <v>128</v>
      </c>
      <c r="E85" s="156" t="s">
        <v>63</v>
      </c>
      <c r="F85" s="163" t="s">
        <v>70</v>
      </c>
      <c r="G85" s="163" t="s">
        <v>129</v>
      </c>
      <c r="H85" s="491" t="s">
        <v>316</v>
      </c>
      <c r="I85" s="156" t="s">
        <v>118</v>
      </c>
      <c r="J85" s="164" t="s">
        <v>319</v>
      </c>
      <c r="K85" s="45">
        <f>W85*AC85</f>
        <v>3866592</v>
      </c>
      <c r="L85" s="713">
        <v>2E-3</v>
      </c>
      <c r="M85" s="696">
        <f>K85*L85</f>
        <v>7733.1840000000002</v>
      </c>
      <c r="N85" s="44">
        <v>0.25</v>
      </c>
      <c r="O85" s="43">
        <f>K85*N85</f>
        <v>966648</v>
      </c>
      <c r="P85" s="158">
        <f t="shared" ref="P85:P86" si="147">T85/(K85/1000)</f>
        <v>110</v>
      </c>
      <c r="Q85" s="158">
        <f t="shared" ref="Q85:Q86" si="148">T85/M85</f>
        <v>55</v>
      </c>
      <c r="R85" s="697">
        <v>110</v>
      </c>
      <c r="S85" s="697"/>
      <c r="T85" s="145">
        <f>K85*R85/1000</f>
        <v>425325.12</v>
      </c>
      <c r="U85" s="44">
        <v>3.7868180912349864E-2</v>
      </c>
      <c r="V85" s="46"/>
      <c r="W85" s="696">
        <f t="shared" ref="W85:W86" si="149">Y85*Z85</f>
        <v>3222160</v>
      </c>
      <c r="X85" s="45"/>
      <c r="Y85" s="45">
        <v>16110800</v>
      </c>
      <c r="Z85" s="46">
        <v>0.2</v>
      </c>
      <c r="AA85" s="51"/>
      <c r="AB85" s="46"/>
      <c r="AC85" s="711">
        <v>1.2</v>
      </c>
      <c r="AD85" s="202" t="s">
        <v>268</v>
      </c>
      <c r="AE85" s="202" t="s">
        <v>269</v>
      </c>
      <c r="AF85" s="374">
        <v>10</v>
      </c>
      <c r="AO85" s="371"/>
      <c r="AP85" s="239"/>
      <c r="AQ85" s="372"/>
    </row>
    <row r="86" spans="1:49" ht="12.6" customHeight="1">
      <c r="A86" s="719" t="s">
        <v>163</v>
      </c>
      <c r="B86" s="699" t="s">
        <v>127</v>
      </c>
      <c r="C86" s="706" t="s">
        <v>73</v>
      </c>
      <c r="D86" s="707" t="s">
        <v>317</v>
      </c>
      <c r="E86" s="191" t="s">
        <v>174</v>
      </c>
      <c r="F86" s="700" t="s">
        <v>70</v>
      </c>
      <c r="G86" s="708" t="s">
        <v>304</v>
      </c>
      <c r="H86" s="709" t="s">
        <v>317</v>
      </c>
      <c r="I86" s="156" t="s">
        <v>118</v>
      </c>
      <c r="J86" s="164" t="s">
        <v>320</v>
      </c>
      <c r="K86" s="45">
        <f>W86*AC86</f>
        <v>528000</v>
      </c>
      <c r="L86" s="714">
        <v>1.4999999999999999E-2</v>
      </c>
      <c r="M86" s="696">
        <f>K86*L86</f>
        <v>7920</v>
      </c>
      <c r="N86" s="44">
        <v>0.25</v>
      </c>
      <c r="O86" s="43">
        <f>K86*N86</f>
        <v>132000</v>
      </c>
      <c r="P86" s="158">
        <f t="shared" si="147"/>
        <v>125</v>
      </c>
      <c r="Q86" s="158">
        <f t="shared" si="148"/>
        <v>8.3333333333333339</v>
      </c>
      <c r="R86" s="702">
        <v>105</v>
      </c>
      <c r="S86" s="729">
        <v>20</v>
      </c>
      <c r="T86" s="570">
        <f>K86/1000*(R86+S86)</f>
        <v>66000</v>
      </c>
      <c r="U86" s="44">
        <v>3.7868180912349864E-2</v>
      </c>
      <c r="V86" s="46"/>
      <c r="W86" s="696">
        <f t="shared" si="149"/>
        <v>440000</v>
      </c>
      <c r="X86" s="45"/>
      <c r="Y86" s="45">
        <v>2200000</v>
      </c>
      <c r="Z86" s="46">
        <v>0.2</v>
      </c>
      <c r="AA86" s="51"/>
      <c r="AB86" s="46"/>
      <c r="AC86" s="711">
        <v>1.2</v>
      </c>
      <c r="AD86" s="202" t="s">
        <v>268</v>
      </c>
      <c r="AE86" s="202" t="s">
        <v>269</v>
      </c>
      <c r="AF86" s="374">
        <v>10</v>
      </c>
      <c r="AO86" s="371"/>
      <c r="AP86" s="239"/>
      <c r="AQ86" s="372"/>
    </row>
    <row r="87" spans="1:49" ht="12.6" customHeight="1">
      <c r="A87" s="684" t="s">
        <v>321</v>
      </c>
      <c r="B87" s="683"/>
      <c r="C87" s="683"/>
      <c r="D87" s="683"/>
      <c r="E87" s="683"/>
      <c r="F87" s="684"/>
      <c r="G87" s="684"/>
      <c r="H87" s="683"/>
      <c r="I87" s="684"/>
      <c r="J87" s="683"/>
      <c r="K87" s="683"/>
      <c r="L87" s="683"/>
      <c r="M87" s="683"/>
      <c r="N87" s="683"/>
      <c r="O87" s="683"/>
      <c r="P87" s="683"/>
      <c r="Q87" s="683"/>
      <c r="R87" s="683"/>
      <c r="S87" s="683"/>
      <c r="T87" s="683"/>
      <c r="U87" s="683"/>
      <c r="V87" s="683"/>
      <c r="W87" s="683"/>
      <c r="X87" s="683"/>
      <c r="Y87" s="683"/>
      <c r="Z87" s="683"/>
      <c r="AA87" s="683"/>
      <c r="AB87" s="683"/>
      <c r="AC87" s="712"/>
      <c r="AD87" s="683"/>
      <c r="AE87" s="683"/>
      <c r="AF87" s="683"/>
      <c r="AO87" s="371"/>
      <c r="AP87" s="239"/>
      <c r="AQ87" s="372"/>
    </row>
    <row r="88" spans="1:49" ht="12.6" customHeight="1">
      <c r="A88" s="518" t="s">
        <v>61</v>
      </c>
      <c r="B88" s="695" t="s">
        <v>127</v>
      </c>
      <c r="C88" s="156" t="s">
        <v>73</v>
      </c>
      <c r="D88" s="156" t="s">
        <v>128</v>
      </c>
      <c r="E88" s="156" t="s">
        <v>63</v>
      </c>
      <c r="F88" s="163" t="s">
        <v>70</v>
      </c>
      <c r="G88" s="163" t="s">
        <v>129</v>
      </c>
      <c r="H88" s="491" t="s">
        <v>316</v>
      </c>
      <c r="I88" s="156" t="s">
        <v>118</v>
      </c>
      <c r="J88" s="164" t="s">
        <v>319</v>
      </c>
      <c r="K88" s="45">
        <f>W88*AC88</f>
        <v>6074188.7999999998</v>
      </c>
      <c r="L88" s="713">
        <v>2E-3</v>
      </c>
      <c r="M88" s="696">
        <f>K88*L88</f>
        <v>12148.3776</v>
      </c>
      <c r="N88" s="44">
        <v>0.25</v>
      </c>
      <c r="O88" s="43">
        <f>K88*N88</f>
        <v>1518547.2</v>
      </c>
      <c r="P88" s="158">
        <f t="shared" ref="P88:P89" si="150">T88/(K88/1000)</f>
        <v>110.00000000000001</v>
      </c>
      <c r="Q88" s="158">
        <f t="shared" ref="Q88:Q89" si="151">T88/M88</f>
        <v>55.000000000000007</v>
      </c>
      <c r="R88" s="697">
        <v>110</v>
      </c>
      <c r="S88" s="697"/>
      <c r="T88" s="145">
        <f>K88*R88/1000</f>
        <v>668160.76800000004</v>
      </c>
      <c r="U88" s="44">
        <v>3.7868180912349864E-2</v>
      </c>
      <c r="V88" s="46"/>
      <c r="W88" s="696">
        <f t="shared" ref="W88:W89" si="152">Y88*Z88</f>
        <v>5061824</v>
      </c>
      <c r="X88" s="45"/>
      <c r="Y88" s="45">
        <v>25309120</v>
      </c>
      <c r="Z88" s="46">
        <v>0.2</v>
      </c>
      <c r="AA88" s="51"/>
      <c r="AB88" s="46"/>
      <c r="AC88" s="711">
        <v>1.2</v>
      </c>
      <c r="AD88" s="202" t="s">
        <v>268</v>
      </c>
      <c r="AE88" s="202" t="s">
        <v>269</v>
      </c>
      <c r="AF88" s="374">
        <v>10</v>
      </c>
      <c r="AO88" s="371"/>
      <c r="AP88" s="239"/>
      <c r="AQ88" s="372"/>
    </row>
    <row r="89" spans="1:49" ht="12.6" customHeight="1">
      <c r="A89" s="719" t="s">
        <v>163</v>
      </c>
      <c r="B89" s="699" t="s">
        <v>127</v>
      </c>
      <c r="C89" s="706" t="s">
        <v>73</v>
      </c>
      <c r="D89" s="707" t="s">
        <v>317</v>
      </c>
      <c r="E89" s="191" t="s">
        <v>174</v>
      </c>
      <c r="F89" s="700" t="s">
        <v>70</v>
      </c>
      <c r="G89" s="708" t="s">
        <v>304</v>
      </c>
      <c r="H89" s="709" t="s">
        <v>317</v>
      </c>
      <c r="I89" s="156" t="s">
        <v>118</v>
      </c>
      <c r="J89" s="164" t="s">
        <v>322</v>
      </c>
      <c r="K89" s="45">
        <f>W89*AC89</f>
        <v>700800</v>
      </c>
      <c r="L89" s="714">
        <v>1.4999999999999999E-2</v>
      </c>
      <c r="M89" s="696">
        <f>K89*L89</f>
        <v>10512</v>
      </c>
      <c r="N89" s="44">
        <v>0.25</v>
      </c>
      <c r="O89" s="43">
        <f>K89*N89</f>
        <v>175200</v>
      </c>
      <c r="P89" s="158">
        <f t="shared" si="150"/>
        <v>125.00000000000001</v>
      </c>
      <c r="Q89" s="158">
        <f t="shared" si="151"/>
        <v>8.3333333333333339</v>
      </c>
      <c r="R89" s="702">
        <v>105</v>
      </c>
      <c r="S89" s="729">
        <v>20</v>
      </c>
      <c r="T89" s="570">
        <f>K89/1000*(R89+S89)</f>
        <v>87600</v>
      </c>
      <c r="U89" s="44">
        <v>3.7868180912349864E-2</v>
      </c>
      <c r="V89" s="46"/>
      <c r="W89" s="696">
        <f t="shared" si="152"/>
        <v>584000</v>
      </c>
      <c r="X89" s="45"/>
      <c r="Y89" s="45">
        <v>2920000</v>
      </c>
      <c r="Z89" s="46">
        <v>0.2</v>
      </c>
      <c r="AA89" s="51"/>
      <c r="AB89" s="46"/>
      <c r="AC89" s="711">
        <v>1.2</v>
      </c>
      <c r="AD89" s="202" t="s">
        <v>268</v>
      </c>
      <c r="AE89" s="202" t="s">
        <v>269</v>
      </c>
      <c r="AF89" s="374">
        <v>10</v>
      </c>
      <c r="AO89" s="371"/>
      <c r="AP89" s="239"/>
      <c r="AQ89" s="372"/>
    </row>
    <row r="90" spans="1:49" s="239" customFormat="1" ht="12.6" customHeight="1">
      <c r="A90" s="720" t="s">
        <v>323</v>
      </c>
      <c r="B90" s="603"/>
      <c r="C90" s="603"/>
      <c r="D90" s="603"/>
      <c r="E90" s="602"/>
      <c r="F90" s="604"/>
      <c r="G90" s="605"/>
      <c r="H90" s="602"/>
      <c r="I90" s="604"/>
      <c r="J90" s="603"/>
      <c r="K90" s="615">
        <f>SUM(K3:K79)</f>
        <v>238053187.30315486</v>
      </c>
      <c r="L90" s="607"/>
      <c r="M90" s="615">
        <f>SUM(M3:M89)</f>
        <v>2476724.1861508223</v>
      </c>
      <c r="N90" s="608"/>
      <c r="O90" s="615">
        <f>SUM(O3:O89)</f>
        <v>110153721.10528655</v>
      </c>
      <c r="P90" s="609"/>
      <c r="Q90" s="610"/>
      <c r="R90" s="619">
        <f>T90/K90*1000</f>
        <v>96.426571004156727</v>
      </c>
      <c r="S90" s="619"/>
      <c r="T90" s="618">
        <f>SUM(T3:T89)</f>
        <v>22954652.568253484</v>
      </c>
      <c r="U90" s="608"/>
      <c r="V90" s="608"/>
      <c r="W90" s="606"/>
      <c r="X90" s="615">
        <f>SUM(X3:X77)</f>
        <v>4376367.0881124726</v>
      </c>
      <c r="Y90" s="616">
        <v>56000000</v>
      </c>
      <c r="Z90" s="617">
        <f>X90/Y90</f>
        <v>7.8149412287722722E-2</v>
      </c>
      <c r="AA90" s="612"/>
      <c r="AB90" s="611"/>
      <c r="AC90" s="616">
        <f>K90/X90</f>
        <v>54.395159846115014</v>
      </c>
      <c r="AD90" s="613"/>
      <c r="AE90" s="613"/>
      <c r="AF90" s="614"/>
      <c r="AP90" s="373"/>
      <c r="AR90" s="372"/>
    </row>
    <row r="91" spans="1:49" s="239" customFormat="1" ht="12.6" customHeight="1">
      <c r="A91" s="101" t="s">
        <v>324</v>
      </c>
      <c r="B91" s="101"/>
      <c r="C91" s="101"/>
      <c r="D91" s="101"/>
      <c r="E91" s="101"/>
      <c r="F91" s="101"/>
      <c r="G91" s="101"/>
      <c r="H91" s="101"/>
      <c r="I91" s="101"/>
      <c r="J91" s="101"/>
      <c r="K91" s="103"/>
      <c r="L91" s="104"/>
      <c r="M91" s="105"/>
      <c r="N91" s="105"/>
      <c r="O91" s="105"/>
      <c r="P91" s="106"/>
      <c r="Q91" s="106"/>
      <c r="R91" s="107"/>
      <c r="S91" s="107"/>
      <c r="T91" s="107"/>
      <c r="U91" s="44">
        <v>0</v>
      </c>
      <c r="V91" s="108"/>
      <c r="W91" s="105"/>
      <c r="X91" s="105"/>
      <c r="Y91" s="105"/>
      <c r="Z91" s="105">
        <v>0.5</v>
      </c>
      <c r="AA91" s="105"/>
      <c r="AB91" s="105"/>
      <c r="AC91" s="105"/>
      <c r="AD91" s="105"/>
      <c r="AE91" s="105"/>
      <c r="AF91" s="105"/>
      <c r="AP91" s="373"/>
      <c r="AR91" s="372"/>
    </row>
    <row r="92" spans="1:49" s="239" customFormat="1" ht="12.6" customHeight="1">
      <c r="A92" s="155" t="s">
        <v>61</v>
      </c>
      <c r="B92" s="156" t="s">
        <v>127</v>
      </c>
      <c r="C92" s="156" t="s">
        <v>325</v>
      </c>
      <c r="D92" s="156" t="s">
        <v>128</v>
      </c>
      <c r="E92" s="155" t="s">
        <v>63</v>
      </c>
      <c r="F92" s="168" t="s">
        <v>70</v>
      </c>
      <c r="G92" s="157" t="s">
        <v>129</v>
      </c>
      <c r="H92" s="155" t="s">
        <v>266</v>
      </c>
      <c r="I92" s="48" t="s">
        <v>118</v>
      </c>
      <c r="J92" s="156" t="s">
        <v>326</v>
      </c>
      <c r="K92" s="45">
        <f t="shared" ref="K92:K96" si="153">W92*AC92</f>
        <v>4500000</v>
      </c>
      <c r="L92" s="42">
        <v>2.5000000000000001E-3</v>
      </c>
      <c r="M92" s="419">
        <v>5400</v>
      </c>
      <c r="N92" s="46">
        <v>0.8</v>
      </c>
      <c r="O92" s="419">
        <f>K92*N92</f>
        <v>3600000</v>
      </c>
      <c r="P92" s="158">
        <f t="shared" ref="P92:P95" si="154">T92/(K92/1000)</f>
        <v>120</v>
      </c>
      <c r="Q92" s="167">
        <f t="shared" ref="Q92:Q93" si="155">T92/M92</f>
        <v>100</v>
      </c>
      <c r="R92" s="375">
        <v>120</v>
      </c>
      <c r="S92" s="732"/>
      <c r="T92" s="571">
        <f t="shared" ref="T92:T96" si="156">K92/1000*R92</f>
        <v>540000</v>
      </c>
      <c r="U92" s="44">
        <v>1.1929928210647135E-2</v>
      </c>
      <c r="V92" s="46">
        <v>1</v>
      </c>
      <c r="W92" s="45">
        <f>Y92*Z92</f>
        <v>2250000</v>
      </c>
      <c r="X92" s="45">
        <f t="shared" ref="X92:X93" si="157">(1-V92)*W92</f>
        <v>0</v>
      </c>
      <c r="Y92" s="45">
        <v>4500000</v>
      </c>
      <c r="Z92" s="46">
        <v>0.5</v>
      </c>
      <c r="AA92" s="51"/>
      <c r="AB92" s="46" t="e">
        <v>#DIV/0!</v>
      </c>
      <c r="AC92" s="43">
        <v>2</v>
      </c>
      <c r="AD92" s="202" t="s">
        <v>268</v>
      </c>
      <c r="AE92" s="202" t="s">
        <v>269</v>
      </c>
      <c r="AF92" s="374">
        <v>10</v>
      </c>
      <c r="AP92" s="373"/>
      <c r="AR92" s="372"/>
    </row>
    <row r="93" spans="1:49" s="239" customFormat="1" ht="12.6" customHeight="1">
      <c r="A93" s="155" t="s">
        <v>61</v>
      </c>
      <c r="B93" s="156" t="s">
        <v>127</v>
      </c>
      <c r="C93" s="156" t="s">
        <v>325</v>
      </c>
      <c r="D93" s="156" t="s">
        <v>128</v>
      </c>
      <c r="E93" s="155" t="s">
        <v>63</v>
      </c>
      <c r="F93" s="48" t="s">
        <v>70</v>
      </c>
      <c r="G93" s="157" t="s">
        <v>133</v>
      </c>
      <c r="H93" s="156" t="s">
        <v>66</v>
      </c>
      <c r="I93" s="48" t="s">
        <v>118</v>
      </c>
      <c r="J93" s="156" t="s">
        <v>132</v>
      </c>
      <c r="K93" s="45">
        <f t="shared" si="153"/>
        <v>4500000</v>
      </c>
      <c r="L93" s="42">
        <v>3.0000000000000001E-3</v>
      </c>
      <c r="M93" s="419">
        <v>10800</v>
      </c>
      <c r="N93" s="46">
        <v>0.85</v>
      </c>
      <c r="O93" s="419">
        <f>K93*N93</f>
        <v>3825000</v>
      </c>
      <c r="P93" s="158">
        <f t="shared" si="154"/>
        <v>70</v>
      </c>
      <c r="Q93" s="167">
        <f t="shared" si="155"/>
        <v>29.166666666666668</v>
      </c>
      <c r="R93" s="375">
        <v>70</v>
      </c>
      <c r="S93" s="732"/>
      <c r="T93" s="571">
        <f t="shared" si="156"/>
        <v>315000</v>
      </c>
      <c r="U93" s="44">
        <v>1.1598541315906936E-2</v>
      </c>
      <c r="V93" s="46">
        <v>1</v>
      </c>
      <c r="W93" s="45">
        <f>Y93*Z93</f>
        <v>2250000</v>
      </c>
      <c r="X93" s="45">
        <f t="shared" si="157"/>
        <v>0</v>
      </c>
      <c r="Y93" s="45">
        <v>4500000</v>
      </c>
      <c r="Z93" s="46">
        <v>0.5</v>
      </c>
      <c r="AA93" s="51"/>
      <c r="AB93" s="46" t="e">
        <v>#DIV/0!</v>
      </c>
      <c r="AC93" s="43">
        <v>2</v>
      </c>
      <c r="AD93" s="202" t="s">
        <v>268</v>
      </c>
      <c r="AE93" s="202" t="s">
        <v>269</v>
      </c>
      <c r="AF93" s="374">
        <v>10</v>
      </c>
      <c r="AP93" s="373"/>
      <c r="AR93" s="372"/>
    </row>
    <row r="94" spans="1:49" s="239" customFormat="1" ht="12.6" customHeight="1">
      <c r="A94" s="211" t="s">
        <v>327</v>
      </c>
      <c r="B94" s="211"/>
      <c r="C94" s="211"/>
      <c r="D94" s="211"/>
      <c r="E94" s="211"/>
      <c r="F94" s="211"/>
      <c r="G94" s="211"/>
      <c r="H94" s="211"/>
      <c r="I94" s="211"/>
      <c r="J94" s="211"/>
      <c r="K94" s="213"/>
      <c r="L94" s="214"/>
      <c r="M94" s="210"/>
      <c r="N94" s="210"/>
      <c r="O94" s="210"/>
      <c r="P94" s="215"/>
      <c r="Q94" s="215"/>
      <c r="R94" s="154"/>
      <c r="S94" s="154"/>
      <c r="T94" s="107"/>
      <c r="U94" s="44">
        <v>0</v>
      </c>
      <c r="V94" s="108"/>
      <c r="W94" s="210"/>
      <c r="X94" s="210"/>
      <c r="Y94" s="105"/>
      <c r="Z94" s="105"/>
      <c r="AA94" s="105"/>
      <c r="AB94" s="105"/>
      <c r="AC94" s="105"/>
      <c r="AD94" s="105"/>
      <c r="AE94" s="105"/>
      <c r="AF94" s="105"/>
      <c r="AP94" s="373"/>
      <c r="AR94" s="372"/>
    </row>
    <row r="95" spans="1:49" s="239" customFormat="1" ht="12.6" customHeight="1">
      <c r="A95" s="186" t="s">
        <v>61</v>
      </c>
      <c r="B95" s="414" t="s">
        <v>154</v>
      </c>
      <c r="C95" s="414" t="s">
        <v>325</v>
      </c>
      <c r="D95" s="414" t="s">
        <v>128</v>
      </c>
      <c r="E95" s="186" t="s">
        <v>63</v>
      </c>
      <c r="F95" s="599" t="s">
        <v>64</v>
      </c>
      <c r="G95" s="384" t="s">
        <v>129</v>
      </c>
      <c r="H95" s="186" t="s">
        <v>160</v>
      </c>
      <c r="I95" s="417" t="s">
        <v>118</v>
      </c>
      <c r="J95" s="414" t="s">
        <v>328</v>
      </c>
      <c r="K95" s="45">
        <f t="shared" si="153"/>
        <v>2250000</v>
      </c>
      <c r="L95" s="418">
        <v>0</v>
      </c>
      <c r="M95" s="419">
        <v>0</v>
      </c>
      <c r="N95" s="423">
        <v>0.8</v>
      </c>
      <c r="O95" s="419">
        <f>K95*N95</f>
        <v>1800000</v>
      </c>
      <c r="P95" s="158">
        <f t="shared" si="154"/>
        <v>200</v>
      </c>
      <c r="Q95" s="421" t="e">
        <v>#DIV/0!</v>
      </c>
      <c r="R95" s="568">
        <v>200</v>
      </c>
      <c r="S95" s="733"/>
      <c r="T95" s="571">
        <f t="shared" si="156"/>
        <v>450000</v>
      </c>
      <c r="U95" s="420">
        <v>9.941606842205946E-3</v>
      </c>
      <c r="V95" s="423">
        <v>1</v>
      </c>
      <c r="W95" s="45">
        <f>Y95*Z95</f>
        <v>1125000</v>
      </c>
      <c r="X95" s="45">
        <f t="shared" ref="X95:X96" si="158">(1-V95)*W95</f>
        <v>0</v>
      </c>
      <c r="Y95" s="185">
        <v>4500000</v>
      </c>
      <c r="Z95" s="423">
        <v>0.25</v>
      </c>
      <c r="AA95" s="489"/>
      <c r="AB95" s="420" t="e">
        <v>#DIV/0!</v>
      </c>
      <c r="AC95" s="419">
        <v>2</v>
      </c>
      <c r="AD95" s="202" t="s">
        <v>268</v>
      </c>
      <c r="AE95" s="202" t="s">
        <v>269</v>
      </c>
      <c r="AF95" s="374">
        <v>10</v>
      </c>
      <c r="AP95" s="373"/>
      <c r="AR95" s="372"/>
    </row>
    <row r="96" spans="1:49" s="239" customFormat="1" ht="12.6" customHeight="1">
      <c r="A96" s="186" t="s">
        <v>61</v>
      </c>
      <c r="B96" s="414" t="s">
        <v>154</v>
      </c>
      <c r="C96" s="414" t="s">
        <v>325</v>
      </c>
      <c r="D96" s="414" t="s">
        <v>128</v>
      </c>
      <c r="E96" s="186" t="s">
        <v>135</v>
      </c>
      <c r="F96" s="491" t="s">
        <v>64</v>
      </c>
      <c r="G96" s="491" t="s">
        <v>136</v>
      </c>
      <c r="H96" s="186" t="s">
        <v>160</v>
      </c>
      <c r="I96" s="417" t="s">
        <v>118</v>
      </c>
      <c r="J96" s="414" t="s">
        <v>328</v>
      </c>
      <c r="K96" s="45">
        <f t="shared" si="153"/>
        <v>2250000</v>
      </c>
      <c r="L96" s="418">
        <v>0</v>
      </c>
      <c r="M96" s="419">
        <v>0</v>
      </c>
      <c r="N96" s="423">
        <v>0.85</v>
      </c>
      <c r="O96" s="419">
        <f>K96*N96</f>
        <v>1912500</v>
      </c>
      <c r="P96" s="158">
        <v>200</v>
      </c>
      <c r="Q96" s="421" t="e">
        <v>#DIV/0!</v>
      </c>
      <c r="R96" s="568">
        <v>170</v>
      </c>
      <c r="S96" s="733"/>
      <c r="T96" s="571">
        <f t="shared" si="156"/>
        <v>382500</v>
      </c>
      <c r="U96" s="420">
        <v>4.970803421102973E-3</v>
      </c>
      <c r="V96" s="423">
        <v>1</v>
      </c>
      <c r="W96" s="45">
        <f>Y96*Z96</f>
        <v>1125000</v>
      </c>
      <c r="X96" s="45">
        <f t="shared" si="158"/>
        <v>0</v>
      </c>
      <c r="Y96" s="185">
        <v>4500000</v>
      </c>
      <c r="Z96" s="423">
        <v>0.25</v>
      </c>
      <c r="AA96" s="489"/>
      <c r="AB96" s="420" t="e">
        <v>#DIV/0!</v>
      </c>
      <c r="AC96" s="419">
        <v>2</v>
      </c>
      <c r="AD96" s="202" t="s">
        <v>268</v>
      </c>
      <c r="AE96" s="202" t="s">
        <v>269</v>
      </c>
      <c r="AF96" s="374">
        <v>10</v>
      </c>
      <c r="AP96" s="373"/>
      <c r="AR96" s="372"/>
    </row>
    <row r="97" spans="1:47" s="239" customFormat="1" ht="12.6" customHeight="1">
      <c r="A97" s="211" t="s">
        <v>329</v>
      </c>
      <c r="B97" s="211"/>
      <c r="C97" s="211"/>
      <c r="D97" s="211"/>
      <c r="E97" s="211"/>
      <c r="F97" s="211"/>
      <c r="G97" s="211"/>
      <c r="H97" s="211"/>
      <c r="I97" s="211"/>
      <c r="J97" s="211"/>
      <c r="K97" s="214"/>
      <c r="L97" s="214"/>
      <c r="M97" s="210"/>
      <c r="N97" s="210"/>
      <c r="O97" s="213"/>
      <c r="P97" s="215"/>
      <c r="Q97" s="215"/>
      <c r="R97" s="154"/>
      <c r="S97" s="154"/>
      <c r="T97" s="213"/>
      <c r="U97" s="44">
        <v>0</v>
      </c>
      <c r="V97" s="108"/>
      <c r="W97" s="210"/>
      <c r="X97" s="210"/>
      <c r="Y97" s="105"/>
      <c r="Z97" s="108"/>
      <c r="AA97" s="105"/>
      <c r="AB97" s="105"/>
      <c r="AC97" s="105"/>
      <c r="AD97" s="105"/>
      <c r="AE97" s="105"/>
      <c r="AF97" s="105"/>
      <c r="AP97" s="373"/>
      <c r="AR97" s="372"/>
    </row>
    <row r="98" spans="1:47" s="239" customFormat="1" ht="12.6" customHeight="1">
      <c r="A98" s="186" t="s">
        <v>163</v>
      </c>
      <c r="B98" s="414" t="s">
        <v>127</v>
      </c>
      <c r="C98" s="414" t="s">
        <v>325</v>
      </c>
      <c r="D98" s="414" t="s">
        <v>164</v>
      </c>
      <c r="E98" s="186" t="s">
        <v>174</v>
      </c>
      <c r="F98" s="417" t="s">
        <v>70</v>
      </c>
      <c r="G98" s="491" t="s">
        <v>165</v>
      </c>
      <c r="H98" s="153" t="s">
        <v>166</v>
      </c>
      <c r="I98" s="417" t="s">
        <v>118</v>
      </c>
      <c r="J98" s="414" t="s">
        <v>330</v>
      </c>
      <c r="K98" s="185">
        <f>W98*AC98</f>
        <v>9200000</v>
      </c>
      <c r="L98" s="418">
        <v>1.4999999999999999E-2</v>
      </c>
      <c r="M98" s="419">
        <v>138000</v>
      </c>
      <c r="N98" s="423">
        <v>0</v>
      </c>
      <c r="O98" s="419">
        <v>0</v>
      </c>
      <c r="P98" s="487">
        <v>105</v>
      </c>
      <c r="Q98" s="421">
        <v>7</v>
      </c>
      <c r="R98" s="568">
        <v>122</v>
      </c>
      <c r="S98" s="733"/>
      <c r="T98" s="570">
        <f t="shared" ref="T98:T99" si="159">K98/1000*R98</f>
        <v>1122400</v>
      </c>
      <c r="U98" s="420">
        <v>3.8744651110041509E-2</v>
      </c>
      <c r="V98" s="423">
        <v>0.9</v>
      </c>
      <c r="W98" s="185">
        <f>Y98*Z98</f>
        <v>4600000</v>
      </c>
      <c r="X98" s="185">
        <f t="shared" ref="X98:X99" si="160">(1-V98)*W98</f>
        <v>459999.99999999988</v>
      </c>
      <c r="Y98" s="419">
        <v>11500000</v>
      </c>
      <c r="Z98" s="423">
        <v>0.4</v>
      </c>
      <c r="AA98" s="489"/>
      <c r="AB98" s="420" t="e">
        <v>#DIV/0!</v>
      </c>
      <c r="AC98" s="479">
        <v>2</v>
      </c>
      <c r="AD98" s="202" t="s">
        <v>268</v>
      </c>
      <c r="AE98" s="202" t="s">
        <v>269</v>
      </c>
      <c r="AF98" s="374">
        <v>10</v>
      </c>
      <c r="AP98" s="373"/>
      <c r="AR98" s="372"/>
    </row>
    <row r="99" spans="1:47" s="239" customFormat="1" ht="12.6" customHeight="1">
      <c r="A99" s="186" t="s">
        <v>163</v>
      </c>
      <c r="B99" s="414" t="s">
        <v>127</v>
      </c>
      <c r="C99" s="414" t="s">
        <v>325</v>
      </c>
      <c r="D99" s="414" t="s">
        <v>164</v>
      </c>
      <c r="E99" s="186" t="s">
        <v>86</v>
      </c>
      <c r="F99" s="417" t="s">
        <v>70</v>
      </c>
      <c r="G99" s="491" t="s">
        <v>165</v>
      </c>
      <c r="H99" s="153" t="s">
        <v>166</v>
      </c>
      <c r="I99" s="417" t="s">
        <v>118</v>
      </c>
      <c r="J99" s="414" t="s">
        <v>330</v>
      </c>
      <c r="K99" s="185">
        <f>W99*AC99</f>
        <v>6900000</v>
      </c>
      <c r="L99" s="418">
        <v>1.4999999999999999E-2</v>
      </c>
      <c r="M99" s="419">
        <v>138000</v>
      </c>
      <c r="N99" s="423">
        <v>0</v>
      </c>
      <c r="O99" s="419">
        <v>0</v>
      </c>
      <c r="P99" s="487">
        <v>105</v>
      </c>
      <c r="Q99" s="421">
        <v>7</v>
      </c>
      <c r="R99" s="568">
        <v>105</v>
      </c>
      <c r="S99" s="733"/>
      <c r="T99" s="570">
        <f t="shared" si="159"/>
        <v>724500</v>
      </c>
      <c r="U99" s="420">
        <v>2.2230537522154963E-2</v>
      </c>
      <c r="V99" s="423">
        <v>1</v>
      </c>
      <c r="W99" s="185">
        <f>Y99*Z99</f>
        <v>2300000</v>
      </c>
      <c r="X99" s="185">
        <f t="shared" si="160"/>
        <v>0</v>
      </c>
      <c r="Y99" s="419">
        <v>11500000</v>
      </c>
      <c r="Z99" s="423">
        <v>0.2</v>
      </c>
      <c r="AA99" s="489"/>
      <c r="AB99" s="420" t="e">
        <v>#DIV/0!</v>
      </c>
      <c r="AC99" s="479">
        <v>3</v>
      </c>
      <c r="AD99" s="202" t="s">
        <v>268</v>
      </c>
      <c r="AE99" s="202" t="s">
        <v>269</v>
      </c>
      <c r="AF99" s="374">
        <v>10</v>
      </c>
      <c r="AP99" s="373"/>
      <c r="AR99" s="372"/>
    </row>
    <row r="100" spans="1:47" s="239" customFormat="1" ht="12.6" customHeight="1">
      <c r="A100" s="720" t="s">
        <v>331</v>
      </c>
      <c r="B100" s="603"/>
      <c r="C100" s="603"/>
      <c r="D100" s="603"/>
      <c r="E100" s="602"/>
      <c r="F100" s="602"/>
      <c r="G100" s="602"/>
      <c r="H100" s="602"/>
      <c r="I100" s="602"/>
      <c r="J100" s="602"/>
      <c r="K100" s="671">
        <f>SUM(K92:K99)</f>
        <v>29600000</v>
      </c>
      <c r="L100" s="602"/>
      <c r="M100" s="671">
        <f>SUM(M92:M99)</f>
        <v>292200</v>
      </c>
      <c r="N100" s="602"/>
      <c r="O100" s="671">
        <f>SUM(O92:O99)</f>
        <v>11137500</v>
      </c>
      <c r="P100" s="602"/>
      <c r="Q100" s="602"/>
      <c r="R100" s="602"/>
      <c r="S100" s="602"/>
      <c r="T100" s="670">
        <f>SUM(T92:T99)</f>
        <v>3534400</v>
      </c>
      <c r="U100" s="602"/>
      <c r="V100" s="608"/>
      <c r="W100" s="615"/>
      <c r="X100" s="615">
        <f>SUM(X92:X99)</f>
        <v>459999.99999999988</v>
      </c>
      <c r="Y100" s="615">
        <f>Y98</f>
        <v>11500000</v>
      </c>
      <c r="Z100" s="617">
        <f>X100/Y100</f>
        <v>3.9999999999999987E-2</v>
      </c>
      <c r="AA100" s="612"/>
      <c r="AB100" s="611"/>
      <c r="AC100" s="616">
        <f>K100/X100</f>
        <v>64.347826086956545</v>
      </c>
      <c r="AD100" s="613"/>
      <c r="AE100" s="613"/>
      <c r="AF100" s="614"/>
      <c r="AP100" s="373"/>
      <c r="AR100" s="372"/>
    </row>
    <row r="101" spans="1:47" s="293" customFormat="1" ht="12">
      <c r="A101" s="720" t="s">
        <v>332</v>
      </c>
      <c r="B101" s="603"/>
      <c r="C101" s="603"/>
      <c r="D101" s="603"/>
      <c r="E101" s="602"/>
      <c r="F101" s="602"/>
      <c r="G101" s="602"/>
      <c r="H101" s="602"/>
      <c r="I101" s="602"/>
      <c r="J101" s="602"/>
      <c r="K101" s="675"/>
      <c r="L101" s="602"/>
      <c r="M101" s="602"/>
      <c r="N101" s="602"/>
      <c r="O101" s="602"/>
      <c r="P101" s="602"/>
      <c r="Q101" s="602"/>
      <c r="R101" s="608"/>
      <c r="S101" s="608"/>
      <c r="T101" s="676"/>
      <c r="U101" s="602"/>
      <c r="V101" s="608"/>
      <c r="W101" s="606"/>
      <c r="X101" s="615"/>
      <c r="Y101" s="616"/>
      <c r="Z101" s="617"/>
      <c r="AA101" s="612"/>
      <c r="AB101" s="611"/>
      <c r="AC101" s="616"/>
      <c r="AD101" s="613"/>
      <c r="AE101" s="613"/>
      <c r="AF101" s="614"/>
    </row>
    <row r="102" spans="1:47" s="427" customFormat="1" ht="14.4">
      <c r="A102" s="475" t="s">
        <v>332</v>
      </c>
      <c r="B102" s="191" t="s">
        <v>154</v>
      </c>
      <c r="C102" s="191" t="s">
        <v>333</v>
      </c>
      <c r="D102" s="191" t="s">
        <v>164</v>
      </c>
      <c r="E102" s="638" t="s">
        <v>334</v>
      </c>
      <c r="F102" s="191" t="s">
        <v>294</v>
      </c>
      <c r="G102" s="183" t="s">
        <v>335</v>
      </c>
      <c r="H102" s="183" t="s">
        <v>335</v>
      </c>
      <c r="I102" s="191" t="s">
        <v>118</v>
      </c>
      <c r="J102" s="191" t="s">
        <v>336</v>
      </c>
      <c r="K102" s="123">
        <v>13392857.142857144</v>
      </c>
      <c r="L102" s="135">
        <v>3.0000000000000001E-3</v>
      </c>
      <c r="M102" s="185">
        <f>K102*L102</f>
        <v>40178.571428571435</v>
      </c>
      <c r="N102" s="185"/>
      <c r="O102" s="185"/>
      <c r="P102" s="421">
        <f t="shared" ref="P102" si="161">T102/(K102/1000)</f>
        <v>40</v>
      </c>
      <c r="Q102" s="422">
        <f t="shared" ref="Q102" si="162">T102/M102</f>
        <v>13.33333333333333</v>
      </c>
      <c r="R102" s="635">
        <v>40</v>
      </c>
      <c r="S102" s="635"/>
      <c r="T102" s="576">
        <f>K102/1000*R102</f>
        <v>535714.28571428568</v>
      </c>
      <c r="U102" s="44">
        <f>T102/$T$103</f>
        <v>1.9823086304836417E-2</v>
      </c>
      <c r="V102" s="420"/>
      <c r="W102" s="123">
        <f>T102/AC102</f>
        <v>382653.06122448982</v>
      </c>
      <c r="X102" s="185"/>
      <c r="Y102" s="477"/>
      <c r="Z102" s="478"/>
      <c r="AA102" s="477"/>
      <c r="AB102" s="477"/>
      <c r="AC102" s="424">
        <v>1.4</v>
      </c>
      <c r="AD102" s="425" t="s">
        <v>337</v>
      </c>
      <c r="AE102" s="425" t="s">
        <v>269</v>
      </c>
      <c r="AF102" s="374">
        <v>5</v>
      </c>
      <c r="AG102" s="640"/>
      <c r="AH102" s="640"/>
      <c r="AI102" s="639"/>
      <c r="AJ102" s="641"/>
      <c r="AK102" s="642"/>
      <c r="AL102" s="483"/>
      <c r="AM102" s="639"/>
      <c r="AU102" s="484"/>
    </row>
    <row r="103" spans="1:47" ht="12.6" customHeight="1">
      <c r="A103" s="147" t="s">
        <v>84</v>
      </c>
      <c r="B103" s="147"/>
      <c r="C103" s="147"/>
      <c r="D103" s="147"/>
      <c r="E103" s="147"/>
      <c r="F103" s="147"/>
      <c r="G103" s="147"/>
      <c r="H103" s="148"/>
      <c r="I103" s="148"/>
      <c r="J103" s="216"/>
      <c r="K103" s="206">
        <f>SUM(K90,K100,K101:K102)</f>
        <v>281046044.44601202</v>
      </c>
      <c r="L103" s="207">
        <f>M103/K103</f>
        <v>9.9951691656667771E-3</v>
      </c>
      <c r="M103" s="206">
        <f>SUM(M90,M100,M101:M102)</f>
        <v>2809102.7575793937</v>
      </c>
      <c r="N103" s="206"/>
      <c r="O103" s="206">
        <f>SUM(O90,O100,O101:O102)</f>
        <v>121291221.10528655</v>
      </c>
      <c r="P103" s="208">
        <f>T103/(K103/1000)</f>
        <v>96.157791180580503</v>
      </c>
      <c r="Q103" s="208">
        <f t="shared" ref="Q103" si="163">T103/M103</f>
        <v>9.6204265867636103</v>
      </c>
      <c r="R103" s="208"/>
      <c r="S103" s="208"/>
      <c r="T103" s="574">
        <f>SUM(T90,T100,T101:T102)</f>
        <v>27024766.853967771</v>
      </c>
      <c r="U103" s="152"/>
      <c r="V103" s="152"/>
      <c r="W103" s="152"/>
      <c r="X103" s="151">
        <f>SUM(X90,X100)</f>
        <v>4836367.0881124726</v>
      </c>
      <c r="Y103" s="151">
        <v>72000000</v>
      </c>
      <c r="Z103" s="209">
        <f>X103/Y103</f>
        <v>6.7171765112673226E-2</v>
      </c>
      <c r="AA103" s="152"/>
      <c r="AB103" s="152"/>
      <c r="AC103" s="575">
        <f>K103/X103</f>
        <v>58.11098275331662</v>
      </c>
      <c r="AD103" s="152"/>
      <c r="AE103" s="149"/>
      <c r="AF103" s="149"/>
      <c r="AI103" s="177">
        <f>K103/10</f>
        <v>28104604.444601201</v>
      </c>
      <c r="AJ103" s="177">
        <f>M103/10</f>
        <v>280910.27575793938</v>
      </c>
      <c r="AK103" s="177">
        <f>O103/10</f>
        <v>12129122.110528655</v>
      </c>
      <c r="AL103" s="498"/>
      <c r="AM103" s="239"/>
      <c r="AN103" s="372"/>
    </row>
    <row r="104" spans="1:47" ht="12.6" customHeight="1">
      <c r="A104" s="721"/>
      <c r="M104" s="497"/>
      <c r="O104" s="496"/>
      <c r="P104" s="246"/>
      <c r="T104" s="497"/>
      <c r="X104" s="496"/>
      <c r="Y104" s="251"/>
      <c r="Z104" s="248"/>
      <c r="AC104" s="249"/>
    </row>
    <row r="105" spans="1:47" ht="12.6" customHeight="1">
      <c r="A105" s="722"/>
      <c r="J105" s="357"/>
      <c r="K105" s="238"/>
      <c r="P105" s="246"/>
      <c r="T105" s="245"/>
      <c r="X105" s="250"/>
      <c r="Y105" s="247"/>
      <c r="Z105" s="248"/>
      <c r="AC105" s="248"/>
    </row>
    <row r="106" spans="1:47" ht="12.6" customHeight="1">
      <c r="A106" s="723"/>
      <c r="J106" s="357"/>
      <c r="K106" s="238"/>
      <c r="T106" s="251"/>
      <c r="U106" s="248"/>
      <c r="X106" s="251"/>
      <c r="Y106" s="49"/>
    </row>
    <row r="107" spans="1:47" ht="12.6" customHeight="1">
      <c r="A107" s="723"/>
      <c r="J107" s="357"/>
      <c r="K107" s="333"/>
      <c r="T107" s="251"/>
      <c r="U107" s="248"/>
      <c r="Y107" s="238"/>
    </row>
    <row r="108" spans="1:47" ht="12.6" customHeight="1">
      <c r="A108" s="721"/>
      <c r="C108" s="293"/>
      <c r="D108" s="293"/>
      <c r="E108" s="293"/>
      <c r="K108" s="355"/>
      <c r="T108" s="251"/>
      <c r="U108" s="248"/>
      <c r="Y108" s="247"/>
    </row>
    <row r="109" spans="1:47" ht="12.6" customHeight="1">
      <c r="C109" s="293"/>
      <c r="D109" s="293"/>
      <c r="E109" s="293"/>
      <c r="K109" s="356"/>
      <c r="T109" s="251"/>
      <c r="U109" s="248"/>
    </row>
    <row r="110" spans="1:47" ht="12.6" customHeight="1">
      <c r="C110" s="293"/>
      <c r="D110" s="293"/>
      <c r="E110" s="293"/>
      <c r="K110" s="248"/>
      <c r="O110" s="248"/>
    </row>
    <row r="111" spans="1:47" ht="12.6" customHeight="1">
      <c r="C111" s="293"/>
      <c r="D111" s="293"/>
      <c r="E111" s="293"/>
    </row>
    <row r="112" spans="1:47" ht="12.6" customHeight="1">
      <c r="K112" s="248"/>
      <c r="O112" s="248"/>
      <c r="R112" s="566"/>
      <c r="S112" s="566"/>
      <c r="T112" s="239"/>
      <c r="U112" s="372"/>
      <c r="V112" s="508"/>
      <c r="W112" s="517"/>
      <c r="X112" s="519"/>
    </row>
    <row r="113" spans="3:24" ht="23.4" customHeight="1">
      <c r="R113" s="509"/>
      <c r="S113" s="509"/>
      <c r="T113" s="511"/>
      <c r="U113" s="510"/>
      <c r="V113" s="508"/>
      <c r="W113" s="508"/>
      <c r="X113" s="508"/>
    </row>
    <row r="114" spans="3:24" ht="12.6" customHeight="1">
      <c r="C114" s="293"/>
      <c r="G114" s="507"/>
      <c r="R114" s="509"/>
      <c r="S114" s="509"/>
      <c r="T114" s="511"/>
      <c r="U114" s="510"/>
      <c r="V114" s="508"/>
      <c r="W114" s="508"/>
      <c r="X114" s="508"/>
    </row>
    <row r="115" spans="3:24" ht="12.6" customHeight="1">
      <c r="G115" s="507"/>
      <c r="R115" s="509"/>
      <c r="S115" s="509"/>
      <c r="T115" s="511"/>
      <c r="U115" s="510"/>
      <c r="V115" s="508"/>
      <c r="W115" s="508"/>
      <c r="X115" s="508"/>
    </row>
    <row r="116" spans="3:24" ht="12.6" customHeight="1">
      <c r="G116" s="507"/>
      <c r="R116" s="509"/>
      <c r="S116" s="509"/>
      <c r="T116" s="508"/>
      <c r="U116" s="508"/>
      <c r="V116" s="508"/>
      <c r="W116" s="508"/>
      <c r="X116" s="508"/>
    </row>
    <row r="117" spans="3:24" ht="12.6" customHeight="1">
      <c r="C117" s="293"/>
      <c r="D117" s="293"/>
      <c r="R117" s="509"/>
      <c r="S117" s="509"/>
      <c r="T117" s="512"/>
      <c r="U117" s="513"/>
      <c r="V117" s="509"/>
      <c r="W117" s="508"/>
      <c r="X117" s="508"/>
    </row>
    <row r="118" spans="3:24" ht="12.6" customHeight="1">
      <c r="C118" s="293"/>
      <c r="D118" s="293"/>
      <c r="R118" s="509"/>
      <c r="S118" s="509"/>
      <c r="T118" s="512"/>
      <c r="U118" s="513"/>
      <c r="V118" s="509"/>
      <c r="W118" s="508"/>
      <c r="X118" s="508"/>
    </row>
    <row r="119" spans="3:24" ht="12.6" customHeight="1">
      <c r="R119" s="509"/>
      <c r="S119" s="509"/>
      <c r="T119" s="512"/>
      <c r="U119" s="513"/>
      <c r="V119" s="509"/>
      <c r="W119" s="508"/>
      <c r="X119" s="508"/>
    </row>
  </sheetData>
  <phoneticPr fontId="13" type="noConversion"/>
  <conditionalFormatting sqref="U31:U32">
    <cfRule type="colorScale" priority="86">
      <colorScale>
        <cfvo type="min"/>
        <cfvo type="percentile" val="50"/>
        <cfvo type="max"/>
        <color rgb="FFF8696B"/>
        <color rgb="FFFFEB84"/>
        <color rgb="FF63BE7B"/>
      </colorScale>
    </cfRule>
    <cfRule type="colorScale" priority="87">
      <colorScale>
        <cfvo type="min"/>
        <cfvo type="percentile" val="50"/>
        <cfvo type="max"/>
        <color rgb="FF63BE7B"/>
        <color rgb="FFFFEB84"/>
        <color rgb="FFF8696B"/>
      </colorScale>
    </cfRule>
  </conditionalFormatting>
  <conditionalFormatting sqref="U34:U35">
    <cfRule type="colorScale" priority="82">
      <colorScale>
        <cfvo type="min"/>
        <cfvo type="percentile" val="50"/>
        <cfvo type="max"/>
        <color rgb="FFF8696B"/>
        <color rgb="FFFFEB84"/>
        <color rgb="FF63BE7B"/>
      </colorScale>
    </cfRule>
    <cfRule type="colorScale" priority="83">
      <colorScale>
        <cfvo type="min"/>
        <cfvo type="percentile" val="50"/>
        <cfvo type="max"/>
        <color rgb="FF63BE7B"/>
        <color rgb="FFFFEB84"/>
        <color rgb="FFF8696B"/>
      </colorScale>
    </cfRule>
  </conditionalFormatting>
  <conditionalFormatting sqref="U37:U38">
    <cfRule type="colorScale" priority="78">
      <colorScale>
        <cfvo type="min"/>
        <cfvo type="percentile" val="50"/>
        <cfvo type="max"/>
        <color rgb="FFF8696B"/>
        <color rgb="FFFFEB84"/>
        <color rgb="FF63BE7B"/>
      </colorScale>
    </cfRule>
    <cfRule type="colorScale" priority="79">
      <colorScale>
        <cfvo type="min"/>
        <cfvo type="percentile" val="50"/>
        <cfvo type="max"/>
        <color rgb="FF63BE7B"/>
        <color rgb="FFFFEB84"/>
        <color rgb="FFF8696B"/>
      </colorScale>
    </cfRule>
  </conditionalFormatting>
  <conditionalFormatting sqref="U40:U41">
    <cfRule type="colorScale" priority="74">
      <colorScale>
        <cfvo type="min"/>
        <cfvo type="percentile" val="50"/>
        <cfvo type="max"/>
        <color rgb="FFF8696B"/>
        <color rgb="FFFFEB84"/>
        <color rgb="FF63BE7B"/>
      </colorScale>
    </cfRule>
    <cfRule type="colorScale" priority="75">
      <colorScale>
        <cfvo type="min"/>
        <cfvo type="percentile" val="50"/>
        <cfvo type="max"/>
        <color rgb="FF63BE7B"/>
        <color rgb="FFFFEB84"/>
        <color rgb="FFF8696B"/>
      </colorScale>
    </cfRule>
  </conditionalFormatting>
  <conditionalFormatting sqref="U56:U59">
    <cfRule type="colorScale" priority="185">
      <colorScale>
        <cfvo type="min"/>
        <cfvo type="percentile" val="50"/>
        <cfvo type="max"/>
        <color rgb="FF63BE7B"/>
        <color rgb="FFFFEB84"/>
        <color rgb="FFF8696B"/>
      </colorScale>
    </cfRule>
    <cfRule type="colorScale" priority="184">
      <colorScale>
        <cfvo type="min"/>
        <cfvo type="percentile" val="50"/>
        <cfvo type="max"/>
        <color rgb="FFF8696B"/>
        <color rgb="FFFFEB84"/>
        <color rgb="FF63BE7B"/>
      </colorScale>
    </cfRule>
  </conditionalFormatting>
  <conditionalFormatting sqref="U63">
    <cfRule type="colorScale" priority="434">
      <colorScale>
        <cfvo type="min"/>
        <cfvo type="percentile" val="50"/>
        <cfvo type="max"/>
        <color rgb="FF63BE7B"/>
        <color rgb="FFFFEB84"/>
        <color rgb="FFF8696B"/>
      </colorScale>
    </cfRule>
    <cfRule type="colorScale" priority="433">
      <colorScale>
        <cfvo type="min"/>
        <cfvo type="percentile" val="50"/>
        <cfvo type="max"/>
        <color rgb="FFF8696B"/>
        <color rgb="FFFFEB84"/>
        <color rgb="FF63BE7B"/>
      </colorScale>
    </cfRule>
  </conditionalFormatting>
  <conditionalFormatting sqref="U65">
    <cfRule type="colorScale" priority="790">
      <colorScale>
        <cfvo type="min"/>
        <cfvo type="percentile" val="50"/>
        <cfvo type="max"/>
        <color rgb="FF63BE7B"/>
        <color rgb="FFFFEB84"/>
        <color rgb="FFF8696B"/>
      </colorScale>
    </cfRule>
    <cfRule type="colorScale" priority="789">
      <colorScale>
        <cfvo type="min"/>
        <cfvo type="percentile" val="50"/>
        <cfvo type="max"/>
        <color rgb="FFF8696B"/>
        <color rgb="FFFFEB84"/>
        <color rgb="FF63BE7B"/>
      </colorScale>
    </cfRule>
  </conditionalFormatting>
  <conditionalFormatting sqref="U69">
    <cfRule type="colorScale" priority="34">
      <colorScale>
        <cfvo type="min"/>
        <cfvo type="percentile" val="50"/>
        <cfvo type="max"/>
        <color rgb="FFF8696B"/>
        <color rgb="FFFFEB84"/>
        <color rgb="FF63BE7B"/>
      </colorScale>
    </cfRule>
    <cfRule type="colorScale" priority="35">
      <colorScale>
        <cfvo type="min"/>
        <cfvo type="percentile" val="50"/>
        <cfvo type="max"/>
        <color rgb="FF63BE7B"/>
        <color rgb="FFFFEB84"/>
        <color rgb="FFF8696B"/>
      </colorScale>
    </cfRule>
  </conditionalFormatting>
  <conditionalFormatting sqref="U70">
    <cfRule type="colorScale" priority="32">
      <colorScale>
        <cfvo type="min"/>
        <cfvo type="percentile" val="50"/>
        <cfvo type="max"/>
        <color rgb="FFF8696B"/>
        <color rgb="FFFFEB84"/>
        <color rgb="FF63BE7B"/>
      </colorScale>
    </cfRule>
    <cfRule type="colorScale" priority="33">
      <colorScale>
        <cfvo type="min"/>
        <cfvo type="percentile" val="50"/>
        <cfvo type="max"/>
        <color rgb="FF63BE7B"/>
        <color rgb="FFFFEB84"/>
        <color rgb="FFF8696B"/>
      </colorScale>
    </cfRule>
  </conditionalFormatting>
  <conditionalFormatting sqref="U82:U83">
    <cfRule type="colorScale" priority="827">
      <colorScale>
        <cfvo type="min"/>
        <cfvo type="percentile" val="50"/>
        <cfvo type="max"/>
        <color rgb="FFF8696B"/>
        <color rgb="FFFFEB84"/>
        <color rgb="FF63BE7B"/>
      </colorScale>
    </cfRule>
    <cfRule type="colorScale" priority="828">
      <colorScale>
        <cfvo type="min"/>
        <cfvo type="percentile" val="50"/>
        <cfvo type="max"/>
        <color rgb="FF63BE7B"/>
        <color rgb="FFFFEB84"/>
        <color rgb="FFF8696B"/>
      </colorScale>
    </cfRule>
  </conditionalFormatting>
  <conditionalFormatting sqref="U88:U89 U61:U62 U79 U67 U3:U5 U7:U9 U11:U13 U15:U17 U19:U21 U23:U25 U27:U29 U43:U44 U46:U47 U49:U50 U72:U77 U52:U55 U85:U86">
    <cfRule type="colorScale" priority="833">
      <colorScale>
        <cfvo type="min"/>
        <cfvo type="percentile" val="50"/>
        <cfvo type="max"/>
        <color rgb="FFF8696B"/>
        <color rgb="FFFFEB84"/>
        <color rgb="FF63BE7B"/>
      </colorScale>
    </cfRule>
    <cfRule type="colorScale" priority="834">
      <colorScale>
        <cfvo type="min"/>
        <cfvo type="percentile" val="50"/>
        <cfvo type="max"/>
        <color rgb="FF63BE7B"/>
        <color rgb="FFFFEB84"/>
        <color rgb="FFF8696B"/>
      </colorScale>
    </cfRule>
  </conditionalFormatting>
  <conditionalFormatting sqref="U91:U99">
    <cfRule type="colorScale" priority="837">
      <colorScale>
        <cfvo type="min"/>
        <cfvo type="percentile" val="50"/>
        <cfvo type="max"/>
        <color rgb="FF63BE7B"/>
        <color rgb="FFFFEB84"/>
        <color rgb="FFF8696B"/>
      </colorScale>
    </cfRule>
    <cfRule type="colorScale" priority="836">
      <colorScale>
        <cfvo type="min"/>
        <cfvo type="percentile" val="50"/>
        <cfvo type="max"/>
        <color rgb="FFF8696B"/>
        <color rgb="FFFFEB84"/>
        <color rgb="FF63BE7B"/>
      </colorScale>
    </cfRule>
  </conditionalFormatting>
  <conditionalFormatting sqref="U102">
    <cfRule type="colorScale" priority="10">
      <colorScale>
        <cfvo type="min"/>
        <cfvo type="percentile" val="50"/>
        <cfvo type="max"/>
        <color rgb="FF63BE7B"/>
        <color rgb="FFFFEB84"/>
        <color rgb="FFF8696B"/>
      </colorScale>
    </cfRule>
    <cfRule type="colorScale" priority="9">
      <colorScale>
        <cfvo type="min"/>
        <cfvo type="percentile" val="50"/>
        <cfvo type="max"/>
        <color rgb="FFF8696B"/>
        <color rgb="FFFFEB84"/>
        <color rgb="FF63BE7B"/>
      </colorScale>
    </cfRule>
  </conditionalFormatting>
  <conditionalFormatting sqref="V102">
    <cfRule type="colorScale" priority="28">
      <colorScale>
        <cfvo type="min"/>
        <cfvo type="percentile" val="50"/>
        <cfvo type="max"/>
        <color rgb="FF63BE7B"/>
        <color rgb="FFFFEB84"/>
        <color rgb="FFF8696B"/>
      </colorScale>
    </cfRule>
    <cfRule type="colorScale" priority="27">
      <colorScale>
        <cfvo type="min"/>
        <cfvo type="percentile" val="50"/>
        <cfvo type="max"/>
        <color rgb="FFF8696B"/>
        <color rgb="FFFFEB84"/>
        <color rgb="FF63BE7B"/>
      </colorScale>
    </cfRule>
  </conditionalFormatting>
  <conditionalFormatting sqref="X82:X83">
    <cfRule type="colorScale" priority="829">
      <colorScale>
        <cfvo type="min"/>
        <cfvo type="percentile" val="50"/>
        <cfvo type="max"/>
        <color rgb="FFF8696B"/>
        <color rgb="FFFFEB84"/>
        <color rgb="FF63BE7B"/>
      </colorScale>
    </cfRule>
    <cfRule type="colorScale" priority="830">
      <colorScale>
        <cfvo type="min"/>
        <cfvo type="percentile" val="50"/>
        <cfvo type="max"/>
        <color rgb="FF63BE7B"/>
        <color rgb="FFFFEB84"/>
        <color rgb="FFF8696B"/>
      </colorScale>
    </cfRule>
  </conditionalFormatting>
  <conditionalFormatting sqref="Z3:Z5 Z7:Z9 Z11:Z13 Z15:Z17 Z19:Z21 Z23:Z25 Z27:Z29 Z31:Z32 Z34:Z35 Z37:Z38 Z40:Z41 Z43:Z44 Z46:Z47 Z49:Z50 Z65 Z72:Z77 Z92:Z93 Z98:Z101">
    <cfRule type="cellIs" dxfId="16" priority="100" operator="greaterThan">
      <formula>1</formula>
    </cfRule>
  </conditionalFormatting>
  <conditionalFormatting sqref="Z52:Z59">
    <cfRule type="cellIs" dxfId="15" priority="183" operator="greaterThan">
      <formula>1</formula>
    </cfRule>
  </conditionalFormatting>
  <conditionalFormatting sqref="Z61:Z63">
    <cfRule type="cellIs" dxfId="14" priority="31" operator="greaterThan">
      <formula>1</formula>
    </cfRule>
  </conditionalFormatting>
  <conditionalFormatting sqref="Z67">
    <cfRule type="cellIs" dxfId="13" priority="235" operator="greaterThan">
      <formula>1</formula>
    </cfRule>
  </conditionalFormatting>
  <conditionalFormatting sqref="Z69:Z70">
    <cfRule type="cellIs" dxfId="12" priority="36" operator="greaterThan">
      <formula>1</formula>
    </cfRule>
  </conditionalFormatting>
  <conditionalFormatting sqref="Z79 Z90">
    <cfRule type="cellIs" dxfId="11" priority="8" operator="greaterThan">
      <formula>1</formula>
    </cfRule>
  </conditionalFormatting>
  <conditionalFormatting sqref="Z95:Z96">
    <cfRule type="cellIs" dxfId="10" priority="20" operator="greaterThan">
      <formula>1</formula>
    </cfRule>
  </conditionalFormatting>
  <conditionalFormatting sqref="AC80:AF81">
    <cfRule type="cellIs" dxfId="9" priority="5" operator="greaterThan">
      <formula>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B3E7-0054-4F6A-A9CE-A21F127304E3}">
  <dimension ref="A1:BS67"/>
  <sheetViews>
    <sheetView showGridLines="0" zoomScale="90" zoomScaleNormal="90" workbookViewId="0">
      <pane xSplit="6" ySplit="2" topLeftCell="V37" activePane="bottomRight" state="frozen"/>
      <selection pane="topRight" activeCell="F1" sqref="F1"/>
      <selection pane="bottomLeft" activeCell="A3" sqref="A3"/>
      <selection pane="bottomRight" activeCell="E55" sqref="E55"/>
    </sheetView>
  </sheetViews>
  <sheetFormatPr defaultColWidth="28.33203125" defaultRowHeight="14.4"/>
  <cols>
    <col min="1" max="1" width="23.44140625" customWidth="1"/>
    <col min="2" max="2" width="7.6640625" customWidth="1"/>
    <col min="3" max="3" width="10.109375" customWidth="1"/>
    <col min="4" max="4" width="10.109375" bestFit="1" customWidth="1"/>
    <col min="5" max="5" width="14.5546875" bestFit="1" customWidth="1"/>
    <col min="6" max="6" width="25.88671875" bestFit="1" customWidth="1"/>
    <col min="7" max="7" width="12.6640625" bestFit="1" customWidth="1"/>
    <col min="8" max="8" width="30.5546875" customWidth="1"/>
    <col min="9" max="9" width="26.33203125" bestFit="1" customWidth="1"/>
    <col min="10" max="10" width="7.5546875" customWidth="1"/>
    <col min="11" max="11" width="43.5546875" bestFit="1" customWidth="1"/>
    <col min="12" max="12" width="13" customWidth="1"/>
    <col min="13" max="13" width="14.33203125" customWidth="1"/>
    <col min="14" max="14" width="11.109375" customWidth="1"/>
    <col min="15" max="15" width="5.5546875" customWidth="1"/>
    <col min="16" max="16" width="12.88671875" customWidth="1"/>
    <col min="17" max="17" width="6.44140625" customWidth="1"/>
    <col min="18" max="18" width="6.109375" customWidth="1"/>
    <col min="19" max="20" width="11.33203125" style="69" customWidth="1"/>
    <col min="21" max="21" width="14.88671875" style="69" customWidth="1"/>
    <col min="22" max="23" width="11.88671875" customWidth="1"/>
    <col min="24" max="24" width="14.88671875" customWidth="1"/>
    <col min="25" max="25" width="12.5546875" bestFit="1" customWidth="1"/>
    <col min="26" max="26" width="10.6640625" bestFit="1" customWidth="1"/>
    <col min="27" max="27" width="6.5546875" bestFit="1" customWidth="1"/>
    <col min="28" max="28" width="8.109375" bestFit="1" customWidth="1"/>
    <col min="29" max="29" width="12.109375" bestFit="1" customWidth="1"/>
    <col min="30" max="30" width="6.109375" customWidth="1"/>
    <col min="31" max="32" width="9.44140625" style="114" customWidth="1"/>
    <col min="33" max="33" width="6.5546875" style="114" customWidth="1"/>
    <col min="34" max="34" width="28.33203125" hidden="1" customWidth="1"/>
    <col min="35" max="35" width="28.33203125" customWidth="1"/>
    <col min="36" max="36" width="12.109375" style="231" customWidth="1"/>
    <col min="37" max="37" width="11.33203125" customWidth="1"/>
    <col min="38" max="38" width="11.5546875" bestFit="1" customWidth="1"/>
    <col min="39" max="39" width="10.5546875" customWidth="1"/>
    <col min="40" max="41" width="12" customWidth="1"/>
    <col min="42" max="42" width="12.44140625" bestFit="1" customWidth="1"/>
    <col min="43" max="43" width="11.44140625" customWidth="1"/>
    <col min="44" max="44" width="11.109375" customWidth="1"/>
    <col min="45" max="45" width="12.109375" customWidth="1"/>
    <col min="46" max="49" width="11.5546875" customWidth="1"/>
    <col min="50" max="50" width="28.33203125" customWidth="1"/>
    <col min="51" max="51" width="5" customWidth="1"/>
    <col min="52" max="52" width="4.5546875" customWidth="1"/>
    <col min="53" max="53" width="28.33203125" customWidth="1"/>
    <col min="54" max="54" width="16.109375" customWidth="1"/>
    <col min="55" max="55" width="14.6640625" customWidth="1"/>
    <col min="56" max="56" width="14.109375" customWidth="1"/>
    <col min="57" max="58" width="14.109375" bestFit="1" customWidth="1"/>
    <col min="59" max="59" width="9.5546875" customWidth="1"/>
    <col min="60" max="61" width="14.109375" bestFit="1" customWidth="1"/>
    <col min="62" max="62" width="12.5546875" customWidth="1"/>
    <col min="63" max="63" width="6.44140625" customWidth="1"/>
    <col min="64" max="64" width="9.109375" customWidth="1"/>
    <col min="65" max="65" width="28.33203125" customWidth="1"/>
  </cols>
  <sheetData>
    <row r="1" spans="1:64">
      <c r="A1" s="88" t="s">
        <v>89</v>
      </c>
      <c r="B1" s="89" t="s">
        <v>90</v>
      </c>
      <c r="C1" s="88" t="s">
        <v>34</v>
      </c>
      <c r="D1" s="89" t="s">
        <v>91</v>
      </c>
      <c r="E1" s="89" t="s">
        <v>338</v>
      </c>
      <c r="F1" s="89" t="s">
        <v>92</v>
      </c>
      <c r="G1" s="89" t="s">
        <v>93</v>
      </c>
      <c r="H1" s="89" t="s">
        <v>94</v>
      </c>
      <c r="I1" s="89" t="s">
        <v>95</v>
      </c>
      <c r="J1" s="89" t="s">
        <v>96</v>
      </c>
      <c r="K1" s="90" t="s">
        <v>97</v>
      </c>
      <c r="L1" s="91" t="s">
        <v>98</v>
      </c>
      <c r="M1" s="92" t="s">
        <v>99</v>
      </c>
      <c r="N1" s="93" t="s">
        <v>100</v>
      </c>
      <c r="O1" s="93" t="s">
        <v>101</v>
      </c>
      <c r="P1" s="93" t="s">
        <v>102</v>
      </c>
      <c r="Q1" s="94" t="s">
        <v>103</v>
      </c>
      <c r="R1" s="95" t="s">
        <v>104</v>
      </c>
      <c r="S1" s="124" t="s">
        <v>105</v>
      </c>
      <c r="T1" s="731" t="s">
        <v>265</v>
      </c>
      <c r="U1" s="125" t="s">
        <v>106</v>
      </c>
      <c r="V1" s="89" t="s">
        <v>107</v>
      </c>
      <c r="W1" s="89" t="s">
        <v>108</v>
      </c>
      <c r="X1" s="93" t="s">
        <v>14</v>
      </c>
      <c r="Y1" s="93" t="s">
        <v>109</v>
      </c>
      <c r="Z1" s="96" t="s">
        <v>78</v>
      </c>
      <c r="AA1" s="97" t="s">
        <v>15</v>
      </c>
      <c r="AB1" s="98" t="s">
        <v>13</v>
      </c>
      <c r="AC1" s="99" t="s">
        <v>110</v>
      </c>
      <c r="AD1" s="99" t="s">
        <v>114</v>
      </c>
      <c r="AE1" s="99" t="s">
        <v>112</v>
      </c>
      <c r="AF1" s="130" t="s">
        <v>6</v>
      </c>
      <c r="AG1" s="132" t="s">
        <v>8</v>
      </c>
      <c r="AH1" s="6"/>
      <c r="AI1" s="6"/>
      <c r="AJ1" s="132" t="s">
        <v>339</v>
      </c>
      <c r="AK1" s="132" t="s">
        <v>340</v>
      </c>
      <c r="AL1" s="6"/>
      <c r="AM1" s="175" t="s">
        <v>341</v>
      </c>
      <c r="AN1" s="175" t="s">
        <v>342</v>
      </c>
      <c r="AO1" s="175" t="s">
        <v>343</v>
      </c>
      <c r="AP1" s="175" t="s">
        <v>344</v>
      </c>
      <c r="AQ1" s="175" t="s">
        <v>184</v>
      </c>
      <c r="AR1" s="180" t="s">
        <v>345</v>
      </c>
      <c r="AS1" s="176" t="s">
        <v>346</v>
      </c>
      <c r="AT1" s="176" t="s">
        <v>347</v>
      </c>
      <c r="AU1" s="176" t="s">
        <v>348</v>
      </c>
      <c r="AV1" s="176" t="s">
        <v>349</v>
      </c>
      <c r="AW1" s="176"/>
      <c r="BB1" s="814" t="s">
        <v>12</v>
      </c>
      <c r="BC1" s="814"/>
      <c r="BE1" s="814" t="s">
        <v>18</v>
      </c>
      <c r="BF1" s="814"/>
      <c r="BH1" s="815" t="s">
        <v>350</v>
      </c>
      <c r="BI1" s="815"/>
      <c r="BJ1" s="146" t="s">
        <v>121</v>
      </c>
      <c r="BK1" s="237" t="s">
        <v>122</v>
      </c>
      <c r="BL1" s="237" t="s">
        <v>123</v>
      </c>
    </row>
    <row r="2" spans="1:64">
      <c r="A2" s="100" t="s">
        <v>351</v>
      </c>
      <c r="B2" s="100"/>
      <c r="C2" s="100"/>
      <c r="D2" s="100"/>
      <c r="E2" s="100"/>
      <c r="F2" s="100"/>
      <c r="G2" s="100"/>
      <c r="H2" s="101"/>
      <c r="I2" s="101"/>
      <c r="J2" s="101"/>
      <c r="K2" s="102"/>
      <c r="L2" s="103"/>
      <c r="M2" s="104"/>
      <c r="N2" s="105"/>
      <c r="O2" s="105"/>
      <c r="P2" s="105"/>
      <c r="Q2" s="106"/>
      <c r="R2" s="106"/>
      <c r="S2" s="126"/>
      <c r="T2" s="126"/>
      <c r="U2" s="127"/>
      <c r="V2" s="107"/>
      <c r="W2" s="108"/>
      <c r="X2" s="105"/>
      <c r="Y2" s="105"/>
      <c r="Z2" s="105"/>
      <c r="AA2" s="105"/>
      <c r="AB2" s="105"/>
      <c r="AC2" s="105"/>
      <c r="AD2" s="109"/>
      <c r="AE2" s="109"/>
      <c r="AF2" s="131"/>
      <c r="AG2" s="109"/>
      <c r="AH2" s="6"/>
      <c r="AI2" s="6"/>
      <c r="AJ2" s="232"/>
      <c r="AK2" s="6"/>
      <c r="AL2" s="6"/>
      <c r="AM2" s="6"/>
      <c r="AN2" s="6"/>
      <c r="AO2" s="6"/>
      <c r="AP2" s="6"/>
      <c r="AQ2" s="6"/>
      <c r="AY2" s="334" t="s">
        <v>352</v>
      </c>
      <c r="AZ2" s="334" t="s">
        <v>353</v>
      </c>
      <c r="BB2" t="s">
        <v>352</v>
      </c>
      <c r="BC2" t="s">
        <v>353</v>
      </c>
      <c r="BE2" t="s">
        <v>352</v>
      </c>
      <c r="BF2" t="s">
        <v>353</v>
      </c>
      <c r="BH2" t="s">
        <v>352</v>
      </c>
      <c r="BI2" t="s">
        <v>353</v>
      </c>
    </row>
    <row r="3" spans="1:64" s="114" customFormat="1">
      <c r="A3" s="110" t="s">
        <v>354</v>
      </c>
      <c r="B3" s="191" t="s">
        <v>154</v>
      </c>
      <c r="C3" s="191" t="s">
        <v>333</v>
      </c>
      <c r="D3" s="191" t="s">
        <v>164</v>
      </c>
      <c r="E3" s="191" t="s">
        <v>355</v>
      </c>
      <c r="F3" s="679" t="s">
        <v>356</v>
      </c>
      <c r="G3" s="191" t="s">
        <v>357</v>
      </c>
      <c r="H3" s="183" t="s">
        <v>358</v>
      </c>
      <c r="I3" s="183" t="s">
        <v>359</v>
      </c>
      <c r="J3" s="191" t="s">
        <v>360</v>
      </c>
      <c r="K3" s="191" t="s">
        <v>336</v>
      </c>
      <c r="L3" s="123">
        <f t="shared" ref="L3:L20" si="0">AP3*1000/AQ3</f>
        <v>14125000</v>
      </c>
      <c r="M3" s="135">
        <v>3.0000000000000001E-3</v>
      </c>
      <c r="N3" s="45">
        <f>M3*L3</f>
        <v>42375</v>
      </c>
      <c r="O3" s="45"/>
      <c r="P3" s="45"/>
      <c r="Q3" s="159">
        <f>U3/(L3/1000)</f>
        <v>60.176991150442475</v>
      </c>
      <c r="R3" s="165">
        <f>U3/N3</f>
        <v>20.058997050147493</v>
      </c>
      <c r="S3" s="598">
        <f>Q3</f>
        <v>60.176991150442475</v>
      </c>
      <c r="T3" s="598"/>
      <c r="U3" s="573">
        <f>AP3</f>
        <v>850000</v>
      </c>
      <c r="V3" s="44">
        <f t="shared" ref="V3:V23" si="1">U3/$U$53</f>
        <v>1.5749829297201041E-2</v>
      </c>
      <c r="W3" s="44">
        <v>0.4</v>
      </c>
      <c r="X3" s="123">
        <f>AX3</f>
        <v>3954999.9999999995</v>
      </c>
      <c r="Y3" s="45">
        <f>(1-W3)*X3</f>
        <v>2372999.9999999995</v>
      </c>
      <c r="Z3" s="111"/>
      <c r="AA3" s="112"/>
      <c r="AB3" s="111"/>
      <c r="AC3" s="111"/>
      <c r="AD3" s="47">
        <f>L3/X3</f>
        <v>3.5714285714285721</v>
      </c>
      <c r="AE3" s="202" t="s">
        <v>361</v>
      </c>
      <c r="AF3" s="202" t="str">
        <f>AE3</f>
        <v>T</v>
      </c>
      <c r="AG3" s="374">
        <v>1</v>
      </c>
      <c r="AH3" s="396" t="s">
        <v>362</v>
      </c>
      <c r="AI3" s="133"/>
      <c r="AJ3" s="742">
        <v>28250000</v>
      </c>
      <c r="AK3" s="174">
        <v>1700000</v>
      </c>
      <c r="AL3" s="134">
        <f>L3*2</f>
        <v>28250000</v>
      </c>
      <c r="AM3" s="673">
        <v>0.5</v>
      </c>
      <c r="AN3" s="194">
        <v>0.5</v>
      </c>
      <c r="AO3" s="194"/>
      <c r="AP3" s="174">
        <f>AM3*AK3</f>
        <v>850000</v>
      </c>
      <c r="AQ3" s="178">
        <f>AK3/AJ3*1000</f>
        <v>60.176991150442475</v>
      </c>
      <c r="AR3" s="182">
        <v>5650000</v>
      </c>
      <c r="AS3" s="229">
        <f>AR3*AM3</f>
        <v>2825000</v>
      </c>
      <c r="AT3" s="174">
        <f>AK3*AN3</f>
        <v>850000</v>
      </c>
      <c r="AU3" s="639"/>
      <c r="AV3" s="639"/>
      <c r="AW3" s="639"/>
      <c r="AX3" s="114">
        <f>AR3*70%</f>
        <v>3954999.9999999995</v>
      </c>
      <c r="AY3" s="133">
        <v>1</v>
      </c>
      <c r="AZ3" s="133"/>
      <c r="BB3" s="114">
        <f>AY3*L3</f>
        <v>14125000</v>
      </c>
      <c r="BC3" s="114">
        <f>AZ3*L3</f>
        <v>0</v>
      </c>
      <c r="BE3" s="291">
        <f>AY3*N3</f>
        <v>42375</v>
      </c>
      <c r="BF3" s="114">
        <f>AZ3*N3</f>
        <v>0</v>
      </c>
      <c r="BH3" s="291">
        <f>P3*AY3</f>
        <v>0</v>
      </c>
    </row>
    <row r="4" spans="1:64" s="114" customFormat="1">
      <c r="A4" s="110" t="s">
        <v>354</v>
      </c>
      <c r="B4" s="191" t="s">
        <v>154</v>
      </c>
      <c r="C4" s="191" t="s">
        <v>333</v>
      </c>
      <c r="D4" s="191" t="s">
        <v>164</v>
      </c>
      <c r="E4" s="191" t="s">
        <v>355</v>
      </c>
      <c r="F4" s="679" t="s">
        <v>363</v>
      </c>
      <c r="G4" s="191" t="s">
        <v>294</v>
      </c>
      <c r="H4" s="183" t="s">
        <v>364</v>
      </c>
      <c r="I4" s="183" t="s">
        <v>359</v>
      </c>
      <c r="J4" s="191" t="s">
        <v>360</v>
      </c>
      <c r="K4" s="191" t="s">
        <v>336</v>
      </c>
      <c r="L4" s="123">
        <f t="shared" si="0"/>
        <v>82500000</v>
      </c>
      <c r="M4" s="179">
        <v>4.0000000000000001E-3</v>
      </c>
      <c r="N4" s="45">
        <f t="shared" ref="N4:N21" si="2">M4*L4</f>
        <v>330000</v>
      </c>
      <c r="O4" s="45"/>
      <c r="P4" s="45"/>
      <c r="Q4" s="159">
        <f t="shared" ref="Q4:Q21" si="3">U4/(L4/1000)</f>
        <v>23.636363636363637</v>
      </c>
      <c r="R4" s="165">
        <f t="shared" ref="R4:R21" si="4">U4/N4</f>
        <v>5.9090909090909092</v>
      </c>
      <c r="S4" s="598">
        <f t="shared" ref="S4:S21" si="5">Q4</f>
        <v>23.636363636363637</v>
      </c>
      <c r="T4" s="598"/>
      <c r="U4" s="573">
        <f t="shared" ref="U4:U20" si="6">AP4</f>
        <v>1950000</v>
      </c>
      <c r="V4" s="44">
        <f t="shared" si="1"/>
        <v>3.6131961328872975E-2</v>
      </c>
      <c r="W4" s="44">
        <v>0.4</v>
      </c>
      <c r="X4" s="123">
        <f t="shared" ref="X4:X21" si="7">AX4</f>
        <v>10500000</v>
      </c>
      <c r="Y4" s="45">
        <f t="shared" ref="Y4:Y21" si="8">(1-W4)*X4</f>
        <v>6300000</v>
      </c>
      <c r="Z4" s="111"/>
      <c r="AA4" s="112"/>
      <c r="AB4" s="111"/>
      <c r="AC4" s="111"/>
      <c r="AD4" s="47">
        <f t="shared" ref="AD4:AD21" si="9">L4/X4</f>
        <v>7.8571428571428568</v>
      </c>
      <c r="AE4" s="202" t="s">
        <v>361</v>
      </c>
      <c r="AF4" s="202" t="str">
        <f>AE4</f>
        <v>T</v>
      </c>
      <c r="AG4" s="374">
        <v>1</v>
      </c>
      <c r="AH4" s="396" t="s">
        <v>365</v>
      </c>
      <c r="AI4" s="133"/>
      <c r="AJ4" s="743">
        <v>165000000</v>
      </c>
      <c r="AK4" s="174">
        <v>3900000</v>
      </c>
      <c r="AL4" s="726">
        <f>L4*2</f>
        <v>165000000</v>
      </c>
      <c r="AM4" s="194">
        <v>0.5</v>
      </c>
      <c r="AN4" s="194">
        <v>0.5</v>
      </c>
      <c r="AO4" s="194"/>
      <c r="AP4" s="174">
        <f t="shared" ref="AP4:AP20" si="10">AM4*AK4</f>
        <v>1950000</v>
      </c>
      <c r="AQ4" s="178">
        <f t="shared" ref="AQ4:AQ22" si="11">AK4/AJ4*1000</f>
        <v>23.636363636363637</v>
      </c>
      <c r="AR4" s="182">
        <v>15000000</v>
      </c>
      <c r="AS4" s="229">
        <f>AR4*AM4</f>
        <v>7500000</v>
      </c>
      <c r="AT4" s="174">
        <f t="shared" ref="AT4:AT21" si="12">AK4*AN4</f>
        <v>1950000</v>
      </c>
      <c r="AU4" s="639"/>
      <c r="AV4" s="639"/>
      <c r="AW4" s="639"/>
      <c r="AX4" s="114">
        <f>AR4*70%</f>
        <v>10500000</v>
      </c>
      <c r="AY4" s="133">
        <v>1</v>
      </c>
      <c r="AZ4" s="133"/>
      <c r="BB4" s="114">
        <f t="shared" ref="BB4:BB21" si="13">AY4*L4</f>
        <v>82500000</v>
      </c>
      <c r="BC4" s="114">
        <f t="shared" ref="BC4:BC21" si="14">AZ4*L4</f>
        <v>0</v>
      </c>
      <c r="BE4" s="291">
        <f t="shared" ref="BE4:BE21" si="15">AY4*N4</f>
        <v>330000</v>
      </c>
      <c r="BF4" s="114">
        <f t="shared" ref="BF4:BF21" si="16">AZ4*N4</f>
        <v>0</v>
      </c>
      <c r="BH4" s="291">
        <f t="shared" ref="BH4:BH21" si="17">P4*AY4</f>
        <v>0</v>
      </c>
    </row>
    <row r="5" spans="1:64" s="114" customFormat="1">
      <c r="A5" s="110" t="s">
        <v>204</v>
      </c>
      <c r="B5" s="191" t="s">
        <v>154</v>
      </c>
      <c r="C5" s="191" t="s">
        <v>333</v>
      </c>
      <c r="D5" s="191" t="s">
        <v>164</v>
      </c>
      <c r="E5" s="191" t="s">
        <v>355</v>
      </c>
      <c r="F5" s="680" t="s">
        <v>76</v>
      </c>
      <c r="G5" s="191" t="s">
        <v>357</v>
      </c>
      <c r="H5" s="183" t="s">
        <v>359</v>
      </c>
      <c r="I5" s="183" t="s">
        <v>366</v>
      </c>
      <c r="J5" s="191" t="s">
        <v>360</v>
      </c>
      <c r="K5" s="191" t="s">
        <v>336</v>
      </c>
      <c r="L5" s="123">
        <f t="shared" si="0"/>
        <v>27500000.000000004</v>
      </c>
      <c r="M5" s="135">
        <v>1.4999999999999999E-2</v>
      </c>
      <c r="N5" s="45">
        <f t="shared" si="2"/>
        <v>412500.00000000006</v>
      </c>
      <c r="O5" s="45"/>
      <c r="P5" s="45"/>
      <c r="Q5" s="159">
        <f t="shared" si="3"/>
        <v>54.54545454545454</v>
      </c>
      <c r="R5" s="165">
        <f t="shared" si="4"/>
        <v>3.6363636363636358</v>
      </c>
      <c r="S5" s="598">
        <f t="shared" si="5"/>
        <v>54.54545454545454</v>
      </c>
      <c r="T5" s="598"/>
      <c r="U5" s="573">
        <f t="shared" si="6"/>
        <v>1500000</v>
      </c>
      <c r="V5" s="44">
        <f t="shared" si="1"/>
        <v>2.7793816406825367E-2</v>
      </c>
      <c r="W5" s="44">
        <v>0.4</v>
      </c>
      <c r="X5" s="123">
        <f t="shared" si="7"/>
        <v>14000000</v>
      </c>
      <c r="Y5" s="45">
        <f t="shared" si="8"/>
        <v>8400000</v>
      </c>
      <c r="Z5" s="111"/>
      <c r="AA5" s="112"/>
      <c r="AB5" s="111"/>
      <c r="AC5" s="111"/>
      <c r="AD5" s="47">
        <f t="shared" si="9"/>
        <v>1.9642857142857146</v>
      </c>
      <c r="AE5" s="202" t="s">
        <v>361</v>
      </c>
      <c r="AF5" s="202" t="str">
        <f t="shared" ref="AF5:AF8" si="18">AE5</f>
        <v>T</v>
      </c>
      <c r="AG5" s="374">
        <v>1</v>
      </c>
      <c r="AH5" s="396" t="s">
        <v>367</v>
      </c>
      <c r="AI5" s="133"/>
      <c r="AJ5" s="742">
        <f>27500000*2</f>
        <v>55000000</v>
      </c>
      <c r="AK5" s="174">
        <v>3000000</v>
      </c>
      <c r="AL5" s="726">
        <f>L5*2</f>
        <v>55000000.000000007</v>
      </c>
      <c r="AM5" s="194">
        <v>0.5</v>
      </c>
      <c r="AN5" s="194">
        <v>0.5</v>
      </c>
      <c r="AO5" s="194"/>
      <c r="AP5" s="174">
        <f t="shared" si="10"/>
        <v>1500000</v>
      </c>
      <c r="AQ5" s="178">
        <f t="shared" si="11"/>
        <v>54.54545454545454</v>
      </c>
      <c r="AR5" s="123">
        <v>20000000</v>
      </c>
      <c r="AS5" s="229">
        <f t="shared" ref="AS5:AS19" si="19">AR5*AM5</f>
        <v>10000000</v>
      </c>
      <c r="AT5" s="174">
        <f t="shared" si="12"/>
        <v>1500000</v>
      </c>
      <c r="AU5" s="639"/>
      <c r="AV5" s="639"/>
      <c r="AW5" s="639"/>
      <c r="AX5" s="114">
        <f t="shared" ref="AX5:AX8" si="20">AR5*70%</f>
        <v>14000000</v>
      </c>
      <c r="AY5" s="133">
        <v>1</v>
      </c>
      <c r="AZ5" s="133"/>
      <c r="BB5" s="114">
        <f t="shared" si="13"/>
        <v>27500000.000000004</v>
      </c>
      <c r="BC5" s="114">
        <f t="shared" si="14"/>
        <v>0</v>
      </c>
      <c r="BE5" s="291">
        <f t="shared" si="15"/>
        <v>412500.00000000006</v>
      </c>
      <c r="BF5" s="114">
        <f t="shared" si="16"/>
        <v>0</v>
      </c>
      <c r="BH5" s="291">
        <f t="shared" si="17"/>
        <v>0</v>
      </c>
      <c r="BK5" s="114">
        <v>6.2</v>
      </c>
    </row>
    <row r="6" spans="1:64" s="114" customFormat="1">
      <c r="A6" s="110" t="s">
        <v>354</v>
      </c>
      <c r="B6" s="191" t="s">
        <v>154</v>
      </c>
      <c r="C6" s="191" t="s">
        <v>333</v>
      </c>
      <c r="D6" s="191" t="s">
        <v>164</v>
      </c>
      <c r="E6" s="191" t="s">
        <v>355</v>
      </c>
      <c r="F6" s="681" t="s">
        <v>368</v>
      </c>
      <c r="G6" s="191" t="s">
        <v>294</v>
      </c>
      <c r="H6" s="183" t="s">
        <v>369</v>
      </c>
      <c r="I6" s="183" t="s">
        <v>359</v>
      </c>
      <c r="J6" s="191" t="s">
        <v>360</v>
      </c>
      <c r="K6" s="191" t="s">
        <v>336</v>
      </c>
      <c r="L6" s="123">
        <f t="shared" si="0"/>
        <v>2000000</v>
      </c>
      <c r="M6" s="135">
        <v>8.0000000000000002E-3</v>
      </c>
      <c r="N6" s="45">
        <f t="shared" si="2"/>
        <v>16000</v>
      </c>
      <c r="O6" s="45"/>
      <c r="P6" s="45"/>
      <c r="Q6" s="159">
        <f t="shared" si="3"/>
        <v>250</v>
      </c>
      <c r="R6" s="165">
        <f t="shared" si="4"/>
        <v>31.25</v>
      </c>
      <c r="S6" s="598">
        <f t="shared" si="5"/>
        <v>250</v>
      </c>
      <c r="T6" s="598"/>
      <c r="U6" s="573">
        <f t="shared" si="6"/>
        <v>500000</v>
      </c>
      <c r="V6" s="44">
        <f t="shared" si="1"/>
        <v>9.2646054689417886E-3</v>
      </c>
      <c r="W6" s="44">
        <v>0.5</v>
      </c>
      <c r="X6" s="123">
        <f t="shared" si="7"/>
        <v>840000</v>
      </c>
      <c r="Y6" s="45">
        <f t="shared" si="8"/>
        <v>420000</v>
      </c>
      <c r="Z6" s="111"/>
      <c r="AA6" s="112"/>
      <c r="AB6" s="111"/>
      <c r="AC6" s="111"/>
      <c r="AD6" s="47">
        <f t="shared" si="9"/>
        <v>2.3809523809523809</v>
      </c>
      <c r="AE6" s="202" t="s">
        <v>361</v>
      </c>
      <c r="AF6" s="202" t="str">
        <f t="shared" si="18"/>
        <v>T</v>
      </c>
      <c r="AG6" s="374">
        <v>1</v>
      </c>
      <c r="AH6" s="396" t="s">
        <v>370</v>
      </c>
      <c r="AI6" s="133"/>
      <c r="AJ6" s="742">
        <f>2000000*2</f>
        <v>4000000</v>
      </c>
      <c r="AK6" s="174">
        <v>1000000</v>
      </c>
      <c r="AL6" s="726">
        <f>L6*2</f>
        <v>4000000</v>
      </c>
      <c r="AM6" s="194">
        <v>0.5</v>
      </c>
      <c r="AN6" s="194">
        <v>0.5</v>
      </c>
      <c r="AO6" s="194"/>
      <c r="AP6" s="174">
        <f t="shared" si="10"/>
        <v>500000</v>
      </c>
      <c r="AQ6" s="178">
        <f t="shared" si="11"/>
        <v>250</v>
      </c>
      <c r="AR6" s="123">
        <v>1200000</v>
      </c>
      <c r="AS6" s="229">
        <f t="shared" si="19"/>
        <v>600000</v>
      </c>
      <c r="AT6" s="174">
        <f t="shared" si="12"/>
        <v>500000</v>
      </c>
      <c r="AU6" s="639"/>
      <c r="AV6" s="639"/>
      <c r="AW6" s="639"/>
      <c r="AX6" s="114">
        <f t="shared" si="20"/>
        <v>840000</v>
      </c>
      <c r="AY6" s="133">
        <v>1</v>
      </c>
      <c r="AZ6" s="133"/>
      <c r="BB6" s="114">
        <f t="shared" si="13"/>
        <v>2000000</v>
      </c>
      <c r="BC6" s="114">
        <f t="shared" si="14"/>
        <v>0</v>
      </c>
      <c r="BE6" s="291">
        <f t="shared" si="15"/>
        <v>16000</v>
      </c>
      <c r="BF6" s="290">
        <f t="shared" si="16"/>
        <v>0</v>
      </c>
      <c r="BH6" s="291">
        <f t="shared" si="17"/>
        <v>0</v>
      </c>
      <c r="BI6" s="290"/>
    </row>
    <row r="7" spans="1:64" s="427" customFormat="1">
      <c r="A7" s="475" t="s">
        <v>354</v>
      </c>
      <c r="B7" s="191" t="s">
        <v>154</v>
      </c>
      <c r="C7" s="191" t="s">
        <v>333</v>
      </c>
      <c r="D7" s="191" t="s">
        <v>164</v>
      </c>
      <c r="E7" s="191" t="s">
        <v>355</v>
      </c>
      <c r="F7" s="774" t="s">
        <v>371</v>
      </c>
      <c r="G7" s="191" t="s">
        <v>357</v>
      </c>
      <c r="H7" s="183" t="s">
        <v>372</v>
      </c>
      <c r="I7" s="476" t="s">
        <v>359</v>
      </c>
      <c r="J7" s="191" t="s">
        <v>360</v>
      </c>
      <c r="K7" s="191" t="s">
        <v>336</v>
      </c>
      <c r="L7" s="123">
        <f t="shared" ref="L7" si="21">AP7*1000/AQ7</f>
        <v>27500000</v>
      </c>
      <c r="M7" s="135">
        <v>3.0000000000000001E-3</v>
      </c>
      <c r="N7" s="185">
        <f t="shared" ref="N7" si="22">M7*L7</f>
        <v>82500</v>
      </c>
      <c r="O7" s="185"/>
      <c r="P7" s="185"/>
      <c r="Q7" s="421">
        <f t="shared" ref="Q7" si="23">U7/(L7/1000)</f>
        <v>40</v>
      </c>
      <c r="R7" s="422">
        <f t="shared" ref="R7" si="24">U7/N7</f>
        <v>13.333333333333334</v>
      </c>
      <c r="S7" s="635">
        <f t="shared" ref="S7" si="25">Q7</f>
        <v>40</v>
      </c>
      <c r="T7" s="635"/>
      <c r="U7" s="576">
        <f t="shared" ref="U7" si="26">AP7</f>
        <v>1100000</v>
      </c>
      <c r="V7" s="420">
        <f t="shared" si="1"/>
        <v>2.0382132031671937E-2</v>
      </c>
      <c r="W7" s="44">
        <v>0.4</v>
      </c>
      <c r="X7" s="123">
        <f t="shared" ref="X7" si="27">AX7</f>
        <v>8750000</v>
      </c>
      <c r="Y7" s="185">
        <f t="shared" ref="Y7" si="28">(1-W7)*X7</f>
        <v>5250000</v>
      </c>
      <c r="Z7" s="477"/>
      <c r="AA7" s="478"/>
      <c r="AB7" s="477"/>
      <c r="AC7" s="477"/>
      <c r="AD7" s="424">
        <f t="shared" ref="AD7" si="29">L7/X7</f>
        <v>3.1428571428571428</v>
      </c>
      <c r="AE7" s="202" t="s">
        <v>361</v>
      </c>
      <c r="AF7" s="202" t="str">
        <f t="shared" si="18"/>
        <v>T</v>
      </c>
      <c r="AG7" s="374">
        <v>1</v>
      </c>
      <c r="AH7" s="480" t="s">
        <v>373</v>
      </c>
      <c r="AI7" s="426"/>
      <c r="AJ7" s="744">
        <v>55000000</v>
      </c>
      <c r="AK7" s="174">
        <v>2200000</v>
      </c>
      <c r="AL7" s="481"/>
      <c r="AM7" s="482">
        <v>0.5</v>
      </c>
      <c r="AN7" s="482">
        <v>0</v>
      </c>
      <c r="AO7" s="482">
        <v>0.5</v>
      </c>
      <c r="AP7" s="174">
        <f>AM7*AK7</f>
        <v>1100000</v>
      </c>
      <c r="AQ7" s="178">
        <f t="shared" si="11"/>
        <v>40</v>
      </c>
      <c r="AR7" s="181">
        <v>8750000</v>
      </c>
      <c r="AS7" s="483">
        <f t="shared" ref="AS7" si="30">AR7*AM7</f>
        <v>4375000</v>
      </c>
      <c r="AT7" s="174">
        <f t="shared" ref="AT7" si="31">AK7*AN7</f>
        <v>0</v>
      </c>
      <c r="AU7" s="639">
        <f>AO7*AK7</f>
        <v>1100000</v>
      </c>
      <c r="AV7" s="787">
        <f>AU7*1000/AQ7</f>
        <v>27500000</v>
      </c>
      <c r="AW7" s="787">
        <f>AV7*M7</f>
        <v>82500</v>
      </c>
      <c r="AX7" s="427">
        <f>AR7*100%</f>
        <v>8750000</v>
      </c>
      <c r="AY7" s="426">
        <v>1</v>
      </c>
      <c r="AZ7" s="426"/>
      <c r="BB7" s="427">
        <f t="shared" ref="BB7" si="32">AY7*L7</f>
        <v>27500000</v>
      </c>
      <c r="BC7" s="427">
        <f t="shared" ref="BC7" si="33">AZ7*L7</f>
        <v>0</v>
      </c>
      <c r="BE7" s="484">
        <f t="shared" ref="BE7" si="34">AY7*N7</f>
        <v>82500</v>
      </c>
      <c r="BF7" s="485">
        <f t="shared" ref="BF7" si="35">AZ7*N7</f>
        <v>0</v>
      </c>
      <c r="BH7" s="291">
        <f t="shared" si="17"/>
        <v>0</v>
      </c>
      <c r="BI7" s="485"/>
    </row>
    <row r="8" spans="1:64" s="427" customFormat="1">
      <c r="A8" s="475" t="s">
        <v>204</v>
      </c>
      <c r="B8" s="191" t="s">
        <v>154</v>
      </c>
      <c r="C8" s="191" t="s">
        <v>333</v>
      </c>
      <c r="D8" s="191" t="s">
        <v>164</v>
      </c>
      <c r="E8" s="191" t="s">
        <v>355</v>
      </c>
      <c r="F8" s="679" t="s">
        <v>374</v>
      </c>
      <c r="G8" s="191" t="s">
        <v>294</v>
      </c>
      <c r="H8" s="183" t="s">
        <v>375</v>
      </c>
      <c r="I8" s="183" t="s">
        <v>359</v>
      </c>
      <c r="J8" s="191" t="s">
        <v>360</v>
      </c>
      <c r="K8" s="191" t="s">
        <v>336</v>
      </c>
      <c r="L8" s="123">
        <f t="shared" si="0"/>
        <v>8750000</v>
      </c>
      <c r="M8" s="135">
        <v>3.0000000000000001E-3</v>
      </c>
      <c r="N8" s="185">
        <f t="shared" si="2"/>
        <v>26250</v>
      </c>
      <c r="O8" s="185"/>
      <c r="P8" s="185"/>
      <c r="Q8" s="421">
        <f t="shared" si="3"/>
        <v>62.857142857142854</v>
      </c>
      <c r="R8" s="422">
        <f t="shared" si="4"/>
        <v>20.952380952380953</v>
      </c>
      <c r="S8" s="635">
        <f t="shared" si="5"/>
        <v>62.857142857142854</v>
      </c>
      <c r="T8" s="635"/>
      <c r="U8" s="576">
        <f t="shared" si="6"/>
        <v>550000</v>
      </c>
      <c r="V8" s="420">
        <f t="shared" si="1"/>
        <v>1.0191066015835968E-2</v>
      </c>
      <c r="W8" s="44">
        <v>0.4</v>
      </c>
      <c r="X8" s="123">
        <f t="shared" si="7"/>
        <v>9800000</v>
      </c>
      <c r="Y8" s="185">
        <f t="shared" si="8"/>
        <v>5880000</v>
      </c>
      <c r="Z8" s="477"/>
      <c r="AA8" s="478"/>
      <c r="AB8" s="477"/>
      <c r="AC8" s="477"/>
      <c r="AD8" s="424">
        <f t="shared" si="9"/>
        <v>0.8928571428571429</v>
      </c>
      <c r="AE8" s="202" t="s">
        <v>361</v>
      </c>
      <c r="AF8" s="202" t="str">
        <f t="shared" si="18"/>
        <v>T</v>
      </c>
      <c r="AG8" s="374">
        <v>1</v>
      </c>
      <c r="AH8" s="480" t="s">
        <v>376</v>
      </c>
      <c r="AI8" s="426"/>
      <c r="AJ8" s="744">
        <v>35000000</v>
      </c>
      <c r="AK8" s="174">
        <v>2200000</v>
      </c>
      <c r="AL8" s="726">
        <f>L8*2</f>
        <v>17500000</v>
      </c>
      <c r="AM8" s="482">
        <v>0.25</v>
      </c>
      <c r="AN8" s="482">
        <v>0.5</v>
      </c>
      <c r="AO8" s="482">
        <v>0.25</v>
      </c>
      <c r="AP8" s="174">
        <f>AM8*AK8</f>
        <v>550000</v>
      </c>
      <c r="AQ8" s="178">
        <f t="shared" si="11"/>
        <v>62.857142857142861</v>
      </c>
      <c r="AR8" s="181">
        <v>14000000</v>
      </c>
      <c r="AS8" s="483">
        <f t="shared" si="19"/>
        <v>3500000</v>
      </c>
      <c r="AT8" s="174">
        <f>AK8*AN8</f>
        <v>1100000</v>
      </c>
      <c r="AU8" s="639">
        <f>AO8*AK8</f>
        <v>550000</v>
      </c>
      <c r="AV8" s="787">
        <f>AU8*1000/AQ8</f>
        <v>8750000</v>
      </c>
      <c r="AW8" s="787">
        <f>AV8*M8</f>
        <v>26250</v>
      </c>
      <c r="AX8" s="427">
        <f t="shared" si="20"/>
        <v>9800000</v>
      </c>
      <c r="AY8" s="426">
        <v>1</v>
      </c>
      <c r="AZ8" s="426"/>
      <c r="BB8" s="427">
        <f t="shared" si="13"/>
        <v>8750000</v>
      </c>
      <c r="BC8" s="427">
        <f t="shared" si="14"/>
        <v>0</v>
      </c>
      <c r="BE8" s="484">
        <f t="shared" si="15"/>
        <v>26250</v>
      </c>
      <c r="BF8" s="485">
        <f t="shared" si="16"/>
        <v>0</v>
      </c>
      <c r="BH8" s="291">
        <f t="shared" si="17"/>
        <v>0</v>
      </c>
      <c r="BI8" s="485"/>
    </row>
    <row r="9" spans="1:64" s="427" customFormat="1">
      <c r="A9" s="475" t="s">
        <v>290</v>
      </c>
      <c r="B9" s="191" t="s">
        <v>154</v>
      </c>
      <c r="C9" s="191" t="s">
        <v>333</v>
      </c>
      <c r="D9" s="191" t="s">
        <v>164</v>
      </c>
      <c r="E9" s="191" t="s">
        <v>355</v>
      </c>
      <c r="F9" s="678" t="s">
        <v>377</v>
      </c>
      <c r="G9" s="191" t="s">
        <v>294</v>
      </c>
      <c r="H9" s="196" t="s">
        <v>378</v>
      </c>
      <c r="I9" s="183" t="s">
        <v>359</v>
      </c>
      <c r="J9" s="191" t="s">
        <v>360</v>
      </c>
      <c r="K9" s="191" t="s">
        <v>336</v>
      </c>
      <c r="L9" s="123">
        <f>AJ9</f>
        <v>130000000</v>
      </c>
      <c r="M9" s="135">
        <v>0.03</v>
      </c>
      <c r="N9" s="185">
        <f t="shared" si="2"/>
        <v>3900000</v>
      </c>
      <c r="O9" s="185"/>
      <c r="P9" s="185"/>
      <c r="Q9" s="421">
        <f t="shared" si="3"/>
        <v>13.846153846153847</v>
      </c>
      <c r="R9" s="422">
        <f t="shared" si="4"/>
        <v>0.46153846153846156</v>
      </c>
      <c r="S9" s="635">
        <f t="shared" si="5"/>
        <v>13.846153846153847</v>
      </c>
      <c r="T9" s="635"/>
      <c r="U9" s="576">
        <f t="shared" si="6"/>
        <v>1800000</v>
      </c>
      <c r="V9" s="420">
        <f t="shared" si="1"/>
        <v>3.3352579688190442E-2</v>
      </c>
      <c r="W9" s="44">
        <v>0.3</v>
      </c>
      <c r="X9" s="123">
        <f t="shared" si="7"/>
        <v>28000000</v>
      </c>
      <c r="Y9" s="185">
        <f t="shared" si="8"/>
        <v>19600000</v>
      </c>
      <c r="Z9" s="477"/>
      <c r="AA9" s="478"/>
      <c r="AB9" s="477"/>
      <c r="AC9" s="477"/>
      <c r="AD9" s="424">
        <f t="shared" si="9"/>
        <v>4.6428571428571432</v>
      </c>
      <c r="AE9" s="425" t="s">
        <v>7</v>
      </c>
      <c r="AF9" s="425" t="str">
        <f t="shared" ref="AF9" si="36">AE9</f>
        <v>T+1</v>
      </c>
      <c r="AG9" s="374">
        <v>1</v>
      </c>
      <c r="AH9" s="480" t="s">
        <v>379</v>
      </c>
      <c r="AI9" s="426"/>
      <c r="AJ9" s="744">
        <v>130000000</v>
      </c>
      <c r="AK9" s="174">
        <v>1800000</v>
      </c>
      <c r="AL9" s="629"/>
      <c r="AM9" s="482">
        <v>1</v>
      </c>
      <c r="AN9" s="482">
        <v>0</v>
      </c>
      <c r="AO9" s="482"/>
      <c r="AP9" s="174">
        <f t="shared" si="10"/>
        <v>1800000</v>
      </c>
      <c r="AQ9" s="178">
        <f t="shared" si="11"/>
        <v>13.846153846153847</v>
      </c>
      <c r="AR9" s="123">
        <v>28000000</v>
      </c>
      <c r="AS9" s="483">
        <f t="shared" si="19"/>
        <v>28000000</v>
      </c>
      <c r="AT9" s="174">
        <f t="shared" si="12"/>
        <v>0</v>
      </c>
      <c r="AU9" s="639"/>
      <c r="AV9" s="787"/>
      <c r="AW9" s="787"/>
      <c r="AX9" s="427">
        <f>AR9*100%</f>
        <v>28000000</v>
      </c>
      <c r="AY9" s="426"/>
      <c r="AZ9" s="426">
        <v>1</v>
      </c>
      <c r="BB9" s="427">
        <f t="shared" si="13"/>
        <v>0</v>
      </c>
      <c r="BC9" s="427">
        <f t="shared" si="14"/>
        <v>130000000</v>
      </c>
      <c r="BE9" s="484">
        <f t="shared" si="15"/>
        <v>0</v>
      </c>
      <c r="BF9" s="485">
        <f t="shared" si="16"/>
        <v>3900000</v>
      </c>
      <c r="BH9" s="291">
        <f t="shared" si="17"/>
        <v>0</v>
      </c>
      <c r="BI9" s="485"/>
    </row>
    <row r="10" spans="1:64" s="114" customFormat="1">
      <c r="A10" s="110" t="s">
        <v>290</v>
      </c>
      <c r="B10" s="233" t="s">
        <v>154</v>
      </c>
      <c r="C10" s="233" t="s">
        <v>333</v>
      </c>
      <c r="D10" s="233" t="s">
        <v>164</v>
      </c>
      <c r="E10" s="191" t="s">
        <v>355</v>
      </c>
      <c r="F10" s="679" t="s">
        <v>380</v>
      </c>
      <c r="G10" s="233" t="s">
        <v>294</v>
      </c>
      <c r="H10" s="198" t="s">
        <v>381</v>
      </c>
      <c r="I10" s="198" t="s">
        <v>359</v>
      </c>
      <c r="J10" s="233" t="s">
        <v>360</v>
      </c>
      <c r="K10" s="233" t="s">
        <v>336</v>
      </c>
      <c r="L10" s="122">
        <f t="shared" si="0"/>
        <v>150000000</v>
      </c>
      <c r="M10" s="189">
        <v>3.0000000000000001E-3</v>
      </c>
      <c r="N10" s="45">
        <f t="shared" si="2"/>
        <v>450000</v>
      </c>
      <c r="O10" s="193"/>
      <c r="P10" s="45"/>
      <c r="Q10" s="159">
        <f t="shared" si="3"/>
        <v>15</v>
      </c>
      <c r="R10" s="165">
        <f t="shared" si="4"/>
        <v>5</v>
      </c>
      <c r="S10" s="598">
        <f>AQ10</f>
        <v>15</v>
      </c>
      <c r="T10" s="598"/>
      <c r="U10" s="573">
        <f t="shared" si="6"/>
        <v>2250000</v>
      </c>
      <c r="V10" s="44">
        <f t="shared" si="1"/>
        <v>4.1690724610238053E-2</v>
      </c>
      <c r="W10" s="44">
        <v>0.3</v>
      </c>
      <c r="X10" s="123">
        <f t="shared" si="7"/>
        <v>62999999.999999993</v>
      </c>
      <c r="Y10" s="45">
        <f t="shared" si="8"/>
        <v>44099999.999999993</v>
      </c>
      <c r="Z10" s="111"/>
      <c r="AA10" s="112"/>
      <c r="AB10" s="111"/>
      <c r="AC10" s="111"/>
      <c r="AD10" s="47">
        <f t="shared" si="9"/>
        <v>2.3809523809523814</v>
      </c>
      <c r="AE10" s="202" t="s">
        <v>361</v>
      </c>
      <c r="AF10" s="202" t="str">
        <f t="shared" ref="AF10:AF22" si="37">AE10</f>
        <v>T</v>
      </c>
      <c r="AG10" s="374">
        <v>1</v>
      </c>
      <c r="AH10" s="396" t="s">
        <v>382</v>
      </c>
      <c r="AI10" s="133"/>
      <c r="AJ10" s="745">
        <v>300000000</v>
      </c>
      <c r="AK10" s="728">
        <v>4500000</v>
      </c>
      <c r="AL10" s="727">
        <v>300000000</v>
      </c>
      <c r="AM10" s="776">
        <v>0.5</v>
      </c>
      <c r="AN10" s="194">
        <v>0.5</v>
      </c>
      <c r="AO10" s="194"/>
      <c r="AP10" s="174">
        <f t="shared" si="10"/>
        <v>2250000</v>
      </c>
      <c r="AQ10" s="178">
        <f t="shared" si="11"/>
        <v>15</v>
      </c>
      <c r="AR10" s="122">
        <v>90000000</v>
      </c>
      <c r="AS10" s="236">
        <f t="shared" si="19"/>
        <v>45000000</v>
      </c>
      <c r="AT10" s="174">
        <f t="shared" si="12"/>
        <v>2250000</v>
      </c>
      <c r="AU10" s="639"/>
      <c r="AV10" s="787"/>
      <c r="AW10" s="787"/>
      <c r="AX10" s="114">
        <f>AR10*70%</f>
        <v>62999999.999999993</v>
      </c>
      <c r="AY10" s="133">
        <v>1</v>
      </c>
      <c r="AZ10" s="133"/>
      <c r="BB10" s="114">
        <f>AY10*L10</f>
        <v>150000000</v>
      </c>
      <c r="BC10" s="114">
        <f t="shared" si="14"/>
        <v>0</v>
      </c>
      <c r="BE10" s="291">
        <f t="shared" si="15"/>
        <v>450000</v>
      </c>
      <c r="BF10" s="290">
        <f t="shared" si="16"/>
        <v>0</v>
      </c>
      <c r="BH10" s="291">
        <f t="shared" si="17"/>
        <v>0</v>
      </c>
      <c r="BI10" s="290"/>
    </row>
    <row r="11" spans="1:64" s="114" customFormat="1">
      <c r="A11" s="110" t="s">
        <v>290</v>
      </c>
      <c r="B11" s="233" t="s">
        <v>154</v>
      </c>
      <c r="C11" s="233" t="s">
        <v>333</v>
      </c>
      <c r="D11" s="233" t="s">
        <v>164</v>
      </c>
      <c r="E11" s="191" t="s">
        <v>355</v>
      </c>
      <c r="F11" s="679" t="s">
        <v>380</v>
      </c>
      <c r="G11" s="233" t="s">
        <v>294</v>
      </c>
      <c r="H11" s="198" t="s">
        <v>381</v>
      </c>
      <c r="I11" s="198" t="s">
        <v>359</v>
      </c>
      <c r="J11" s="233" t="s">
        <v>360</v>
      </c>
      <c r="K11" s="233" t="s">
        <v>336</v>
      </c>
      <c r="L11" s="122">
        <f t="shared" ref="L11" si="38">AP11*1000/AQ11</f>
        <v>75000000</v>
      </c>
      <c r="M11" s="189">
        <v>3.0000000000000001E-3</v>
      </c>
      <c r="N11" s="45">
        <f t="shared" ref="N11" si="39">M11*L11</f>
        <v>225000</v>
      </c>
      <c r="O11" s="193"/>
      <c r="P11" s="45"/>
      <c r="Q11" s="159">
        <f t="shared" ref="Q11" si="40">U11/(L11/1000)</f>
        <v>15</v>
      </c>
      <c r="R11" s="165">
        <f t="shared" ref="R11" si="41">U11/N11</f>
        <v>5</v>
      </c>
      <c r="S11" s="598">
        <f>AQ11</f>
        <v>15</v>
      </c>
      <c r="T11" s="598"/>
      <c r="U11" s="573">
        <f t="shared" ref="U11" si="42">AP11</f>
        <v>1125000</v>
      </c>
      <c r="V11" s="44">
        <f t="shared" si="1"/>
        <v>2.0845362305119026E-2</v>
      </c>
      <c r="W11" s="44">
        <v>0.8</v>
      </c>
      <c r="X11" s="123">
        <f t="shared" ref="X11" si="43">AX11</f>
        <v>62999999.999999993</v>
      </c>
      <c r="Y11" s="45">
        <f>(1-W11)*X11</f>
        <v>12599999.999999996</v>
      </c>
      <c r="Z11" s="111"/>
      <c r="AA11" s="112"/>
      <c r="AB11" s="111"/>
      <c r="AC11" s="111"/>
      <c r="AD11" s="47">
        <f t="shared" ref="AD11" si="44">L11/X11</f>
        <v>1.1904761904761907</v>
      </c>
      <c r="AE11" s="202" t="s">
        <v>7</v>
      </c>
      <c r="AF11" s="202" t="str">
        <f t="shared" ref="AF11" si="45">AE11</f>
        <v>T+1</v>
      </c>
      <c r="AG11" s="374">
        <v>1</v>
      </c>
      <c r="AH11" s="396" t="s">
        <v>382</v>
      </c>
      <c r="AI11" s="133"/>
      <c r="AJ11" s="745">
        <v>300000000</v>
      </c>
      <c r="AK11" s="728">
        <v>4500000</v>
      </c>
      <c r="AL11" s="727">
        <v>300000000</v>
      </c>
      <c r="AM11" s="776">
        <v>0.25</v>
      </c>
      <c r="AN11" s="194">
        <v>0.5</v>
      </c>
      <c r="AO11" s="194">
        <v>0.25</v>
      </c>
      <c r="AP11" s="174">
        <f t="shared" ref="AP11" si="46">AM11*AK11</f>
        <v>1125000</v>
      </c>
      <c r="AQ11" s="178">
        <f t="shared" si="11"/>
        <v>15</v>
      </c>
      <c r="AR11" s="122">
        <v>90000000</v>
      </c>
      <c r="AS11" s="236">
        <f t="shared" ref="AS11" si="47">AR11*AM11</f>
        <v>22500000</v>
      </c>
      <c r="AT11" s="174">
        <f t="shared" ref="AT11" si="48">AK11*AN11</f>
        <v>2250000</v>
      </c>
      <c r="AU11" s="639">
        <f>AO11*AK11</f>
        <v>1125000</v>
      </c>
      <c r="AV11" s="787">
        <f>AU11*1000/AQ11</f>
        <v>75000000</v>
      </c>
      <c r="AW11" s="787">
        <f>AV11*M11</f>
        <v>225000</v>
      </c>
      <c r="AX11" s="114">
        <f>AR11*70%</f>
        <v>62999999.999999993</v>
      </c>
      <c r="AY11" s="133"/>
      <c r="AZ11" s="133">
        <v>1</v>
      </c>
      <c r="BB11" s="114">
        <f>AY11*L11</f>
        <v>0</v>
      </c>
      <c r="BC11" s="114">
        <f t="shared" ref="BC11" si="49">AZ11*L11</f>
        <v>75000000</v>
      </c>
      <c r="BE11" s="291">
        <f t="shared" ref="BE11" si="50">AY11*N11</f>
        <v>0</v>
      </c>
      <c r="BF11" s="290">
        <f t="shared" ref="BF11" si="51">AZ11*N11</f>
        <v>225000</v>
      </c>
      <c r="BH11" s="291">
        <f t="shared" si="17"/>
        <v>0</v>
      </c>
      <c r="BI11" s="290"/>
    </row>
    <row r="12" spans="1:64" s="114" customFormat="1">
      <c r="A12" s="110" t="s">
        <v>383</v>
      </c>
      <c r="B12" s="191" t="s">
        <v>154</v>
      </c>
      <c r="C12" s="191" t="s">
        <v>333</v>
      </c>
      <c r="D12" s="191" t="s">
        <v>164</v>
      </c>
      <c r="E12" s="191" t="s">
        <v>355</v>
      </c>
      <c r="F12" s="679" t="s">
        <v>384</v>
      </c>
      <c r="G12" s="191" t="s">
        <v>294</v>
      </c>
      <c r="H12" s="186" t="s">
        <v>359</v>
      </c>
      <c r="I12" s="186" t="s">
        <v>385</v>
      </c>
      <c r="J12" s="191" t="s">
        <v>360</v>
      </c>
      <c r="K12" s="191" t="s">
        <v>336</v>
      </c>
      <c r="L12" s="123">
        <f t="shared" si="0"/>
        <v>22500000</v>
      </c>
      <c r="M12" s="135">
        <v>0.01</v>
      </c>
      <c r="N12" s="45">
        <f t="shared" si="2"/>
        <v>225000</v>
      </c>
      <c r="O12" s="45"/>
      <c r="P12" s="45"/>
      <c r="Q12" s="159">
        <f t="shared" si="3"/>
        <v>45</v>
      </c>
      <c r="R12" s="165">
        <f t="shared" si="4"/>
        <v>4.5</v>
      </c>
      <c r="S12" s="598">
        <f t="shared" si="5"/>
        <v>45</v>
      </c>
      <c r="T12" s="598"/>
      <c r="U12" s="573">
        <f t="shared" si="6"/>
        <v>1012500</v>
      </c>
      <c r="V12" s="44">
        <f t="shared" si="1"/>
        <v>1.8760826074607124E-2</v>
      </c>
      <c r="W12" s="44">
        <v>0.3</v>
      </c>
      <c r="X12" s="123">
        <f t="shared" si="7"/>
        <v>5950000</v>
      </c>
      <c r="Y12" s="45">
        <f t="shared" si="8"/>
        <v>4164999.9999999995</v>
      </c>
      <c r="Z12" s="111"/>
      <c r="AA12" s="112"/>
      <c r="AB12" s="111"/>
      <c r="AC12" s="111"/>
      <c r="AD12" s="47">
        <f t="shared" si="9"/>
        <v>3.7815126050420167</v>
      </c>
      <c r="AE12" s="202" t="s">
        <v>361</v>
      </c>
      <c r="AF12" s="202" t="str">
        <f t="shared" si="37"/>
        <v>T</v>
      </c>
      <c r="AG12" s="374">
        <v>1</v>
      </c>
      <c r="AH12" s="396" t="s">
        <v>386</v>
      </c>
      <c r="AI12" s="133"/>
      <c r="AJ12" s="742">
        <f>22500000*2</f>
        <v>45000000</v>
      </c>
      <c r="AK12" s="174">
        <v>2025000</v>
      </c>
      <c r="AL12" s="726">
        <f>L12*2</f>
        <v>45000000</v>
      </c>
      <c r="AM12" s="194">
        <v>0.5</v>
      </c>
      <c r="AN12" s="194">
        <v>0.5</v>
      </c>
      <c r="AO12" s="194"/>
      <c r="AP12" s="174">
        <f t="shared" si="10"/>
        <v>1012500</v>
      </c>
      <c r="AQ12" s="178">
        <f t="shared" si="11"/>
        <v>45</v>
      </c>
      <c r="AR12" s="185">
        <v>8500000</v>
      </c>
      <c r="AS12" s="229">
        <f t="shared" si="19"/>
        <v>4250000</v>
      </c>
      <c r="AT12" s="174">
        <f t="shared" si="12"/>
        <v>1012500</v>
      </c>
      <c r="AU12" s="639"/>
      <c r="AV12" s="787"/>
      <c r="AW12" s="787"/>
      <c r="AX12" s="114">
        <f t="shared" ref="AX12:AX19" si="52">AR12*70%</f>
        <v>5950000</v>
      </c>
      <c r="AY12" s="133">
        <v>1</v>
      </c>
      <c r="AZ12" s="133"/>
      <c r="BB12" s="114">
        <f t="shared" si="13"/>
        <v>22500000</v>
      </c>
      <c r="BC12" s="114">
        <f t="shared" si="14"/>
        <v>0</v>
      </c>
      <c r="BE12" s="291">
        <f t="shared" si="15"/>
        <v>225000</v>
      </c>
      <c r="BF12" s="290">
        <f t="shared" si="16"/>
        <v>0</v>
      </c>
      <c r="BH12" s="291">
        <f t="shared" si="17"/>
        <v>0</v>
      </c>
      <c r="BI12" s="290"/>
    </row>
    <row r="13" spans="1:64" s="427" customFormat="1">
      <c r="A13" s="475" t="s">
        <v>290</v>
      </c>
      <c r="B13" s="191" t="s">
        <v>154</v>
      </c>
      <c r="C13" s="191" t="s">
        <v>333</v>
      </c>
      <c r="D13" s="191" t="s">
        <v>164</v>
      </c>
      <c r="E13" s="191" t="s">
        <v>355</v>
      </c>
      <c r="F13" s="679" t="s">
        <v>387</v>
      </c>
      <c r="G13" s="191" t="s">
        <v>294</v>
      </c>
      <c r="H13" s="183" t="s">
        <v>388</v>
      </c>
      <c r="I13" s="183" t="s">
        <v>359</v>
      </c>
      <c r="J13" s="191" t="s">
        <v>360</v>
      </c>
      <c r="K13" s="191" t="s">
        <v>336</v>
      </c>
      <c r="L13" s="123">
        <f>AP13*1000/AQ13</f>
        <v>7500000</v>
      </c>
      <c r="M13" s="135">
        <v>0.01</v>
      </c>
      <c r="N13" s="185">
        <f t="shared" si="2"/>
        <v>75000</v>
      </c>
      <c r="O13" s="185"/>
      <c r="P13" s="185"/>
      <c r="Q13" s="421">
        <f>U13/(L13/1000)</f>
        <v>31.666666666666668</v>
      </c>
      <c r="R13" s="422">
        <f t="shared" si="4"/>
        <v>3.1666666666666665</v>
      </c>
      <c r="S13" s="635">
        <f>Q13</f>
        <v>31.666666666666668</v>
      </c>
      <c r="T13" s="635"/>
      <c r="U13" s="576">
        <f t="shared" si="6"/>
        <v>237500</v>
      </c>
      <c r="V13" s="420">
        <f t="shared" si="1"/>
        <v>4.4006875977473502E-3</v>
      </c>
      <c r="W13" s="44">
        <v>0.4</v>
      </c>
      <c r="X13" s="123">
        <f t="shared" si="7"/>
        <v>1750000</v>
      </c>
      <c r="Y13" s="185">
        <f t="shared" si="8"/>
        <v>1050000</v>
      </c>
      <c r="Z13" s="477"/>
      <c r="AA13" s="478"/>
      <c r="AB13" s="477"/>
      <c r="AC13" s="477"/>
      <c r="AD13" s="424">
        <f t="shared" si="9"/>
        <v>4.2857142857142856</v>
      </c>
      <c r="AE13" s="425" t="s">
        <v>7</v>
      </c>
      <c r="AF13" s="425" t="s">
        <v>7</v>
      </c>
      <c r="AG13" s="374">
        <v>1</v>
      </c>
      <c r="AH13" s="480" t="s">
        <v>389</v>
      </c>
      <c r="AI13" s="426"/>
      <c r="AJ13" s="744">
        <v>14999999.999999998</v>
      </c>
      <c r="AK13" s="174">
        <v>475000</v>
      </c>
      <c r="AL13" s="481"/>
      <c r="AM13" s="482">
        <v>0.5</v>
      </c>
      <c r="AN13" s="482">
        <v>0.5</v>
      </c>
      <c r="AO13" s="482"/>
      <c r="AP13" s="174">
        <f t="shared" si="10"/>
        <v>237500</v>
      </c>
      <c r="AQ13" s="178">
        <f t="shared" si="11"/>
        <v>31.666666666666668</v>
      </c>
      <c r="AR13" s="123">
        <v>2500000</v>
      </c>
      <c r="AS13" s="483">
        <f t="shared" si="19"/>
        <v>1250000</v>
      </c>
      <c r="AT13" s="174">
        <f t="shared" si="12"/>
        <v>237500</v>
      </c>
      <c r="AU13" s="639"/>
      <c r="AV13" s="787"/>
      <c r="AW13" s="787"/>
      <c r="AX13" s="427">
        <f t="shared" si="52"/>
        <v>1750000</v>
      </c>
      <c r="AY13" s="426"/>
      <c r="AZ13" s="426">
        <v>1</v>
      </c>
      <c r="BB13" s="427">
        <f t="shared" si="13"/>
        <v>0</v>
      </c>
      <c r="BC13" s="427">
        <f t="shared" si="14"/>
        <v>7500000</v>
      </c>
      <c r="BE13" s="484">
        <f t="shared" si="15"/>
        <v>0</v>
      </c>
      <c r="BF13" s="485">
        <f t="shared" si="16"/>
        <v>75000</v>
      </c>
      <c r="BH13" s="291">
        <f t="shared" si="17"/>
        <v>0</v>
      </c>
      <c r="BI13" s="485"/>
    </row>
    <row r="14" spans="1:64" s="114" customFormat="1">
      <c r="A14" s="110" t="s">
        <v>383</v>
      </c>
      <c r="B14" s="191" t="s">
        <v>154</v>
      </c>
      <c r="C14" s="191" t="s">
        <v>333</v>
      </c>
      <c r="D14" s="191" t="s">
        <v>164</v>
      </c>
      <c r="E14" s="191" t="s">
        <v>390</v>
      </c>
      <c r="F14" s="680" t="s">
        <v>391</v>
      </c>
      <c r="G14" s="191" t="s">
        <v>294</v>
      </c>
      <c r="H14" s="183" t="s">
        <v>392</v>
      </c>
      <c r="I14" s="183" t="s">
        <v>359</v>
      </c>
      <c r="J14" s="191" t="s">
        <v>360</v>
      </c>
      <c r="K14" s="191" t="s">
        <v>336</v>
      </c>
      <c r="L14" s="123">
        <f t="shared" si="0"/>
        <v>10900000</v>
      </c>
      <c r="M14" s="135">
        <v>5.0000000000000001E-3</v>
      </c>
      <c r="N14" s="45">
        <f t="shared" si="2"/>
        <v>54500</v>
      </c>
      <c r="O14" s="45"/>
      <c r="P14" s="45"/>
      <c r="Q14" s="159">
        <f t="shared" si="3"/>
        <v>105.50458715596331</v>
      </c>
      <c r="R14" s="165">
        <f t="shared" si="4"/>
        <v>21.100917431192659</v>
      </c>
      <c r="S14" s="598">
        <f t="shared" si="5"/>
        <v>105.50458715596331</v>
      </c>
      <c r="T14" s="598"/>
      <c r="U14" s="573">
        <f t="shared" si="6"/>
        <v>1150000</v>
      </c>
      <c r="V14" s="44">
        <f t="shared" si="1"/>
        <v>2.1308592578566116E-2</v>
      </c>
      <c r="W14" s="44">
        <v>0.4</v>
      </c>
      <c r="X14" s="123">
        <f t="shared" si="7"/>
        <v>9100000</v>
      </c>
      <c r="Y14" s="45">
        <f t="shared" si="8"/>
        <v>5460000</v>
      </c>
      <c r="Z14" s="111"/>
      <c r="AA14" s="112"/>
      <c r="AB14" s="111"/>
      <c r="AC14" s="111"/>
      <c r="AD14" s="47">
        <f t="shared" si="9"/>
        <v>1.1978021978021978</v>
      </c>
      <c r="AE14" s="202" t="s">
        <v>361</v>
      </c>
      <c r="AF14" s="202" t="str">
        <f t="shared" si="37"/>
        <v>T</v>
      </c>
      <c r="AG14" s="374">
        <v>1</v>
      </c>
      <c r="AH14" s="396" t="s">
        <v>393</v>
      </c>
      <c r="AI14" s="133"/>
      <c r="AJ14" s="746">
        <f>10900000*2</f>
        <v>21800000</v>
      </c>
      <c r="AK14" s="174">
        <v>2300000</v>
      </c>
      <c r="AL14" s="726">
        <f>L14*2</f>
        <v>21800000</v>
      </c>
      <c r="AM14" s="194">
        <v>0.5</v>
      </c>
      <c r="AN14" s="194">
        <v>0.5</v>
      </c>
      <c r="AO14" s="194"/>
      <c r="AP14" s="174">
        <f t="shared" si="10"/>
        <v>1150000</v>
      </c>
      <c r="AQ14" s="178">
        <f t="shared" si="11"/>
        <v>105.50458715596331</v>
      </c>
      <c r="AR14" s="123">
        <v>13000000</v>
      </c>
      <c r="AS14" s="229">
        <f t="shared" si="19"/>
        <v>6500000</v>
      </c>
      <c r="AT14" s="174">
        <f t="shared" si="12"/>
        <v>1150000</v>
      </c>
      <c r="AU14" s="639"/>
      <c r="AV14" s="787"/>
      <c r="AW14" s="787"/>
      <c r="AX14" s="114">
        <f t="shared" si="52"/>
        <v>9100000</v>
      </c>
      <c r="AY14" s="133">
        <v>1</v>
      </c>
      <c r="AZ14" s="133"/>
      <c r="BB14" s="114">
        <f t="shared" si="13"/>
        <v>10900000</v>
      </c>
      <c r="BC14" s="114">
        <f t="shared" si="14"/>
        <v>0</v>
      </c>
      <c r="BE14" s="291">
        <f t="shared" si="15"/>
        <v>54500</v>
      </c>
      <c r="BF14" s="290">
        <f t="shared" si="16"/>
        <v>0</v>
      </c>
      <c r="BH14" s="291">
        <f t="shared" si="17"/>
        <v>0</v>
      </c>
      <c r="BI14" s="290"/>
    </row>
    <row r="15" spans="1:64" s="114" customFormat="1">
      <c r="A15" s="110" t="s">
        <v>354</v>
      </c>
      <c r="B15" s="233" t="s">
        <v>154</v>
      </c>
      <c r="C15" s="233" t="s">
        <v>333</v>
      </c>
      <c r="D15" s="233" t="s">
        <v>164</v>
      </c>
      <c r="E15" s="191" t="s">
        <v>355</v>
      </c>
      <c r="F15" s="679" t="s">
        <v>394</v>
      </c>
      <c r="G15" s="233" t="s">
        <v>357</v>
      </c>
      <c r="H15" s="197" t="s">
        <v>395</v>
      </c>
      <c r="I15" s="188" t="s">
        <v>359</v>
      </c>
      <c r="J15" s="233" t="s">
        <v>360</v>
      </c>
      <c r="K15" s="233" t="s">
        <v>336</v>
      </c>
      <c r="L15" s="122">
        <f t="shared" si="0"/>
        <v>56000000</v>
      </c>
      <c r="M15" s="189">
        <v>3.5000000000000001E-3</v>
      </c>
      <c r="N15" s="45">
        <f t="shared" si="2"/>
        <v>196000</v>
      </c>
      <c r="O15" s="45"/>
      <c r="P15" s="45"/>
      <c r="Q15" s="159">
        <f t="shared" si="3"/>
        <v>53.571428571428569</v>
      </c>
      <c r="R15" s="165">
        <f t="shared" si="4"/>
        <v>15.306122448979592</v>
      </c>
      <c r="S15" s="598">
        <f t="shared" si="5"/>
        <v>53.571428571428569</v>
      </c>
      <c r="T15" s="598"/>
      <c r="U15" s="573">
        <f t="shared" si="6"/>
        <v>3000000</v>
      </c>
      <c r="V15" s="44">
        <f t="shared" si="1"/>
        <v>5.5587632813650735E-2</v>
      </c>
      <c r="W15" s="44">
        <v>0.4</v>
      </c>
      <c r="X15" s="123">
        <f t="shared" si="7"/>
        <v>9800000</v>
      </c>
      <c r="Y15" s="45">
        <f t="shared" si="8"/>
        <v>5880000</v>
      </c>
      <c r="Z15" s="111"/>
      <c r="AA15" s="112"/>
      <c r="AB15" s="111"/>
      <c r="AC15" s="111"/>
      <c r="AD15" s="47">
        <f t="shared" si="9"/>
        <v>5.7142857142857144</v>
      </c>
      <c r="AE15" s="202" t="s">
        <v>361</v>
      </c>
      <c r="AF15" s="202" t="str">
        <f t="shared" si="37"/>
        <v>T</v>
      </c>
      <c r="AG15" s="374">
        <v>1</v>
      </c>
      <c r="AH15" s="396" t="s">
        <v>396</v>
      </c>
      <c r="AI15" s="133"/>
      <c r="AJ15" s="745">
        <f>56000000*2</f>
        <v>112000000</v>
      </c>
      <c r="AK15" s="234">
        <v>6000000</v>
      </c>
      <c r="AL15" s="726">
        <f>L15*2</f>
        <v>112000000</v>
      </c>
      <c r="AM15" s="190">
        <v>0.5</v>
      </c>
      <c r="AN15" s="190">
        <v>0.5</v>
      </c>
      <c r="AO15" s="190"/>
      <c r="AP15" s="174">
        <f t="shared" si="10"/>
        <v>3000000</v>
      </c>
      <c r="AQ15" s="178">
        <f t="shared" si="11"/>
        <v>53.571428571428569</v>
      </c>
      <c r="AR15" s="187">
        <v>14000000</v>
      </c>
      <c r="AS15" s="236">
        <f t="shared" si="19"/>
        <v>7000000</v>
      </c>
      <c r="AT15" s="174">
        <f t="shared" si="12"/>
        <v>3000000</v>
      </c>
      <c r="AU15" s="639">
        <f>AO15*AK15</f>
        <v>0</v>
      </c>
      <c r="AV15" s="787">
        <f>AU15*1000/AQ15</f>
        <v>0</v>
      </c>
      <c r="AW15" s="787">
        <f>AV15*M15</f>
        <v>0</v>
      </c>
      <c r="AX15" s="114">
        <f t="shared" si="52"/>
        <v>9800000</v>
      </c>
      <c r="AY15" s="133">
        <v>1</v>
      </c>
      <c r="AZ15" s="133"/>
      <c r="BB15" s="114">
        <f t="shared" si="13"/>
        <v>56000000</v>
      </c>
      <c r="BC15" s="114">
        <f t="shared" si="14"/>
        <v>0</v>
      </c>
      <c r="BE15" s="291">
        <f t="shared" si="15"/>
        <v>196000</v>
      </c>
      <c r="BF15" s="290">
        <f t="shared" si="16"/>
        <v>0</v>
      </c>
      <c r="BH15" s="291">
        <f t="shared" si="17"/>
        <v>0</v>
      </c>
      <c r="BI15" s="290"/>
    </row>
    <row r="16" spans="1:64" s="114" customFormat="1">
      <c r="A16" s="110" t="s">
        <v>290</v>
      </c>
      <c r="B16" s="233" t="s">
        <v>154</v>
      </c>
      <c r="C16" s="233" t="s">
        <v>333</v>
      </c>
      <c r="D16" s="233" t="s">
        <v>164</v>
      </c>
      <c r="E16" s="233" t="s">
        <v>390</v>
      </c>
      <c r="F16" s="679" t="s">
        <v>180</v>
      </c>
      <c r="G16" s="233" t="s">
        <v>294</v>
      </c>
      <c r="H16" s="198" t="s">
        <v>397</v>
      </c>
      <c r="I16" s="198" t="s">
        <v>359</v>
      </c>
      <c r="J16" s="233" t="s">
        <v>360</v>
      </c>
      <c r="K16" s="233" t="s">
        <v>336</v>
      </c>
      <c r="L16" s="122">
        <f t="shared" si="0"/>
        <v>1000000000</v>
      </c>
      <c r="M16" s="189">
        <v>1.0999999999999999E-2</v>
      </c>
      <c r="N16" s="45">
        <f t="shared" si="2"/>
        <v>11000000</v>
      </c>
      <c r="O16" s="193"/>
      <c r="P16" s="45"/>
      <c r="Q16" s="159">
        <f t="shared" si="3"/>
        <v>14.5</v>
      </c>
      <c r="R16" s="165">
        <f t="shared" si="4"/>
        <v>1.3181818181818181</v>
      </c>
      <c r="S16" s="598">
        <f t="shared" si="5"/>
        <v>14.5</v>
      </c>
      <c r="T16" s="598"/>
      <c r="U16" s="573">
        <f t="shared" si="6"/>
        <v>14500000</v>
      </c>
      <c r="V16" s="44">
        <f t="shared" si="1"/>
        <v>0.26867355859931186</v>
      </c>
      <c r="W16" s="44">
        <v>0</v>
      </c>
      <c r="X16" s="123">
        <f t="shared" si="7"/>
        <v>70000000</v>
      </c>
      <c r="Y16" s="45">
        <f t="shared" si="8"/>
        <v>70000000</v>
      </c>
      <c r="Z16" s="111"/>
      <c r="AA16" s="112"/>
      <c r="AB16" s="111"/>
      <c r="AC16" s="111"/>
      <c r="AD16" s="47">
        <f t="shared" si="9"/>
        <v>14.285714285714286</v>
      </c>
      <c r="AE16" s="202" t="s">
        <v>361</v>
      </c>
      <c r="AF16" s="202" t="str">
        <f t="shared" si="37"/>
        <v>T</v>
      </c>
      <c r="AG16" s="374">
        <v>1</v>
      </c>
      <c r="AH16" s="396" t="s">
        <v>398</v>
      </c>
      <c r="AI16" s="133"/>
      <c r="AJ16" s="742">
        <f>1000000000*2</f>
        <v>2000000000</v>
      </c>
      <c r="AK16" s="234">
        <v>29000000</v>
      </c>
      <c r="AL16" s="726">
        <f>L16*2</f>
        <v>2000000000</v>
      </c>
      <c r="AM16" s="190">
        <v>0.5</v>
      </c>
      <c r="AN16" s="194">
        <v>0.5</v>
      </c>
      <c r="AO16" s="194"/>
      <c r="AP16" s="174">
        <f t="shared" si="10"/>
        <v>14500000</v>
      </c>
      <c r="AQ16" s="178">
        <f t="shared" si="11"/>
        <v>14.5</v>
      </c>
      <c r="AR16" s="122">
        <v>100000000</v>
      </c>
      <c r="AS16" s="236">
        <f>AR16*AM16</f>
        <v>50000000</v>
      </c>
      <c r="AT16" s="174">
        <f t="shared" si="12"/>
        <v>14500000</v>
      </c>
      <c r="AU16" s="639"/>
      <c r="AV16" s="787"/>
      <c r="AW16" s="787"/>
      <c r="AX16" s="114">
        <f t="shared" si="52"/>
        <v>70000000</v>
      </c>
      <c r="AY16" s="133">
        <v>1</v>
      </c>
      <c r="AZ16" s="133"/>
      <c r="BB16" s="114">
        <f t="shared" si="13"/>
        <v>1000000000</v>
      </c>
      <c r="BC16" s="114">
        <f t="shared" si="14"/>
        <v>0</v>
      </c>
      <c r="BE16" s="291">
        <f t="shared" si="15"/>
        <v>11000000</v>
      </c>
      <c r="BF16" s="290">
        <f t="shared" si="16"/>
        <v>0</v>
      </c>
      <c r="BH16" s="291">
        <f t="shared" si="17"/>
        <v>0</v>
      </c>
      <c r="BI16" s="290"/>
    </row>
    <row r="17" spans="1:63" s="114" customFormat="1">
      <c r="A17" s="110" t="s">
        <v>399</v>
      </c>
      <c r="B17" s="191" t="s">
        <v>154</v>
      </c>
      <c r="C17" s="191" t="s">
        <v>333</v>
      </c>
      <c r="D17" s="191" t="s">
        <v>164</v>
      </c>
      <c r="E17" s="191" t="s">
        <v>355</v>
      </c>
      <c r="F17" s="153" t="s">
        <v>209</v>
      </c>
      <c r="G17" s="191" t="s">
        <v>294</v>
      </c>
      <c r="H17" s="196" t="s">
        <v>378</v>
      </c>
      <c r="I17" s="183" t="s">
        <v>359</v>
      </c>
      <c r="J17" s="191" t="s">
        <v>360</v>
      </c>
      <c r="K17" s="191" t="s">
        <v>336</v>
      </c>
      <c r="L17" s="123">
        <f t="shared" si="0"/>
        <v>17500000</v>
      </c>
      <c r="M17" s="135">
        <v>0.03</v>
      </c>
      <c r="N17" s="45">
        <f t="shared" si="2"/>
        <v>525000</v>
      </c>
      <c r="O17" s="45"/>
      <c r="P17" s="45"/>
      <c r="Q17" s="159">
        <v>78.571428571428569</v>
      </c>
      <c r="R17" s="165">
        <f t="shared" si="4"/>
        <v>1.2380952380952381</v>
      </c>
      <c r="S17" s="598">
        <f t="shared" si="5"/>
        <v>78.571428571428569</v>
      </c>
      <c r="T17" s="598"/>
      <c r="U17" s="573">
        <f t="shared" si="6"/>
        <v>650000</v>
      </c>
      <c r="V17" s="44">
        <f t="shared" si="1"/>
        <v>1.2043987109624326E-2</v>
      </c>
      <c r="W17" s="44">
        <v>0.4</v>
      </c>
      <c r="X17" s="123">
        <f t="shared" si="7"/>
        <v>4000000</v>
      </c>
      <c r="Y17" s="45">
        <f t="shared" si="8"/>
        <v>2400000</v>
      </c>
      <c r="Z17" s="111"/>
      <c r="AA17" s="112"/>
      <c r="AB17" s="111"/>
      <c r="AC17" s="111"/>
      <c r="AD17" s="47">
        <f t="shared" si="9"/>
        <v>4.375</v>
      </c>
      <c r="AE17" s="202" t="s">
        <v>361</v>
      </c>
      <c r="AF17" s="202" t="str">
        <f t="shared" ref="AF17" si="53">AE17</f>
        <v>T</v>
      </c>
      <c r="AG17" s="374">
        <v>1</v>
      </c>
      <c r="AH17" s="396" t="s">
        <v>379</v>
      </c>
      <c r="AI17" s="133"/>
      <c r="AJ17" s="742">
        <v>35000000</v>
      </c>
      <c r="AK17" s="174">
        <v>1300000</v>
      </c>
      <c r="AL17" s="134"/>
      <c r="AM17" s="194">
        <v>0.5</v>
      </c>
      <c r="AN17" s="194">
        <v>0</v>
      </c>
      <c r="AO17" s="194">
        <v>0.5</v>
      </c>
      <c r="AP17" s="174">
        <f t="shared" si="10"/>
        <v>650000</v>
      </c>
      <c r="AQ17" s="178">
        <f t="shared" si="11"/>
        <v>37.142857142857146</v>
      </c>
      <c r="AR17" s="123">
        <v>4000000</v>
      </c>
      <c r="AS17" s="229">
        <f t="shared" si="19"/>
        <v>2000000</v>
      </c>
      <c r="AT17" s="174">
        <f t="shared" si="12"/>
        <v>0</v>
      </c>
      <c r="AU17" s="639">
        <f>AO17*AK17</f>
        <v>650000</v>
      </c>
      <c r="AV17" s="787">
        <f>AU17*1000/AQ17</f>
        <v>17500000</v>
      </c>
      <c r="AW17" s="787">
        <f>AV17*M17</f>
        <v>525000</v>
      </c>
      <c r="AX17" s="114">
        <f>AR17*100%</f>
        <v>4000000</v>
      </c>
      <c r="AY17" s="133">
        <v>1</v>
      </c>
      <c r="AZ17" s="133"/>
      <c r="BB17" s="114">
        <f t="shared" si="13"/>
        <v>17500000</v>
      </c>
      <c r="BC17" s="114">
        <f t="shared" si="14"/>
        <v>0</v>
      </c>
      <c r="BE17" s="291">
        <f t="shared" si="15"/>
        <v>525000</v>
      </c>
      <c r="BF17" s="290">
        <f t="shared" si="16"/>
        <v>0</v>
      </c>
      <c r="BH17" s="291">
        <f t="shared" si="17"/>
        <v>0</v>
      </c>
      <c r="BI17" s="290"/>
    </row>
    <row r="18" spans="1:63" s="114" customFormat="1">
      <c r="A18" s="110" t="s">
        <v>354</v>
      </c>
      <c r="B18" s="233" t="s">
        <v>154</v>
      </c>
      <c r="C18" s="233" t="s">
        <v>333</v>
      </c>
      <c r="D18" s="233" t="s">
        <v>164</v>
      </c>
      <c r="E18" s="191" t="s">
        <v>355</v>
      </c>
      <c r="F18" s="679" t="s">
        <v>400</v>
      </c>
      <c r="G18" s="233" t="s">
        <v>357</v>
      </c>
      <c r="H18" s="198" t="s">
        <v>401</v>
      </c>
      <c r="I18" s="198" t="s">
        <v>359</v>
      </c>
      <c r="J18" s="191" t="s">
        <v>360</v>
      </c>
      <c r="K18" s="233" t="s">
        <v>336</v>
      </c>
      <c r="L18" s="122">
        <f t="shared" si="0"/>
        <v>19501208.525598802</v>
      </c>
      <c r="M18" s="189">
        <v>3.5000000000000001E-3</v>
      </c>
      <c r="N18" s="45">
        <f t="shared" si="2"/>
        <v>68254.229839595806</v>
      </c>
      <c r="O18" s="45"/>
      <c r="P18" s="45"/>
      <c r="Q18" s="159">
        <f t="shared" si="3"/>
        <v>45.509999999999927</v>
      </c>
      <c r="R18" s="165">
        <f t="shared" si="4"/>
        <v>13.002857142857122</v>
      </c>
      <c r="S18" s="598">
        <f t="shared" si="5"/>
        <v>45.509999999999927</v>
      </c>
      <c r="T18" s="598"/>
      <c r="U18" s="573">
        <f t="shared" si="6"/>
        <v>887500</v>
      </c>
      <c r="V18" s="44">
        <f t="shared" si="1"/>
        <v>1.6444674707371675E-2</v>
      </c>
      <c r="W18" s="44">
        <v>0.4</v>
      </c>
      <c r="X18" s="123">
        <f t="shared" si="7"/>
        <v>8189999.9999999991</v>
      </c>
      <c r="Y18" s="45">
        <f t="shared" si="8"/>
        <v>4913999.9999999991</v>
      </c>
      <c r="Z18" s="111"/>
      <c r="AA18" s="112"/>
      <c r="AB18" s="111"/>
      <c r="AC18" s="111"/>
      <c r="AD18" s="47">
        <f t="shared" si="9"/>
        <v>2.3810999420755561</v>
      </c>
      <c r="AE18" s="202" t="s">
        <v>361</v>
      </c>
      <c r="AF18" s="202" t="str">
        <f t="shared" si="37"/>
        <v>T</v>
      </c>
      <c r="AG18" s="374">
        <v>1</v>
      </c>
      <c r="AH18" s="396" t="s">
        <v>402</v>
      </c>
      <c r="AI18" s="133"/>
      <c r="AJ18" s="743">
        <f>19501208.5255988*2</f>
        <v>39002417.051197603</v>
      </c>
      <c r="AK18" s="234">
        <v>1775000</v>
      </c>
      <c r="AL18" s="726">
        <f>L18*2</f>
        <v>39002417.051197603</v>
      </c>
      <c r="AM18" s="190">
        <v>0.5</v>
      </c>
      <c r="AN18" s="194">
        <v>0.5</v>
      </c>
      <c r="AO18" s="194"/>
      <c r="AP18" s="174">
        <f t="shared" si="10"/>
        <v>887500</v>
      </c>
      <c r="AQ18" s="178">
        <f t="shared" si="11"/>
        <v>45.509999999999927</v>
      </c>
      <c r="AR18" s="184">
        <v>11700000</v>
      </c>
      <c r="AS18" s="236">
        <f t="shared" si="19"/>
        <v>5850000</v>
      </c>
      <c r="AT18" s="174">
        <f t="shared" si="12"/>
        <v>887500</v>
      </c>
      <c r="AU18" s="639"/>
      <c r="AV18" s="639"/>
      <c r="AW18" s="639"/>
      <c r="AX18" s="114">
        <f t="shared" si="52"/>
        <v>8189999.9999999991</v>
      </c>
      <c r="AY18" s="133">
        <v>1</v>
      </c>
      <c r="AZ18" s="133"/>
      <c r="BB18" s="114">
        <f t="shared" si="13"/>
        <v>19501208.525598802</v>
      </c>
      <c r="BC18" s="114">
        <f t="shared" si="14"/>
        <v>0</v>
      </c>
      <c r="BE18" s="291">
        <f t="shared" si="15"/>
        <v>68254.229839595806</v>
      </c>
      <c r="BF18" s="114">
        <f t="shared" si="16"/>
        <v>0</v>
      </c>
      <c r="BH18" s="291">
        <f t="shared" si="17"/>
        <v>0</v>
      </c>
    </row>
    <row r="19" spans="1:63" s="114" customFormat="1">
      <c r="A19" s="579" t="s">
        <v>290</v>
      </c>
      <c r="B19" s="233" t="s">
        <v>154</v>
      </c>
      <c r="C19" s="233" t="s">
        <v>333</v>
      </c>
      <c r="D19" s="233" t="s">
        <v>164</v>
      </c>
      <c r="E19" s="191" t="s">
        <v>355</v>
      </c>
      <c r="F19" s="682" t="s">
        <v>403</v>
      </c>
      <c r="G19" s="233" t="s">
        <v>294</v>
      </c>
      <c r="H19" s="580" t="s">
        <v>404</v>
      </c>
      <c r="I19" s="581" t="s">
        <v>359</v>
      </c>
      <c r="J19" s="233" t="s">
        <v>360</v>
      </c>
      <c r="K19" s="233" t="s">
        <v>336</v>
      </c>
      <c r="L19" s="582">
        <f t="shared" si="0"/>
        <v>27500000</v>
      </c>
      <c r="M19" s="583">
        <v>0.02</v>
      </c>
      <c r="N19" s="398">
        <f t="shared" si="2"/>
        <v>550000</v>
      </c>
      <c r="O19" s="398"/>
      <c r="P19" s="398"/>
      <c r="Q19" s="412">
        <f t="shared" si="3"/>
        <v>30.90909090909091</v>
      </c>
      <c r="R19" s="584">
        <f t="shared" si="4"/>
        <v>1.5454545454545454</v>
      </c>
      <c r="S19" s="636">
        <f t="shared" si="5"/>
        <v>30.90909090909091</v>
      </c>
      <c r="T19" s="636"/>
      <c r="U19" s="585">
        <f t="shared" si="6"/>
        <v>850000</v>
      </c>
      <c r="V19" s="586">
        <f t="shared" si="1"/>
        <v>1.5749829297201041E-2</v>
      </c>
      <c r="W19" s="44">
        <v>0.4</v>
      </c>
      <c r="X19" s="582">
        <f t="shared" si="7"/>
        <v>9100000</v>
      </c>
      <c r="Y19" s="398">
        <f t="shared" si="8"/>
        <v>5460000</v>
      </c>
      <c r="Z19" s="587"/>
      <c r="AA19" s="588"/>
      <c r="AB19" s="587"/>
      <c r="AC19" s="587"/>
      <c r="AD19" s="589">
        <f t="shared" si="9"/>
        <v>3.0219780219780219</v>
      </c>
      <c r="AE19" s="590" t="s">
        <v>361</v>
      </c>
      <c r="AF19" s="590" t="str">
        <f t="shared" si="37"/>
        <v>T</v>
      </c>
      <c r="AG19" s="374">
        <v>1</v>
      </c>
      <c r="AH19" s="591" t="s">
        <v>379</v>
      </c>
      <c r="AI19" s="592"/>
      <c r="AJ19" s="750">
        <f>27500000*2</f>
        <v>55000000</v>
      </c>
      <c r="AK19" s="593">
        <v>1700000</v>
      </c>
      <c r="AL19" s="726">
        <f>L19*2</f>
        <v>55000000</v>
      </c>
      <c r="AM19" s="594">
        <v>0.5</v>
      </c>
      <c r="AN19" s="594">
        <v>0.5</v>
      </c>
      <c r="AO19" s="594"/>
      <c r="AP19" s="593">
        <f t="shared" si="10"/>
        <v>850000</v>
      </c>
      <c r="AQ19" s="178">
        <f t="shared" si="11"/>
        <v>30.90909090909091</v>
      </c>
      <c r="AR19" s="595">
        <v>13000000</v>
      </c>
      <c r="AS19" s="236">
        <f t="shared" si="19"/>
        <v>6500000</v>
      </c>
      <c r="AT19" s="593">
        <f t="shared" si="12"/>
        <v>850000</v>
      </c>
      <c r="AU19" s="786"/>
      <c r="AV19" s="786"/>
      <c r="AW19" s="786"/>
      <c r="AX19" s="114">
        <f t="shared" si="52"/>
        <v>9100000</v>
      </c>
      <c r="AY19" s="133">
        <v>1</v>
      </c>
      <c r="AZ19" s="133"/>
      <c r="BB19" s="114">
        <f t="shared" si="13"/>
        <v>27500000</v>
      </c>
      <c r="BC19" s="114">
        <f t="shared" si="14"/>
        <v>0</v>
      </c>
      <c r="BE19" s="291">
        <f t="shared" si="15"/>
        <v>550000</v>
      </c>
      <c r="BF19" s="114">
        <f t="shared" si="16"/>
        <v>0</v>
      </c>
      <c r="BH19" s="291">
        <f t="shared" si="17"/>
        <v>0</v>
      </c>
    </row>
    <row r="20" spans="1:63" s="114" customFormat="1">
      <c r="A20" s="110" t="s">
        <v>61</v>
      </c>
      <c r="B20" s="155" t="s">
        <v>154</v>
      </c>
      <c r="C20" s="155" t="s">
        <v>333</v>
      </c>
      <c r="D20" s="155" t="s">
        <v>128</v>
      </c>
      <c r="E20" s="186" t="s">
        <v>355</v>
      </c>
      <c r="F20" s="153" t="s">
        <v>63</v>
      </c>
      <c r="G20" s="155" t="s">
        <v>357</v>
      </c>
      <c r="H20" s="155" t="s">
        <v>405</v>
      </c>
      <c r="I20" s="198" t="s">
        <v>406</v>
      </c>
      <c r="J20" s="155" t="s">
        <v>360</v>
      </c>
      <c r="K20" s="155" t="s">
        <v>336</v>
      </c>
      <c r="L20" s="122">
        <f t="shared" si="0"/>
        <v>88000000</v>
      </c>
      <c r="M20" s="189">
        <v>3.5000000000000001E-3</v>
      </c>
      <c r="N20" s="45">
        <f t="shared" si="2"/>
        <v>308000</v>
      </c>
      <c r="O20" s="45"/>
      <c r="P20" s="45"/>
      <c r="Q20" s="159">
        <f t="shared" si="3"/>
        <v>50</v>
      </c>
      <c r="R20" s="159">
        <f t="shared" si="4"/>
        <v>14.285714285714286</v>
      </c>
      <c r="S20" s="598">
        <f t="shared" si="5"/>
        <v>50</v>
      </c>
      <c r="T20" s="598"/>
      <c r="U20" s="573">
        <f t="shared" si="6"/>
        <v>4400000</v>
      </c>
      <c r="V20" s="44">
        <f t="shared" si="1"/>
        <v>8.1528528126687747E-2</v>
      </c>
      <c r="W20" s="44">
        <v>0.4</v>
      </c>
      <c r="X20" s="123">
        <f t="shared" si="7"/>
        <v>40000000</v>
      </c>
      <c r="Y20" s="45">
        <f t="shared" si="8"/>
        <v>24000000</v>
      </c>
      <c r="Z20" s="111"/>
      <c r="AA20" s="112"/>
      <c r="AB20" s="113"/>
      <c r="AC20" s="111"/>
      <c r="AD20" s="47">
        <f t="shared" si="9"/>
        <v>2.2000000000000002</v>
      </c>
      <c r="AE20" s="202" t="s">
        <v>7</v>
      </c>
      <c r="AF20" s="202" t="str">
        <f t="shared" si="37"/>
        <v>T+1</v>
      </c>
      <c r="AG20" s="374">
        <v>1</v>
      </c>
      <c r="AH20" s="133"/>
      <c r="AI20" s="133"/>
      <c r="AJ20" s="743">
        <v>88000000</v>
      </c>
      <c r="AK20" s="234">
        <v>4400000</v>
      </c>
      <c r="AL20" s="134"/>
      <c r="AM20" s="190">
        <v>1</v>
      </c>
      <c r="AN20" s="190">
        <v>0</v>
      </c>
      <c r="AO20" s="190"/>
      <c r="AP20" s="174">
        <f t="shared" si="10"/>
        <v>4400000</v>
      </c>
      <c r="AQ20" s="178">
        <f t="shared" si="11"/>
        <v>50</v>
      </c>
      <c r="AR20" s="184">
        <v>40000000</v>
      </c>
      <c r="AS20" s="596">
        <f>AR20*AM20</f>
        <v>40000000</v>
      </c>
      <c r="AT20" s="174">
        <f t="shared" si="12"/>
        <v>0</v>
      </c>
      <c r="AU20" s="639"/>
      <c r="AV20" s="639"/>
      <c r="AW20" s="639"/>
      <c r="AX20" s="114">
        <f>AR20*100%</f>
        <v>40000000</v>
      </c>
      <c r="AY20" s="133"/>
      <c r="AZ20" s="133">
        <v>1</v>
      </c>
      <c r="BB20" s="114">
        <f t="shared" si="13"/>
        <v>0</v>
      </c>
      <c r="BC20" s="114">
        <f t="shared" si="14"/>
        <v>88000000</v>
      </c>
      <c r="BE20" s="291">
        <f t="shared" si="15"/>
        <v>0</v>
      </c>
      <c r="BF20" s="114">
        <f t="shared" si="16"/>
        <v>308000</v>
      </c>
      <c r="BH20" s="291">
        <f t="shared" si="17"/>
        <v>0</v>
      </c>
    </row>
    <row r="21" spans="1:63" s="114" customFormat="1">
      <c r="A21" s="110" t="s">
        <v>407</v>
      </c>
      <c r="B21" s="155" t="s">
        <v>154</v>
      </c>
      <c r="C21" s="155" t="s">
        <v>333</v>
      </c>
      <c r="D21" s="155" t="s">
        <v>164</v>
      </c>
      <c r="E21" s="186" t="s">
        <v>355</v>
      </c>
      <c r="F21" s="775" t="s">
        <v>408</v>
      </c>
      <c r="G21" s="155" t="s">
        <v>357</v>
      </c>
      <c r="H21" s="156" t="s">
        <v>409</v>
      </c>
      <c r="I21" s="198" t="s">
        <v>359</v>
      </c>
      <c r="J21" s="155" t="s">
        <v>360</v>
      </c>
      <c r="K21" s="155" t="s">
        <v>336</v>
      </c>
      <c r="L21" s="122">
        <f>AP21*1000/AQ21</f>
        <v>100000000</v>
      </c>
      <c r="M21" s="189">
        <v>3.0000000000000001E-3</v>
      </c>
      <c r="N21" s="45">
        <f t="shared" si="2"/>
        <v>300000</v>
      </c>
      <c r="O21" s="45"/>
      <c r="P21" s="45"/>
      <c r="Q21" s="159">
        <f t="shared" si="3"/>
        <v>16</v>
      </c>
      <c r="R21" s="159">
        <f t="shared" si="4"/>
        <v>5.333333333333333</v>
      </c>
      <c r="S21" s="598">
        <f t="shared" si="5"/>
        <v>16</v>
      </c>
      <c r="T21" s="598"/>
      <c r="U21" s="573">
        <f>AP21</f>
        <v>1600000</v>
      </c>
      <c r="V21" s="44">
        <f t="shared" si="1"/>
        <v>2.9646737500613723E-2</v>
      </c>
      <c r="W21" s="44">
        <v>0.4</v>
      </c>
      <c r="X21" s="123">
        <f t="shared" si="7"/>
        <v>9000000</v>
      </c>
      <c r="Y21" s="45">
        <f t="shared" si="8"/>
        <v>5400000</v>
      </c>
      <c r="Z21" s="111"/>
      <c r="AA21" s="112"/>
      <c r="AB21" s="113"/>
      <c r="AC21" s="111"/>
      <c r="AD21" s="47">
        <f t="shared" si="9"/>
        <v>11.111111111111111</v>
      </c>
      <c r="AE21" s="202" t="s">
        <v>7</v>
      </c>
      <c r="AF21" s="202" t="str">
        <f t="shared" si="37"/>
        <v>T+1</v>
      </c>
      <c r="AG21" s="374">
        <v>1</v>
      </c>
      <c r="AH21" s="133"/>
      <c r="AI21" s="133"/>
      <c r="AJ21" s="743">
        <v>100000000</v>
      </c>
      <c r="AK21" s="234">
        <v>1600000</v>
      </c>
      <c r="AL21" s="134"/>
      <c r="AM21" s="190">
        <v>1</v>
      </c>
      <c r="AN21" s="190">
        <v>0</v>
      </c>
      <c r="AO21" s="190"/>
      <c r="AP21" s="174">
        <f>AM21*AK21</f>
        <v>1600000</v>
      </c>
      <c r="AQ21" s="178">
        <f t="shared" si="11"/>
        <v>16</v>
      </c>
      <c r="AR21" s="184">
        <v>9000000</v>
      </c>
      <c r="AS21" s="596">
        <f>AR21*AM21</f>
        <v>9000000</v>
      </c>
      <c r="AT21" s="174">
        <f t="shared" si="12"/>
        <v>0</v>
      </c>
      <c r="AU21" s="639"/>
      <c r="AV21" s="639"/>
      <c r="AW21" s="639"/>
      <c r="AX21" s="114">
        <f>AR21*100%</f>
        <v>9000000</v>
      </c>
      <c r="AY21" s="133"/>
      <c r="AZ21" s="133">
        <v>1</v>
      </c>
      <c r="BB21" s="114">
        <f t="shared" si="13"/>
        <v>0</v>
      </c>
      <c r="BC21" s="114">
        <f t="shared" si="14"/>
        <v>100000000</v>
      </c>
      <c r="BE21" s="291">
        <f t="shared" si="15"/>
        <v>0</v>
      </c>
      <c r="BF21" s="114">
        <f t="shared" si="16"/>
        <v>300000</v>
      </c>
      <c r="BH21" s="291">
        <f t="shared" si="17"/>
        <v>0</v>
      </c>
    </row>
    <row r="22" spans="1:63" s="114" customFormat="1">
      <c r="A22" s="110" t="s">
        <v>204</v>
      </c>
      <c r="B22" s="191" t="s">
        <v>154</v>
      </c>
      <c r="C22" s="191" t="s">
        <v>333</v>
      </c>
      <c r="D22" s="191" t="s">
        <v>164</v>
      </c>
      <c r="E22" s="191" t="s">
        <v>355</v>
      </c>
      <c r="F22" s="413" t="s">
        <v>410</v>
      </c>
      <c r="G22" s="191" t="s">
        <v>294</v>
      </c>
      <c r="H22" s="183" t="s">
        <v>411</v>
      </c>
      <c r="I22" s="183" t="s">
        <v>366</v>
      </c>
      <c r="J22" s="191" t="s">
        <v>360</v>
      </c>
      <c r="K22" s="191" t="s">
        <v>336</v>
      </c>
      <c r="L22" s="123">
        <f t="shared" ref="L22" si="54">AP22*1000/AQ22</f>
        <v>90000000.0009</v>
      </c>
      <c r="M22" s="135">
        <v>3.0000000000000001E-3</v>
      </c>
      <c r="N22" s="45">
        <f t="shared" ref="N22:N23" si="55">M22*L22</f>
        <v>270000.00000270002</v>
      </c>
      <c r="O22" s="45"/>
      <c r="P22" s="45"/>
      <c r="Q22" s="159">
        <f t="shared" ref="Q22:Q23" si="56">U22/(L22/1000)</f>
        <v>33.333333332999999</v>
      </c>
      <c r="R22" s="165">
        <f t="shared" ref="R22:R23" si="57">U22/N22</f>
        <v>11.111111111</v>
      </c>
      <c r="S22" s="598">
        <f t="shared" ref="S22" si="58">Q22</f>
        <v>33.333333332999999</v>
      </c>
      <c r="T22" s="598"/>
      <c r="U22" s="573">
        <f t="shared" ref="U22" si="59">AP22</f>
        <v>3000000</v>
      </c>
      <c r="V22" s="44">
        <f t="shared" si="1"/>
        <v>5.5587632813650735E-2</v>
      </c>
      <c r="W22" s="44">
        <v>0.4</v>
      </c>
      <c r="X22" s="123">
        <f t="shared" ref="X22" si="60">AX22</f>
        <v>14000000</v>
      </c>
      <c r="Y22" s="45">
        <f t="shared" ref="Y22:Y23" si="61">(1-W22)*X22</f>
        <v>8400000</v>
      </c>
      <c r="Z22" s="111"/>
      <c r="AA22" s="112"/>
      <c r="AB22" s="111"/>
      <c r="AC22" s="111"/>
      <c r="AD22" s="47">
        <f t="shared" ref="AD22" si="62">L22/X22</f>
        <v>6.4285714286357143</v>
      </c>
      <c r="AE22" s="202" t="s">
        <v>361</v>
      </c>
      <c r="AF22" s="202" t="str">
        <f t="shared" si="37"/>
        <v>T</v>
      </c>
      <c r="AG22" s="374">
        <v>1</v>
      </c>
      <c r="AH22" s="396" t="s">
        <v>367</v>
      </c>
      <c r="AI22" s="133"/>
      <c r="AJ22" s="743">
        <v>90000000.0009</v>
      </c>
      <c r="AK22" s="174">
        <v>3000000</v>
      </c>
      <c r="AL22" s="134"/>
      <c r="AM22" s="194">
        <v>1</v>
      </c>
      <c r="AN22" s="194">
        <v>0</v>
      </c>
      <c r="AO22" s="194"/>
      <c r="AP22" s="174">
        <f t="shared" ref="AP22" si="63">AM22*AK22</f>
        <v>3000000</v>
      </c>
      <c r="AQ22" s="178">
        <f t="shared" si="11"/>
        <v>33.333333332999999</v>
      </c>
      <c r="AR22" s="123">
        <v>20000000</v>
      </c>
      <c r="AS22" s="229">
        <f t="shared" ref="AS22" si="64">AR22*AM22</f>
        <v>20000000</v>
      </c>
      <c r="AT22" s="174">
        <f t="shared" ref="AT22" si="65">AK22*AN22</f>
        <v>0</v>
      </c>
      <c r="AU22" s="639"/>
      <c r="AV22" s="639"/>
      <c r="AW22" s="639"/>
      <c r="AX22" s="114">
        <f t="shared" ref="AX22" si="66">AR22*70%</f>
        <v>14000000</v>
      </c>
      <c r="AY22" s="133">
        <v>1</v>
      </c>
      <c r="AZ22" s="133"/>
      <c r="BB22" s="290">
        <f t="shared" ref="BB22" si="67">AY22*L22</f>
        <v>90000000.0009</v>
      </c>
      <c r="BC22" s="290">
        <f t="shared" ref="BC22" si="68">AZ22*L22</f>
        <v>0</v>
      </c>
      <c r="BE22" s="291">
        <f t="shared" ref="BE22" si="69">AY22*N22</f>
        <v>270000.00000270002</v>
      </c>
      <c r="BF22" s="114">
        <f t="shared" ref="BF22" si="70">AZ22*N22</f>
        <v>0</v>
      </c>
      <c r="BH22" s="291">
        <f t="shared" ref="BH22:BH28" si="71">P22/2</f>
        <v>0</v>
      </c>
      <c r="BI22" s="291">
        <f t="shared" ref="BI22:BI28" si="72">P22/2</f>
        <v>0</v>
      </c>
      <c r="BK22" s="114">
        <v>6.2</v>
      </c>
    </row>
    <row r="23" spans="1:63" s="427" customFormat="1">
      <c r="A23" s="475" t="s">
        <v>332</v>
      </c>
      <c r="B23" s="191" t="s">
        <v>154</v>
      </c>
      <c r="C23" s="191" t="s">
        <v>333</v>
      </c>
      <c r="D23" s="191" t="s">
        <v>164</v>
      </c>
      <c r="E23" s="191" t="s">
        <v>355</v>
      </c>
      <c r="F23" s="638" t="s">
        <v>334</v>
      </c>
      <c r="G23" s="191" t="s">
        <v>294</v>
      </c>
      <c r="H23" s="183" t="s">
        <v>335</v>
      </c>
      <c r="I23" s="183" t="s">
        <v>335</v>
      </c>
      <c r="J23" s="191" t="s">
        <v>118</v>
      </c>
      <c r="K23" s="191" t="s">
        <v>336</v>
      </c>
      <c r="L23" s="123">
        <v>5357142.8571428573</v>
      </c>
      <c r="M23" s="135">
        <v>3.0000000000000001E-3</v>
      </c>
      <c r="N23" s="185">
        <f t="shared" si="55"/>
        <v>16071.428571428572</v>
      </c>
      <c r="O23" s="185"/>
      <c r="P23" s="185"/>
      <c r="Q23" s="421">
        <f t="shared" si="56"/>
        <v>40</v>
      </c>
      <c r="R23" s="422">
        <f t="shared" si="57"/>
        <v>13.33333333333333</v>
      </c>
      <c r="S23" s="635">
        <v>40</v>
      </c>
      <c r="T23" s="635"/>
      <c r="U23" s="576">
        <f>L23/1000*S23</f>
        <v>214285.71428571426</v>
      </c>
      <c r="V23" s="420">
        <f t="shared" si="1"/>
        <v>3.9705452009750524E-3</v>
      </c>
      <c r="W23" s="420">
        <v>1</v>
      </c>
      <c r="X23" s="123">
        <f>U23/AD23</f>
        <v>153061.22448979592</v>
      </c>
      <c r="Y23" s="185">
        <f t="shared" si="61"/>
        <v>0</v>
      </c>
      <c r="Z23" s="477"/>
      <c r="AA23" s="478"/>
      <c r="AB23" s="477"/>
      <c r="AC23" s="477"/>
      <c r="AD23" s="424">
        <v>1.4</v>
      </c>
      <c r="AE23" s="425" t="s">
        <v>361</v>
      </c>
      <c r="AF23" s="425" t="s">
        <v>7</v>
      </c>
      <c r="AG23" s="479">
        <v>2</v>
      </c>
      <c r="AH23" s="480"/>
      <c r="AJ23" s="749"/>
      <c r="AK23" s="639"/>
      <c r="AL23" s="718"/>
      <c r="AM23" s="640"/>
      <c r="AN23" s="640"/>
      <c r="AO23" s="640"/>
      <c r="AP23" s="639"/>
      <c r="AQ23" s="641"/>
      <c r="AR23" s="642"/>
      <c r="AS23" s="483"/>
      <c r="AT23" s="639"/>
      <c r="AU23" s="639"/>
      <c r="AV23" s="639"/>
      <c r="AW23" s="639"/>
      <c r="BB23" s="485">
        <f>L23/2</f>
        <v>2678571.4285714286</v>
      </c>
      <c r="BC23" s="485">
        <f>L23/2</f>
        <v>2678571.4285714286</v>
      </c>
      <c r="BE23" s="484"/>
      <c r="BH23" s="291">
        <f t="shared" si="71"/>
        <v>0</v>
      </c>
      <c r="BI23" s="291">
        <f t="shared" si="72"/>
        <v>0</v>
      </c>
    </row>
    <row r="24" spans="1:63" s="177" customFormat="1" ht="12.6" customHeight="1">
      <c r="A24" s="211" t="s">
        <v>57</v>
      </c>
      <c r="B24" s="211"/>
      <c r="C24" s="211"/>
      <c r="D24" s="211"/>
      <c r="E24" s="211"/>
      <c r="F24" s="211"/>
      <c r="G24" s="211"/>
      <c r="H24" s="211"/>
      <c r="I24" s="211"/>
      <c r="J24" s="212"/>
      <c r="K24" s="213"/>
      <c r="L24" s="214"/>
      <c r="M24" s="210"/>
      <c r="N24" s="210"/>
      <c r="O24" s="210"/>
      <c r="P24" s="215"/>
      <c r="Q24" s="215"/>
      <c r="R24" s="107"/>
      <c r="S24" s="105"/>
      <c r="T24" s="105"/>
      <c r="U24" s="154"/>
      <c r="V24" s="108"/>
      <c r="W24" s="210"/>
      <c r="X24" s="210"/>
      <c r="Y24" s="210"/>
      <c r="Z24" s="105"/>
      <c r="AA24" s="105"/>
      <c r="AB24" s="105"/>
      <c r="AC24" s="105"/>
      <c r="AD24" s="105"/>
      <c r="AE24" s="105"/>
      <c r="AF24" s="105"/>
      <c r="AG24" s="105"/>
      <c r="AH24" s="105"/>
      <c r="AL24" s="630"/>
      <c r="AY24" s="370"/>
      <c r="AZ24" s="239"/>
      <c r="BA24" s="372"/>
      <c r="BB24" s="740"/>
      <c r="BC24" s="740"/>
      <c r="BH24" s="291">
        <f t="shared" si="71"/>
        <v>0</v>
      </c>
      <c r="BI24" s="291">
        <f t="shared" si="72"/>
        <v>0</v>
      </c>
    </row>
    <row r="25" spans="1:63" s="177" customFormat="1" ht="12.6" customHeight="1">
      <c r="A25" s="155" t="s">
        <v>61</v>
      </c>
      <c r="B25" s="156" t="s">
        <v>127</v>
      </c>
      <c r="C25" s="156" t="s">
        <v>62</v>
      </c>
      <c r="D25" s="156" t="s">
        <v>128</v>
      </c>
      <c r="E25" s="502" t="s">
        <v>390</v>
      </c>
      <c r="F25" s="155" t="s">
        <v>63</v>
      </c>
      <c r="G25" s="168" t="s">
        <v>64</v>
      </c>
      <c r="H25" s="169" t="s">
        <v>129</v>
      </c>
      <c r="I25" s="156" t="s">
        <v>66</v>
      </c>
      <c r="J25" s="48" t="s">
        <v>118</v>
      </c>
      <c r="K25" s="164" t="s">
        <v>285</v>
      </c>
      <c r="L25" s="45">
        <f t="shared" ref="L25:L26" si="73">X25*AD25</f>
        <v>3825000</v>
      </c>
      <c r="M25" s="42">
        <v>0</v>
      </c>
      <c r="N25" s="43">
        <f t="shared" ref="N25:N28" si="74">L25*M25</f>
        <v>0</v>
      </c>
      <c r="O25" s="46">
        <v>0.85</v>
      </c>
      <c r="P25" s="43">
        <f t="shared" ref="P25:P28" si="75">L25*O25</f>
        <v>3251250</v>
      </c>
      <c r="Q25" s="158">
        <f t="shared" ref="Q25:Q26" si="76">(U25*1000)/L25</f>
        <v>110</v>
      </c>
      <c r="R25" s="158" t="e">
        <f t="shared" ref="R25:R28" si="77">U25/N25</f>
        <v>#DIV/0!</v>
      </c>
      <c r="S25" s="167">
        <v>110</v>
      </c>
      <c r="T25" s="167"/>
      <c r="U25" s="145">
        <f t="shared" ref="U25:U26" si="78">L25*S25/1000</f>
        <v>420750</v>
      </c>
      <c r="V25" s="44" t="e">
        <f>U25/$S$94</f>
        <v>#DIV/0!</v>
      </c>
      <c r="W25" s="44">
        <v>1</v>
      </c>
      <c r="X25" s="45">
        <f t="shared" ref="X25:X28" si="79">AA25*Z25</f>
        <v>2550000</v>
      </c>
      <c r="Y25" s="45">
        <f t="shared" ref="Y25:Y28" si="80">(1-W25)*X25</f>
        <v>0</v>
      </c>
      <c r="Z25" s="45">
        <v>17000000</v>
      </c>
      <c r="AA25" s="46">
        <v>0.15</v>
      </c>
      <c r="AB25" s="51"/>
      <c r="AC25" s="44" t="e">
        <f t="shared" ref="AC25:AC28" si="81">Y25/AB25</f>
        <v>#DIV/0!</v>
      </c>
      <c r="AD25" s="47">
        <v>1.5</v>
      </c>
      <c r="AE25" s="202" t="s">
        <v>361</v>
      </c>
      <c r="AF25" s="202" t="s">
        <v>7</v>
      </c>
      <c r="AG25" s="374">
        <v>2</v>
      </c>
      <c r="AM25" s="781"/>
      <c r="AP25" s="777"/>
      <c r="AQ25" s="356"/>
      <c r="AR25" s="778"/>
      <c r="AS25" s="356"/>
      <c r="AY25" s="371"/>
      <c r="AZ25" s="239"/>
      <c r="BA25" s="372"/>
      <c r="BB25" s="485">
        <f>L25/2</f>
        <v>1912500</v>
      </c>
      <c r="BC25" s="485">
        <f>L25/2</f>
        <v>1912500</v>
      </c>
      <c r="BE25" s="291">
        <f t="shared" ref="BE25:BE28" si="82">N25/2</f>
        <v>0</v>
      </c>
      <c r="BF25" s="291">
        <f t="shared" ref="BF25:BF28" si="83">N25/2</f>
        <v>0</v>
      </c>
      <c r="BH25" s="291">
        <f t="shared" si="71"/>
        <v>1625625</v>
      </c>
      <c r="BI25" s="291">
        <f t="shared" si="72"/>
        <v>1625625</v>
      </c>
    </row>
    <row r="26" spans="1:63" s="177" customFormat="1" ht="12.6" customHeight="1">
      <c r="A26" s="155" t="s">
        <v>61</v>
      </c>
      <c r="B26" s="156" t="s">
        <v>127</v>
      </c>
      <c r="C26" s="156" t="s">
        <v>67</v>
      </c>
      <c r="D26" s="156" t="s">
        <v>128</v>
      </c>
      <c r="E26" s="502" t="s">
        <v>390</v>
      </c>
      <c r="F26" s="155" t="s">
        <v>63</v>
      </c>
      <c r="G26" s="168" t="s">
        <v>64</v>
      </c>
      <c r="H26" s="169" t="s">
        <v>129</v>
      </c>
      <c r="I26" s="156" t="s">
        <v>66</v>
      </c>
      <c r="J26" s="48" t="s">
        <v>118</v>
      </c>
      <c r="K26" s="164" t="s">
        <v>286</v>
      </c>
      <c r="L26" s="45">
        <f t="shared" si="73"/>
        <v>1333691.5725</v>
      </c>
      <c r="M26" s="42">
        <v>0</v>
      </c>
      <c r="N26" s="43">
        <f t="shared" si="74"/>
        <v>0</v>
      </c>
      <c r="O26" s="46">
        <v>0.85</v>
      </c>
      <c r="P26" s="43">
        <f t="shared" si="75"/>
        <v>1133637.836625</v>
      </c>
      <c r="Q26" s="158">
        <f t="shared" si="76"/>
        <v>110</v>
      </c>
      <c r="R26" s="158" t="e">
        <f t="shared" si="77"/>
        <v>#DIV/0!</v>
      </c>
      <c r="S26" s="167">
        <v>110</v>
      </c>
      <c r="T26" s="167"/>
      <c r="U26" s="145">
        <f t="shared" si="78"/>
        <v>146706.07297499999</v>
      </c>
      <c r="V26" s="44" t="e">
        <f>U26/$S$94</f>
        <v>#DIV/0!</v>
      </c>
      <c r="W26" s="46">
        <v>1</v>
      </c>
      <c r="X26" s="45">
        <f t="shared" si="79"/>
        <v>889127.71499999997</v>
      </c>
      <c r="Y26" s="45">
        <f t="shared" si="80"/>
        <v>0</v>
      </c>
      <c r="Z26" s="45">
        <v>5927518.0999999996</v>
      </c>
      <c r="AA26" s="46">
        <v>0.15</v>
      </c>
      <c r="AB26" s="51"/>
      <c r="AC26" s="44" t="e">
        <f t="shared" si="81"/>
        <v>#DIV/0!</v>
      </c>
      <c r="AD26" s="47">
        <v>1.5</v>
      </c>
      <c r="AE26" s="202" t="s">
        <v>361</v>
      </c>
      <c r="AF26" s="202" t="s">
        <v>7</v>
      </c>
      <c r="AG26" s="374">
        <v>2</v>
      </c>
      <c r="AP26" s="777"/>
      <c r="AQ26" s="356"/>
      <c r="AR26" s="778"/>
      <c r="AS26" s="356"/>
      <c r="AY26" s="371"/>
      <c r="AZ26" s="239"/>
      <c r="BA26" s="372"/>
      <c r="BB26" s="485">
        <f>L26/2</f>
        <v>666845.78625</v>
      </c>
      <c r="BC26" s="485">
        <f>L26/2</f>
        <v>666845.78625</v>
      </c>
      <c r="BE26" s="291">
        <f t="shared" si="82"/>
        <v>0</v>
      </c>
      <c r="BF26" s="291">
        <f t="shared" si="83"/>
        <v>0</v>
      </c>
      <c r="BH26" s="291">
        <f t="shared" si="71"/>
        <v>566818.9183125</v>
      </c>
      <c r="BI26" s="291">
        <f t="shared" si="72"/>
        <v>566818.9183125</v>
      </c>
    </row>
    <row r="27" spans="1:63" s="239" customFormat="1" ht="12.6" customHeight="1">
      <c r="A27" s="289" t="s">
        <v>61</v>
      </c>
      <c r="B27" s="164" t="s">
        <v>154</v>
      </c>
      <c r="C27" s="164" t="s">
        <v>62</v>
      </c>
      <c r="D27" s="164" t="s">
        <v>128</v>
      </c>
      <c r="E27" s="502" t="s">
        <v>390</v>
      </c>
      <c r="F27" s="289" t="s">
        <v>135</v>
      </c>
      <c r="G27" s="383" t="s">
        <v>64</v>
      </c>
      <c r="H27" s="384" t="s">
        <v>412</v>
      </c>
      <c r="I27" s="155" t="s">
        <v>71</v>
      </c>
      <c r="J27" s="385" t="s">
        <v>118</v>
      </c>
      <c r="K27" s="164" t="s">
        <v>287</v>
      </c>
      <c r="L27" s="45">
        <f>X27*AD27</f>
        <v>2700000</v>
      </c>
      <c r="M27" s="386">
        <v>0</v>
      </c>
      <c r="N27" s="387">
        <f t="shared" si="74"/>
        <v>0</v>
      </c>
      <c r="O27" s="388">
        <v>0.85</v>
      </c>
      <c r="P27" s="387">
        <f t="shared" si="75"/>
        <v>2295000</v>
      </c>
      <c r="Q27" s="389">
        <f t="shared" ref="Q27:Q28" si="84">U27/(L27/1000)</f>
        <v>125</v>
      </c>
      <c r="R27" s="390" t="e">
        <f t="shared" si="77"/>
        <v>#DIV/0!</v>
      </c>
      <c r="S27" s="391">
        <v>125</v>
      </c>
      <c r="T27" s="391"/>
      <c r="U27" s="158">
        <f t="shared" ref="U27:U28" si="85">S27*L27/1000</f>
        <v>337500</v>
      </c>
      <c r="V27" s="392" t="e">
        <f>U27/#REF!</f>
        <v>#REF!</v>
      </c>
      <c r="W27" s="46">
        <v>1</v>
      </c>
      <c r="X27" s="45">
        <f t="shared" si="79"/>
        <v>1800000</v>
      </c>
      <c r="Y27" s="393">
        <f t="shared" si="80"/>
        <v>0</v>
      </c>
      <c r="Z27" s="393">
        <v>12000000</v>
      </c>
      <c r="AA27" s="46">
        <v>0.15</v>
      </c>
      <c r="AB27" s="394"/>
      <c r="AC27" s="392" t="e">
        <f t="shared" si="81"/>
        <v>#DIV/0!</v>
      </c>
      <c r="AD27" s="47">
        <v>1.5</v>
      </c>
      <c r="AE27" s="202" t="s">
        <v>361</v>
      </c>
      <c r="AF27" s="202" t="s">
        <v>7</v>
      </c>
      <c r="AG27" s="374">
        <v>2</v>
      </c>
      <c r="AM27" s="782"/>
      <c r="AN27" s="177"/>
      <c r="AO27" s="177"/>
      <c r="AP27" s="777"/>
      <c r="AQ27" s="356"/>
      <c r="AR27" s="778"/>
      <c r="AS27" s="356"/>
      <c r="AY27" s="373"/>
      <c r="BA27" s="372"/>
      <c r="BB27" s="485">
        <f>L27/2</f>
        <v>1350000</v>
      </c>
      <c r="BC27" s="485">
        <f>L27/2</f>
        <v>1350000</v>
      </c>
      <c r="BE27" s="291">
        <f t="shared" si="82"/>
        <v>0</v>
      </c>
      <c r="BF27" s="291">
        <f t="shared" si="83"/>
        <v>0</v>
      </c>
      <c r="BH27" s="291">
        <f t="shared" si="71"/>
        <v>1147500</v>
      </c>
      <c r="BI27" s="291">
        <f t="shared" si="72"/>
        <v>1147500</v>
      </c>
    </row>
    <row r="28" spans="1:63" s="239" customFormat="1" ht="12.6" customHeight="1">
      <c r="A28" s="289" t="s">
        <v>61</v>
      </c>
      <c r="B28" s="164" t="s">
        <v>154</v>
      </c>
      <c r="C28" s="164" t="s">
        <v>67</v>
      </c>
      <c r="D28" s="164" t="s">
        <v>128</v>
      </c>
      <c r="E28" s="502" t="s">
        <v>390</v>
      </c>
      <c r="F28" s="289" t="s">
        <v>135</v>
      </c>
      <c r="G28" s="383" t="s">
        <v>64</v>
      </c>
      <c r="H28" s="384" t="s">
        <v>412</v>
      </c>
      <c r="I28" s="155" t="s">
        <v>71</v>
      </c>
      <c r="J28" s="385" t="s">
        <v>118</v>
      </c>
      <c r="K28" s="164" t="s">
        <v>413</v>
      </c>
      <c r="L28" s="45">
        <f t="shared" ref="L28" si="86">X28*AD28</f>
        <v>900000</v>
      </c>
      <c r="M28" s="386">
        <v>0</v>
      </c>
      <c r="N28" s="387">
        <f t="shared" si="74"/>
        <v>0</v>
      </c>
      <c r="O28" s="388">
        <v>0.85</v>
      </c>
      <c r="P28" s="387">
        <f t="shared" si="75"/>
        <v>765000</v>
      </c>
      <c r="Q28" s="389">
        <f t="shared" si="84"/>
        <v>125</v>
      </c>
      <c r="R28" s="390" t="e">
        <f t="shared" si="77"/>
        <v>#DIV/0!</v>
      </c>
      <c r="S28" s="391">
        <v>125</v>
      </c>
      <c r="T28" s="391"/>
      <c r="U28" s="158">
        <f t="shared" si="85"/>
        <v>112500</v>
      </c>
      <c r="V28" s="392" t="e">
        <f>U28/#REF!</f>
        <v>#REF!</v>
      </c>
      <c r="W28" s="46">
        <v>1</v>
      </c>
      <c r="X28" s="45">
        <f t="shared" si="79"/>
        <v>600000</v>
      </c>
      <c r="Y28" s="393">
        <f t="shared" si="80"/>
        <v>0</v>
      </c>
      <c r="Z28" s="393">
        <v>4000000</v>
      </c>
      <c r="AA28" s="46">
        <v>0.15</v>
      </c>
      <c r="AB28" s="394"/>
      <c r="AC28" s="392" t="e">
        <f t="shared" si="81"/>
        <v>#DIV/0!</v>
      </c>
      <c r="AD28" s="47">
        <v>1.5</v>
      </c>
      <c r="AE28" s="202" t="s">
        <v>361</v>
      </c>
      <c r="AF28" s="202" t="s">
        <v>7</v>
      </c>
      <c r="AG28" s="374">
        <v>2</v>
      </c>
      <c r="AM28" s="782"/>
      <c r="AP28" s="777"/>
      <c r="AQ28" s="356"/>
      <c r="AR28" s="779"/>
      <c r="AS28" s="356"/>
      <c r="AY28" s="373"/>
      <c r="BA28" s="372"/>
      <c r="BB28" s="485">
        <f>L28/2</f>
        <v>450000</v>
      </c>
      <c r="BC28" s="485">
        <f>L28/2</f>
        <v>450000</v>
      </c>
      <c r="BE28" s="291">
        <f t="shared" si="82"/>
        <v>0</v>
      </c>
      <c r="BF28" s="291">
        <f t="shared" si="83"/>
        <v>0</v>
      </c>
      <c r="BH28" s="291">
        <f t="shared" si="71"/>
        <v>382500</v>
      </c>
      <c r="BI28" s="291">
        <f t="shared" si="72"/>
        <v>382500</v>
      </c>
    </row>
    <row r="29" spans="1:63">
      <c r="A29" s="34" t="s">
        <v>414</v>
      </c>
      <c r="B29" s="35"/>
      <c r="C29" s="35"/>
      <c r="D29" s="35"/>
      <c r="E29" s="35"/>
      <c r="F29" s="35"/>
      <c r="G29" s="35"/>
      <c r="H29" s="35"/>
      <c r="I29" s="35"/>
      <c r="J29" s="35"/>
      <c r="K29" s="162"/>
      <c r="L29" s="36"/>
      <c r="M29" s="37"/>
      <c r="N29" s="38"/>
      <c r="O29" s="38"/>
      <c r="P29" s="38"/>
      <c r="Q29" s="39"/>
      <c r="R29" s="39"/>
      <c r="S29" s="397"/>
      <c r="T29" s="397"/>
      <c r="U29" s="577"/>
      <c r="V29" s="40"/>
      <c r="W29" s="41"/>
      <c r="X29" s="38"/>
      <c r="Y29" s="38"/>
      <c r="Z29" s="38"/>
      <c r="AA29" s="38"/>
      <c r="AB29" s="38"/>
      <c r="AC29" s="38"/>
      <c r="AD29" s="38"/>
      <c r="AE29" s="38"/>
      <c r="AF29" s="38"/>
      <c r="AG29" s="38"/>
      <c r="AJ29" s="227"/>
      <c r="AK29" s="227"/>
      <c r="AM29" s="362"/>
      <c r="AN29" s="177"/>
      <c r="AO29" s="177"/>
      <c r="AP29" s="777"/>
      <c r="AQ29" s="356"/>
      <c r="AR29" s="779"/>
      <c r="AS29" s="356"/>
      <c r="BB29" s="114">
        <f t="shared" ref="BB29:BB33" si="87">L29/2</f>
        <v>0</v>
      </c>
      <c r="BC29" s="114">
        <f t="shared" ref="BC29:BC33" si="88">L29/2</f>
        <v>0</v>
      </c>
      <c r="BE29" s="291">
        <f t="shared" ref="BE29:BE52" si="89">N29/2</f>
        <v>0</v>
      </c>
      <c r="BF29" s="291">
        <f t="shared" ref="BF29:BF52" si="90">N29/2</f>
        <v>0</v>
      </c>
      <c r="BH29" s="291">
        <f t="shared" ref="BH29" si="91">Q29/2</f>
        <v>0</v>
      </c>
      <c r="BI29" s="291">
        <f t="shared" ref="BI29" si="92">Q29/2</f>
        <v>0</v>
      </c>
    </row>
    <row r="30" spans="1:63" s="200" customFormat="1">
      <c r="A30" s="155" t="s">
        <v>61</v>
      </c>
      <c r="B30" s="156" t="s">
        <v>127</v>
      </c>
      <c r="C30" s="156" t="s">
        <v>73</v>
      </c>
      <c r="D30" s="156" t="s">
        <v>128</v>
      </c>
      <c r="E30" s="414" t="s">
        <v>390</v>
      </c>
      <c r="F30" s="172" t="s">
        <v>202</v>
      </c>
      <c r="G30" s="163" t="s">
        <v>70</v>
      </c>
      <c r="H30" s="157" t="s">
        <v>155</v>
      </c>
      <c r="I30" s="331" t="s">
        <v>415</v>
      </c>
      <c r="J30" s="48" t="s">
        <v>118</v>
      </c>
      <c r="K30" s="331" t="s">
        <v>416</v>
      </c>
      <c r="L30" s="45">
        <f>U30*1000/S30</f>
        <v>1090909.0909090908</v>
      </c>
      <c r="M30" s="42">
        <v>2E-3</v>
      </c>
      <c r="N30" s="43">
        <f>M30*L30</f>
        <v>2181.8181818181815</v>
      </c>
      <c r="O30" s="44">
        <v>0.85</v>
      </c>
      <c r="P30" s="43">
        <f>O30*L30</f>
        <v>927272.72727272718</v>
      </c>
      <c r="Q30" s="159">
        <f t="shared" ref="Q30:Q33" si="93">U30/(L30/1000)</f>
        <v>110.00000000000001</v>
      </c>
      <c r="R30" s="165">
        <f t="shared" ref="R30:R32" si="94">U30/N30</f>
        <v>55.000000000000007</v>
      </c>
      <c r="S30" s="598">
        <v>110</v>
      </c>
      <c r="T30" s="598"/>
      <c r="U30" s="573">
        <v>120000</v>
      </c>
      <c r="V30" s="503">
        <f>U30/$U$53</f>
        <v>2.2235053125460292E-3</v>
      </c>
      <c r="W30" s="44">
        <v>1</v>
      </c>
      <c r="X30" s="45">
        <f>L30/AD30</f>
        <v>727272.72727272718</v>
      </c>
      <c r="Y30" s="45">
        <f t="shared" ref="Y30:Y33" si="95">(1-W30)*X30</f>
        <v>0</v>
      </c>
      <c r="Z30" s="45">
        <v>9300000</v>
      </c>
      <c r="AA30" s="46">
        <f>X30/Z30</f>
        <v>7.8201368523949155E-2</v>
      </c>
      <c r="AB30" s="51"/>
      <c r="AC30" s="44"/>
      <c r="AD30" s="47">
        <v>1.5</v>
      </c>
      <c r="AE30" s="202" t="s">
        <v>361</v>
      </c>
      <c r="AF30" s="202" t="s">
        <v>7</v>
      </c>
      <c r="AG30" s="374">
        <v>2</v>
      </c>
      <c r="AH30" s="114"/>
      <c r="AJ30" s="411"/>
      <c r="AK30" s="411"/>
      <c r="AL30" s="624"/>
      <c r="AM30" s="780"/>
      <c r="AN30" s="177"/>
      <c r="AO30" s="177"/>
      <c r="AP30" s="777"/>
      <c r="AQ30" s="356"/>
      <c r="AR30" s="779"/>
      <c r="AS30" s="356"/>
      <c r="BB30" s="114">
        <f t="shared" si="87"/>
        <v>545454.54545454541</v>
      </c>
      <c r="BC30" s="114">
        <f t="shared" si="88"/>
        <v>545454.54545454541</v>
      </c>
      <c r="BE30" s="291">
        <f t="shared" si="89"/>
        <v>1090.9090909090908</v>
      </c>
      <c r="BF30" s="291">
        <f t="shared" si="90"/>
        <v>1090.9090909090908</v>
      </c>
      <c r="BH30" s="291">
        <f>P30/2</f>
        <v>463636.36363636359</v>
      </c>
      <c r="BI30" s="291">
        <f>P30/2</f>
        <v>463636.36363636359</v>
      </c>
      <c r="BK30" s="114"/>
    </row>
    <row r="31" spans="1:63" s="200" customFormat="1">
      <c r="A31" s="155" t="s">
        <v>61</v>
      </c>
      <c r="B31" s="156" t="s">
        <v>127</v>
      </c>
      <c r="C31" s="156" t="s">
        <v>73</v>
      </c>
      <c r="D31" s="156" t="s">
        <v>128</v>
      </c>
      <c r="E31" s="414" t="s">
        <v>390</v>
      </c>
      <c r="F31" s="172" t="s">
        <v>202</v>
      </c>
      <c r="G31" s="163" t="s">
        <v>70</v>
      </c>
      <c r="H31" s="157" t="s">
        <v>155</v>
      </c>
      <c r="I31" s="331" t="s">
        <v>415</v>
      </c>
      <c r="J31" s="48" t="s">
        <v>118</v>
      </c>
      <c r="K31" s="331" t="s">
        <v>417</v>
      </c>
      <c r="L31" s="45">
        <f t="shared" ref="L31:L33" si="96">U31*1000/S31</f>
        <v>909090.90909090906</v>
      </c>
      <c r="M31" s="42">
        <v>2E-3</v>
      </c>
      <c r="N31" s="43">
        <f t="shared" ref="N31:N33" si="97">M31*L31</f>
        <v>1818.1818181818182</v>
      </c>
      <c r="O31" s="44">
        <v>0.85</v>
      </c>
      <c r="P31" s="43">
        <f t="shared" ref="P31:P33" si="98">O31*L31</f>
        <v>772727.27272727271</v>
      </c>
      <c r="Q31" s="159">
        <f t="shared" si="93"/>
        <v>110.00000000000001</v>
      </c>
      <c r="R31" s="165">
        <f t="shared" si="94"/>
        <v>55</v>
      </c>
      <c r="S31" s="598">
        <v>110</v>
      </c>
      <c r="T31" s="598"/>
      <c r="U31" s="573">
        <v>100000</v>
      </c>
      <c r="V31" s="503">
        <f>U31/$U$53</f>
        <v>1.8529210937883577E-3</v>
      </c>
      <c r="W31" s="44">
        <v>1</v>
      </c>
      <c r="X31" s="45">
        <f t="shared" ref="X31:X33" si="99">L31/AD31</f>
        <v>606060.60606060608</v>
      </c>
      <c r="Y31" s="45">
        <f t="shared" si="95"/>
        <v>0</v>
      </c>
      <c r="Z31" s="45">
        <v>8800000</v>
      </c>
      <c r="AA31" s="46">
        <f t="shared" ref="AA31:AA33" si="100">X31/Z31</f>
        <v>6.8870523415977963E-2</v>
      </c>
      <c r="AB31" s="51"/>
      <c r="AC31" s="44"/>
      <c r="AD31" s="47">
        <v>1.5</v>
      </c>
      <c r="AE31" s="202" t="s">
        <v>361</v>
      </c>
      <c r="AF31" s="202" t="s">
        <v>7</v>
      </c>
      <c r="AG31" s="374">
        <v>2</v>
      </c>
      <c r="AH31" s="114"/>
      <c r="AJ31" s="411"/>
      <c r="AK31" s="411"/>
      <c r="AP31" s="783"/>
      <c r="BB31" s="114">
        <f t="shared" si="87"/>
        <v>454545.45454545453</v>
      </c>
      <c r="BC31" s="114">
        <f t="shared" si="88"/>
        <v>454545.45454545453</v>
      </c>
      <c r="BE31" s="291">
        <f t="shared" si="89"/>
        <v>909.09090909090912</v>
      </c>
      <c r="BF31" s="291">
        <f t="shared" si="90"/>
        <v>909.09090909090912</v>
      </c>
      <c r="BH31" s="291">
        <f t="shared" ref="BH31:BH51" si="101">P31/2</f>
        <v>386363.63636363635</v>
      </c>
      <c r="BI31" s="291">
        <f t="shared" ref="BI31:BI51" si="102">P31/2</f>
        <v>386363.63636363635</v>
      </c>
      <c r="BK31" s="114"/>
    </row>
    <row r="32" spans="1:63" s="200" customFormat="1">
      <c r="A32" s="155" t="s">
        <v>61</v>
      </c>
      <c r="B32" s="156" t="s">
        <v>127</v>
      </c>
      <c r="C32" s="156" t="s">
        <v>73</v>
      </c>
      <c r="D32" s="156" t="s">
        <v>128</v>
      </c>
      <c r="E32" s="414" t="s">
        <v>390</v>
      </c>
      <c r="F32" s="172" t="s">
        <v>202</v>
      </c>
      <c r="G32" s="163" t="s">
        <v>70</v>
      </c>
      <c r="H32" s="157" t="s">
        <v>155</v>
      </c>
      <c r="I32" s="331" t="s">
        <v>415</v>
      </c>
      <c r="J32" s="48" t="s">
        <v>118</v>
      </c>
      <c r="K32" s="331" t="s">
        <v>418</v>
      </c>
      <c r="L32" s="45">
        <f t="shared" si="96"/>
        <v>1090909.0909090908</v>
      </c>
      <c r="M32" s="42">
        <v>2E-3</v>
      </c>
      <c r="N32" s="43">
        <f t="shared" si="97"/>
        <v>2181.8181818181815</v>
      </c>
      <c r="O32" s="44">
        <v>0.85</v>
      </c>
      <c r="P32" s="43">
        <f t="shared" si="98"/>
        <v>927272.72727272718</v>
      </c>
      <c r="Q32" s="159">
        <f t="shared" si="93"/>
        <v>110.00000000000001</v>
      </c>
      <c r="R32" s="165">
        <f t="shared" si="94"/>
        <v>55.000000000000007</v>
      </c>
      <c r="S32" s="598">
        <v>110</v>
      </c>
      <c r="T32" s="598"/>
      <c r="U32" s="573">
        <v>120000</v>
      </c>
      <c r="V32" s="503">
        <f>U32/$U$53</f>
        <v>2.2235053125460292E-3</v>
      </c>
      <c r="W32" s="44">
        <v>1</v>
      </c>
      <c r="X32" s="45">
        <f t="shared" si="99"/>
        <v>727272.72727272718</v>
      </c>
      <c r="Y32" s="45">
        <f t="shared" si="95"/>
        <v>0</v>
      </c>
      <c r="Z32" s="45">
        <v>10000000</v>
      </c>
      <c r="AA32" s="46">
        <f t="shared" si="100"/>
        <v>7.2727272727272724E-2</v>
      </c>
      <c r="AB32" s="51"/>
      <c r="AC32" s="44"/>
      <c r="AD32" s="47">
        <v>1.5</v>
      </c>
      <c r="AE32" s="202" t="s">
        <v>361</v>
      </c>
      <c r="AF32" s="202" t="s">
        <v>7</v>
      </c>
      <c r="AG32" s="374">
        <v>2</v>
      </c>
      <c r="AH32" s="114"/>
      <c r="AJ32" s="411"/>
      <c r="AK32" s="411"/>
      <c r="AM32" s="783"/>
      <c r="AP32" s="777"/>
      <c r="AQ32" s="356"/>
      <c r="AS32" s="356"/>
      <c r="AT32" s="356"/>
      <c r="AU32" s="356"/>
      <c r="AV32" s="356"/>
      <c r="AW32" s="356"/>
      <c r="BB32" s="114">
        <f t="shared" si="87"/>
        <v>545454.54545454541</v>
      </c>
      <c r="BC32" s="114">
        <f t="shared" si="88"/>
        <v>545454.54545454541</v>
      </c>
      <c r="BE32" s="291">
        <f t="shared" si="89"/>
        <v>1090.9090909090908</v>
      </c>
      <c r="BF32" s="291">
        <f t="shared" si="90"/>
        <v>1090.9090909090908</v>
      </c>
      <c r="BH32" s="291">
        <f t="shared" si="101"/>
        <v>463636.36363636359</v>
      </c>
      <c r="BI32" s="291">
        <f t="shared" si="102"/>
        <v>463636.36363636359</v>
      </c>
      <c r="BK32" s="114"/>
    </row>
    <row r="33" spans="1:71" s="200" customFormat="1">
      <c r="A33" s="155" t="s">
        <v>61</v>
      </c>
      <c r="B33" s="156" t="s">
        <v>127</v>
      </c>
      <c r="C33" s="156" t="s">
        <v>73</v>
      </c>
      <c r="D33" s="156" t="s">
        <v>128</v>
      </c>
      <c r="E33" s="414" t="s">
        <v>390</v>
      </c>
      <c r="F33" s="172" t="s">
        <v>202</v>
      </c>
      <c r="G33" s="163" t="s">
        <v>70</v>
      </c>
      <c r="H33" s="157" t="s">
        <v>155</v>
      </c>
      <c r="I33" s="331" t="s">
        <v>415</v>
      </c>
      <c r="J33" s="48" t="s">
        <v>118</v>
      </c>
      <c r="K33" s="331" t="s">
        <v>419</v>
      </c>
      <c r="L33" s="45">
        <f t="shared" si="96"/>
        <v>818181.81818181823</v>
      </c>
      <c r="M33" s="42">
        <v>2E-3</v>
      </c>
      <c r="N33" s="43">
        <f t="shared" si="97"/>
        <v>1636.3636363636365</v>
      </c>
      <c r="O33" s="44">
        <v>0.85</v>
      </c>
      <c r="P33" s="43">
        <f t="shared" si="98"/>
        <v>695454.54545454553</v>
      </c>
      <c r="Q33" s="159">
        <f t="shared" si="93"/>
        <v>109.99999999999999</v>
      </c>
      <c r="R33" s="165">
        <f>U33/N33</f>
        <v>54.999999999999993</v>
      </c>
      <c r="S33" s="598">
        <v>110</v>
      </c>
      <c r="T33" s="598"/>
      <c r="U33" s="573">
        <v>90000</v>
      </c>
      <c r="V33" s="503">
        <f>U33/$U$53</f>
        <v>1.667628984409522E-3</v>
      </c>
      <c r="W33" s="44">
        <v>1</v>
      </c>
      <c r="X33" s="45">
        <f t="shared" si="99"/>
        <v>545454.54545454553</v>
      </c>
      <c r="Y33" s="45">
        <f t="shared" si="95"/>
        <v>0</v>
      </c>
      <c r="Z33" s="45">
        <v>6500000</v>
      </c>
      <c r="AA33" s="46">
        <f t="shared" si="100"/>
        <v>8.3916083916083933E-2</v>
      </c>
      <c r="AB33" s="51"/>
      <c r="AC33" s="44"/>
      <c r="AD33" s="47">
        <v>1.5</v>
      </c>
      <c r="AE33" s="202" t="s">
        <v>361</v>
      </c>
      <c r="AF33" s="202" t="s">
        <v>7</v>
      </c>
      <c r="AG33" s="374">
        <v>2</v>
      </c>
      <c r="AH33" s="114"/>
      <c r="AJ33" s="411"/>
      <c r="AK33" s="411"/>
      <c r="BB33" s="114">
        <f t="shared" si="87"/>
        <v>409090.90909090912</v>
      </c>
      <c r="BC33" s="114">
        <f t="shared" si="88"/>
        <v>409090.90909090912</v>
      </c>
      <c r="BE33" s="291">
        <f t="shared" si="89"/>
        <v>818.18181818181824</v>
      </c>
      <c r="BF33" s="291">
        <f t="shared" si="90"/>
        <v>818.18181818181824</v>
      </c>
      <c r="BH33" s="291">
        <f t="shared" si="101"/>
        <v>347727.27272727276</v>
      </c>
      <c r="BI33" s="291">
        <f t="shared" si="102"/>
        <v>347727.27272727276</v>
      </c>
      <c r="BK33" s="114"/>
    </row>
    <row r="34" spans="1:71" s="200" customFormat="1">
      <c r="A34" s="155" t="s">
        <v>61</v>
      </c>
      <c r="B34" s="156" t="s">
        <v>127</v>
      </c>
      <c r="C34" s="156" t="s">
        <v>73</v>
      </c>
      <c r="D34" s="156" t="s">
        <v>128</v>
      </c>
      <c r="E34" s="414" t="s">
        <v>390</v>
      </c>
      <c r="F34" s="172" t="s">
        <v>202</v>
      </c>
      <c r="G34" s="163" t="s">
        <v>70</v>
      </c>
      <c r="H34" s="157" t="s">
        <v>155</v>
      </c>
      <c r="I34" s="331" t="s">
        <v>415</v>
      </c>
      <c r="J34" s="48" t="s">
        <v>118</v>
      </c>
      <c r="K34" s="331" t="s">
        <v>420</v>
      </c>
      <c r="L34" s="45">
        <f t="shared" ref="L34" si="103">U34*1000/S34</f>
        <v>1363636.3636363635</v>
      </c>
      <c r="M34" s="42">
        <v>2E-3</v>
      </c>
      <c r="N34" s="43">
        <f t="shared" ref="N34:N37" si="104">M34*L34</f>
        <v>2727.272727272727</v>
      </c>
      <c r="O34" s="44">
        <v>0.85</v>
      </c>
      <c r="P34" s="43">
        <f t="shared" ref="P34:P37" si="105">O34*L34</f>
        <v>1159090.9090909089</v>
      </c>
      <c r="Q34" s="159">
        <f t="shared" ref="Q34:Q37" si="106">U34/(L34/1000)</f>
        <v>110.00000000000001</v>
      </c>
      <c r="R34" s="165">
        <f>U34/N34</f>
        <v>55.000000000000007</v>
      </c>
      <c r="S34" s="598">
        <v>110</v>
      </c>
      <c r="T34" s="598"/>
      <c r="U34" s="573">
        <v>150000</v>
      </c>
      <c r="V34" s="503">
        <f>U34/$U$53</f>
        <v>2.7793816406825366E-3</v>
      </c>
      <c r="W34" s="44">
        <v>1</v>
      </c>
      <c r="X34" s="45">
        <f t="shared" ref="X34" si="107">L34/AD34</f>
        <v>909090.90909090906</v>
      </c>
      <c r="Y34" s="45">
        <f t="shared" ref="Y34:Y37" si="108">(1-W34)*X34</f>
        <v>0</v>
      </c>
      <c r="Z34" s="45">
        <v>11200000</v>
      </c>
      <c r="AA34" s="46">
        <f t="shared" ref="AA34" si="109">X34/Z34</f>
        <v>8.1168831168831168E-2</v>
      </c>
      <c r="AB34" s="51"/>
      <c r="AC34" s="44"/>
      <c r="AD34" s="47">
        <v>1.5</v>
      </c>
      <c r="AE34" s="202" t="s">
        <v>361</v>
      </c>
      <c r="AF34" s="202" t="s">
        <v>7</v>
      </c>
      <c r="AG34" s="374">
        <v>2</v>
      </c>
      <c r="AH34" s="114"/>
      <c r="AJ34" s="411"/>
      <c r="AK34" s="411"/>
      <c r="AP34" s="785"/>
      <c r="BB34" s="114">
        <f t="shared" ref="BB34:BB35" si="110">L34/2</f>
        <v>681818.18181818177</v>
      </c>
      <c r="BC34" s="114">
        <f t="shared" ref="BC34:BC35" si="111">L34/2</f>
        <v>681818.18181818177</v>
      </c>
      <c r="BE34" s="291">
        <f t="shared" ref="BE34:BE35" si="112">N34/2</f>
        <v>1363.6363636363635</v>
      </c>
      <c r="BF34" s="291">
        <f t="shared" ref="BF34:BF35" si="113">N34/2</f>
        <v>1363.6363636363635</v>
      </c>
      <c r="BH34" s="291">
        <f t="shared" si="101"/>
        <v>579545.45454545447</v>
      </c>
      <c r="BI34" s="291">
        <f t="shared" si="102"/>
        <v>579545.45454545447</v>
      </c>
      <c r="BK34" s="114"/>
    </row>
    <row r="35" spans="1:71" s="200" customFormat="1">
      <c r="A35" s="621" t="s">
        <v>421</v>
      </c>
      <c r="B35" s="101"/>
      <c r="C35" s="101"/>
      <c r="D35" s="101"/>
      <c r="E35" s="101"/>
      <c r="F35" s="101"/>
      <c r="G35" s="101"/>
      <c r="H35" s="101"/>
      <c r="I35" s="101"/>
      <c r="J35" s="199"/>
      <c r="K35" s="103"/>
      <c r="L35" s="104"/>
      <c r="M35" s="105"/>
      <c r="N35" s="105"/>
      <c r="O35" s="105"/>
      <c r="P35" s="106"/>
      <c r="Q35" s="106"/>
      <c r="R35" s="536"/>
      <c r="S35" s="127"/>
      <c r="T35" s="127"/>
      <c r="U35" s="572"/>
      <c r="V35" s="108"/>
      <c r="W35" s="105"/>
      <c r="X35" s="105"/>
      <c r="Y35" s="105"/>
      <c r="Z35" s="105"/>
      <c r="AA35" s="105"/>
      <c r="AB35" s="105"/>
      <c r="AC35" s="109"/>
      <c r="AD35" s="109"/>
      <c r="AE35" s="131"/>
      <c r="AF35" s="109"/>
      <c r="AG35" s="109"/>
      <c r="AH35" s="114"/>
      <c r="AJ35" s="411"/>
      <c r="AK35" s="411"/>
      <c r="AP35" s="784"/>
      <c r="BB35" s="114">
        <f t="shared" si="110"/>
        <v>0</v>
      </c>
      <c r="BC35" s="114">
        <f t="shared" si="111"/>
        <v>0</v>
      </c>
      <c r="BE35" s="291">
        <f t="shared" si="112"/>
        <v>0</v>
      </c>
      <c r="BF35" s="291">
        <f t="shared" si="113"/>
        <v>0</v>
      </c>
      <c r="BH35" s="291">
        <f t="shared" ref="BH35" si="114">P35/2</f>
        <v>0</v>
      </c>
      <c r="BI35" s="291">
        <f t="shared" ref="BI35" si="115">P35/2</f>
        <v>0</v>
      </c>
      <c r="BK35" s="114"/>
    </row>
    <row r="36" spans="1:71" s="200" customFormat="1">
      <c r="A36" s="753" t="s">
        <v>290</v>
      </c>
      <c r="B36" s="754" t="s">
        <v>154</v>
      </c>
      <c r="C36" s="754" t="s">
        <v>422</v>
      </c>
      <c r="D36" s="754" t="s">
        <v>423</v>
      </c>
      <c r="E36" s="754" t="s">
        <v>355</v>
      </c>
      <c r="F36" s="755" t="s">
        <v>424</v>
      </c>
      <c r="G36" s="756" t="s">
        <v>294</v>
      </c>
      <c r="H36" s="757" t="s">
        <v>423</v>
      </c>
      <c r="I36" s="758" t="s">
        <v>425</v>
      </c>
      <c r="J36" s="759" t="s">
        <v>118</v>
      </c>
      <c r="K36" s="758" t="s">
        <v>426</v>
      </c>
      <c r="L36" s="760">
        <v>1409725</v>
      </c>
      <c r="M36" s="761">
        <v>0.01</v>
      </c>
      <c r="N36" s="762">
        <f t="shared" si="104"/>
        <v>14097.25</v>
      </c>
      <c r="O36" s="763">
        <v>0</v>
      </c>
      <c r="P36" s="762">
        <f t="shared" si="105"/>
        <v>0</v>
      </c>
      <c r="Q36" s="764">
        <f t="shared" si="106"/>
        <v>410</v>
      </c>
      <c r="R36" s="765">
        <f>U36/N36</f>
        <v>41</v>
      </c>
      <c r="S36" s="766">
        <v>410</v>
      </c>
      <c r="T36" s="766"/>
      <c r="U36" s="767">
        <f>L36/1000*S36</f>
        <v>577987.25</v>
      </c>
      <c r="V36" s="503">
        <f>U36/$U$53</f>
        <v>1.0709647674657249E-2</v>
      </c>
      <c r="W36" s="763">
        <v>1</v>
      </c>
      <c r="X36" s="760">
        <f>L36/AD36</f>
        <v>1174770.8333333335</v>
      </c>
      <c r="Y36" s="760">
        <f t="shared" si="108"/>
        <v>0</v>
      </c>
      <c r="Z36" s="773">
        <v>3010000</v>
      </c>
      <c r="AA36" s="768">
        <f>X36/Z36</f>
        <v>0.39028931339977857</v>
      </c>
      <c r="AB36" s="769"/>
      <c r="AC36" s="763"/>
      <c r="AD36" s="770">
        <v>1.2</v>
      </c>
      <c r="AE36" s="771" t="s">
        <v>361</v>
      </c>
      <c r="AF36" s="771" t="s">
        <v>361</v>
      </c>
      <c r="AG36" s="772">
        <v>1</v>
      </c>
      <c r="AH36" s="114"/>
      <c r="AJ36" s="411"/>
      <c r="AK36" s="411"/>
      <c r="BB36" s="114">
        <f>L36</f>
        <v>1409725</v>
      </c>
      <c r="BC36" s="114"/>
      <c r="BE36" s="291">
        <f>N36</f>
        <v>14097.25</v>
      </c>
      <c r="BF36" s="291"/>
      <c r="BH36" s="291"/>
      <c r="BI36" s="291"/>
      <c r="BK36" s="114"/>
    </row>
    <row r="37" spans="1:71" s="200" customFormat="1">
      <c r="A37" s="753" t="s">
        <v>290</v>
      </c>
      <c r="B37" s="754" t="s">
        <v>154</v>
      </c>
      <c r="C37" s="754" t="s">
        <v>422</v>
      </c>
      <c r="D37" s="754" t="s">
        <v>427</v>
      </c>
      <c r="E37" s="754" t="s">
        <v>355</v>
      </c>
      <c r="F37" s="755" t="s">
        <v>428</v>
      </c>
      <c r="G37" s="756" t="s">
        <v>294</v>
      </c>
      <c r="H37" s="757" t="s">
        <v>427</v>
      </c>
      <c r="I37" s="758" t="s">
        <v>429</v>
      </c>
      <c r="J37" s="759" t="s">
        <v>118</v>
      </c>
      <c r="K37" s="758" t="s">
        <v>426</v>
      </c>
      <c r="L37" s="760">
        <v>871336</v>
      </c>
      <c r="M37" s="761">
        <v>1.4999999999999999E-2</v>
      </c>
      <c r="N37" s="762">
        <f t="shared" si="104"/>
        <v>13070.039999999999</v>
      </c>
      <c r="O37" s="763">
        <v>0</v>
      </c>
      <c r="P37" s="762">
        <f t="shared" si="105"/>
        <v>0</v>
      </c>
      <c r="Q37" s="764">
        <f t="shared" si="106"/>
        <v>260</v>
      </c>
      <c r="R37" s="765">
        <f>U37/N37</f>
        <v>17.333333333333336</v>
      </c>
      <c r="S37" s="766">
        <v>260</v>
      </c>
      <c r="T37" s="766"/>
      <c r="U37" s="767">
        <f>L37/1000*S37</f>
        <v>226547.36000000002</v>
      </c>
      <c r="V37" s="503">
        <f>U37/$U$53</f>
        <v>4.1977438208606489E-3</v>
      </c>
      <c r="W37" s="763">
        <v>1</v>
      </c>
      <c r="X37" s="760">
        <f>L37/AD37</f>
        <v>726113.33333333337</v>
      </c>
      <c r="Y37" s="760">
        <f t="shared" si="108"/>
        <v>0</v>
      </c>
      <c r="Z37" s="769">
        <v>2144875</v>
      </c>
      <c r="AA37" s="768">
        <f>X37/Z37</f>
        <v>0.33853410260893219</v>
      </c>
      <c r="AB37" s="769"/>
      <c r="AC37" s="763"/>
      <c r="AD37" s="770">
        <v>1.2</v>
      </c>
      <c r="AE37" s="771" t="s">
        <v>361</v>
      </c>
      <c r="AF37" s="771" t="s">
        <v>361</v>
      </c>
      <c r="AG37" s="772">
        <v>1</v>
      </c>
      <c r="AH37" s="114"/>
      <c r="AJ37" s="411"/>
      <c r="AK37" s="411"/>
      <c r="BB37" s="114">
        <f>L37</f>
        <v>871336</v>
      </c>
      <c r="BC37" s="114"/>
      <c r="BE37" s="291">
        <f>N37</f>
        <v>13070.039999999999</v>
      </c>
      <c r="BF37" s="291"/>
      <c r="BH37" s="291"/>
      <c r="BI37" s="291"/>
      <c r="BK37" s="114"/>
    </row>
    <row r="38" spans="1:71" s="200" customFormat="1">
      <c r="A38" s="621" t="s">
        <v>430</v>
      </c>
      <c r="B38" s="101"/>
      <c r="C38" s="101"/>
      <c r="D38" s="101"/>
      <c r="E38" s="101"/>
      <c r="F38" s="101"/>
      <c r="G38" s="101"/>
      <c r="H38" s="101"/>
      <c r="I38" s="101"/>
      <c r="J38" s="199"/>
      <c r="K38" s="103"/>
      <c r="L38" s="104"/>
      <c r="M38" s="105"/>
      <c r="N38" s="105"/>
      <c r="O38" s="105"/>
      <c r="P38" s="106"/>
      <c r="Q38" s="106"/>
      <c r="R38" s="536"/>
      <c r="S38" s="127"/>
      <c r="T38" s="127"/>
      <c r="U38" s="572"/>
      <c r="V38" s="108"/>
      <c r="W38" s="105"/>
      <c r="X38" s="105"/>
      <c r="Y38" s="105"/>
      <c r="Z38" s="105"/>
      <c r="AA38" s="105"/>
      <c r="AB38" s="105"/>
      <c r="AC38" s="109"/>
      <c r="AD38" s="109"/>
      <c r="AE38" s="131"/>
      <c r="AF38" s="109"/>
      <c r="AG38" s="109"/>
      <c r="AH38" s="114"/>
      <c r="AJ38" s="411"/>
      <c r="AK38" s="411"/>
      <c r="BB38" s="114">
        <f t="shared" ref="BB38:BB50" si="116">L38/2</f>
        <v>0</v>
      </c>
      <c r="BC38" s="114">
        <f t="shared" ref="BC38:BC50" si="117">L38/2</f>
        <v>0</v>
      </c>
      <c r="BE38" s="291">
        <f t="shared" si="89"/>
        <v>0</v>
      </c>
      <c r="BF38" s="291">
        <f t="shared" si="90"/>
        <v>0</v>
      </c>
      <c r="BH38" s="291">
        <f t="shared" si="101"/>
        <v>0</v>
      </c>
      <c r="BI38" s="291">
        <f t="shared" si="102"/>
        <v>0</v>
      </c>
      <c r="BK38" s="114"/>
    </row>
    <row r="39" spans="1:71" s="293" customFormat="1">
      <c r="A39" s="155" t="s">
        <v>163</v>
      </c>
      <c r="B39" s="156" t="s">
        <v>127</v>
      </c>
      <c r="C39" s="156" t="s">
        <v>62</v>
      </c>
      <c r="D39" s="156" t="s">
        <v>164</v>
      </c>
      <c r="E39" s="156" t="s">
        <v>390</v>
      </c>
      <c r="F39" s="155" t="s">
        <v>162</v>
      </c>
      <c r="G39" s="48" t="s">
        <v>70</v>
      </c>
      <c r="H39" s="157" t="s">
        <v>165</v>
      </c>
      <c r="I39" s="153" t="s">
        <v>166</v>
      </c>
      <c r="J39" s="48" t="s">
        <v>167</v>
      </c>
      <c r="K39" s="156" t="s">
        <v>168</v>
      </c>
      <c r="L39" s="45">
        <f>N39/M39</f>
        <v>5625000</v>
      </c>
      <c r="M39" s="42">
        <v>0.04</v>
      </c>
      <c r="N39" s="43">
        <f>U39/S39</f>
        <v>225000</v>
      </c>
      <c r="O39" s="46">
        <v>0</v>
      </c>
      <c r="P39" s="43">
        <f t="shared" ref="P39:P40" si="118">L39*O39</f>
        <v>0</v>
      </c>
      <c r="Q39" s="158">
        <f t="shared" ref="Q39:Q40" si="119">U39/(L39/1000)</f>
        <v>80</v>
      </c>
      <c r="R39" s="159">
        <f t="shared" ref="R39:R40" si="120">U39/N39</f>
        <v>2</v>
      </c>
      <c r="S39" s="375">
        <v>2</v>
      </c>
      <c r="T39" s="375"/>
      <c r="U39" s="158">
        <v>450000</v>
      </c>
      <c r="V39" s="503">
        <f>U39/$U$53</f>
        <v>8.3381449220476106E-3</v>
      </c>
      <c r="W39" s="46"/>
      <c r="X39" s="45"/>
      <c r="Y39" s="45"/>
      <c r="Z39" s="43"/>
      <c r="AA39" s="46"/>
      <c r="AB39" s="51"/>
      <c r="AC39" s="44"/>
      <c r="AD39" s="47"/>
      <c r="AE39" s="202" t="s">
        <v>361</v>
      </c>
      <c r="AF39" s="202" t="s">
        <v>7</v>
      </c>
      <c r="AG39" s="374">
        <v>2</v>
      </c>
      <c r="AH39" s="293">
        <f>Y39*60%</f>
        <v>0</v>
      </c>
      <c r="AI39" s="525"/>
      <c r="AJ39" s="294"/>
      <c r="AK39" s="294"/>
      <c r="AL39" s="294"/>
      <c r="BA39" s="293" t="s">
        <v>139</v>
      </c>
      <c r="BB39" s="114">
        <f t="shared" si="116"/>
        <v>2812500</v>
      </c>
      <c r="BC39" s="114">
        <f t="shared" si="117"/>
        <v>2812500</v>
      </c>
      <c r="BE39" s="291">
        <f t="shared" si="89"/>
        <v>112500</v>
      </c>
      <c r="BF39" s="291">
        <f t="shared" si="90"/>
        <v>112500</v>
      </c>
      <c r="BH39" s="291">
        <f t="shared" si="101"/>
        <v>0</v>
      </c>
      <c r="BI39" s="291">
        <f t="shared" si="102"/>
        <v>0</v>
      </c>
    </row>
    <row r="40" spans="1:71" s="293" customFormat="1">
      <c r="A40" s="155" t="s">
        <v>163</v>
      </c>
      <c r="B40" s="156" t="s">
        <v>127</v>
      </c>
      <c r="C40" s="156" t="s">
        <v>431</v>
      </c>
      <c r="D40" s="156" t="s">
        <v>164</v>
      </c>
      <c r="E40" s="156" t="s">
        <v>390</v>
      </c>
      <c r="F40" s="155" t="s">
        <v>162</v>
      </c>
      <c r="G40" s="48" t="s">
        <v>70</v>
      </c>
      <c r="H40" s="157" t="s">
        <v>165</v>
      </c>
      <c r="I40" s="153" t="s">
        <v>166</v>
      </c>
      <c r="J40" s="48" t="s">
        <v>167</v>
      </c>
      <c r="K40" s="156" t="s">
        <v>168</v>
      </c>
      <c r="L40" s="45">
        <f>N40/M40</f>
        <v>5625000</v>
      </c>
      <c r="M40" s="42">
        <v>0.04</v>
      </c>
      <c r="N40" s="43">
        <f>U40/S40</f>
        <v>225000</v>
      </c>
      <c r="O40" s="46">
        <v>0</v>
      </c>
      <c r="P40" s="43">
        <f t="shared" si="118"/>
        <v>0</v>
      </c>
      <c r="Q40" s="158">
        <f t="shared" si="119"/>
        <v>80</v>
      </c>
      <c r="R40" s="159">
        <f t="shared" si="120"/>
        <v>2</v>
      </c>
      <c r="S40" s="375">
        <v>2</v>
      </c>
      <c r="T40" s="375"/>
      <c r="U40" s="158">
        <v>450000</v>
      </c>
      <c r="V40" s="503">
        <f>U40/$U$53</f>
        <v>8.3381449220476106E-3</v>
      </c>
      <c r="W40" s="46"/>
      <c r="X40" s="45"/>
      <c r="Y40" s="45"/>
      <c r="Z40" s="43"/>
      <c r="AA40" s="46"/>
      <c r="AB40" s="51"/>
      <c r="AC40" s="44"/>
      <c r="AD40" s="47"/>
      <c r="AE40" s="202" t="s">
        <v>361</v>
      </c>
      <c r="AF40" s="202" t="s">
        <v>7</v>
      </c>
      <c r="AG40" s="374">
        <v>2</v>
      </c>
      <c r="AI40" s="525"/>
      <c r="AJ40" s="294"/>
      <c r="AK40" s="294"/>
      <c r="AL40" s="294"/>
      <c r="BB40" s="114">
        <f t="shared" si="116"/>
        <v>2812500</v>
      </c>
      <c r="BC40" s="114">
        <f t="shared" si="117"/>
        <v>2812500</v>
      </c>
      <c r="BE40" s="291">
        <f t="shared" si="89"/>
        <v>112500</v>
      </c>
      <c r="BF40" s="291">
        <f t="shared" si="90"/>
        <v>112500</v>
      </c>
      <c r="BH40" s="291">
        <f t="shared" si="101"/>
        <v>0</v>
      </c>
      <c r="BI40" s="291">
        <f t="shared" si="102"/>
        <v>0</v>
      </c>
    </row>
    <row r="41" spans="1:71" s="177" customFormat="1" ht="12.6" customHeight="1">
      <c r="A41" s="211" t="s">
        <v>303</v>
      </c>
      <c r="B41" s="211"/>
      <c r="C41" s="211"/>
      <c r="D41" s="211"/>
      <c r="E41" s="211"/>
      <c r="F41" s="211"/>
      <c r="G41" s="211"/>
      <c r="H41" s="211"/>
      <c r="I41" s="211"/>
      <c r="J41" s="211"/>
      <c r="K41" s="212"/>
      <c r="L41" s="213"/>
      <c r="M41" s="214"/>
      <c r="N41" s="210"/>
      <c r="O41" s="210"/>
      <c r="P41" s="210"/>
      <c r="Q41" s="215"/>
      <c r="R41" s="215"/>
      <c r="S41" s="105"/>
      <c r="T41" s="105"/>
      <c r="U41" s="572"/>
      <c r="V41" s="154"/>
      <c r="W41" s="108"/>
      <c r="X41" s="210"/>
      <c r="Y41" s="210"/>
      <c r="Z41" s="210"/>
      <c r="AA41" s="105"/>
      <c r="AB41" s="105"/>
      <c r="AC41" s="105"/>
      <c r="AD41" s="105"/>
      <c r="AE41" s="105"/>
      <c r="AF41" s="105"/>
      <c r="AG41" s="105"/>
      <c r="BB41" s="114">
        <f t="shared" si="116"/>
        <v>0</v>
      </c>
      <c r="BC41" s="114">
        <f t="shared" si="117"/>
        <v>0</v>
      </c>
      <c r="BE41" s="291">
        <f t="shared" si="89"/>
        <v>0</v>
      </c>
      <c r="BF41" s="291">
        <f t="shared" si="90"/>
        <v>0</v>
      </c>
      <c r="BH41" s="291">
        <f t="shared" si="101"/>
        <v>0</v>
      </c>
      <c r="BI41" s="291">
        <f t="shared" si="102"/>
        <v>0</v>
      </c>
      <c r="BQ41" s="370"/>
      <c r="BR41" s="239"/>
      <c r="BS41" s="372"/>
    </row>
    <row r="42" spans="1:71" s="177" customFormat="1" ht="12.6" customHeight="1">
      <c r="A42" s="413" t="s">
        <v>432</v>
      </c>
      <c r="B42" s="414" t="s">
        <v>154</v>
      </c>
      <c r="C42" s="414" t="s">
        <v>336</v>
      </c>
      <c r="D42" s="414" t="s">
        <v>164</v>
      </c>
      <c r="E42" s="414" t="s">
        <v>390</v>
      </c>
      <c r="F42" s="505" t="s">
        <v>174</v>
      </c>
      <c r="G42" s="415" t="s">
        <v>70</v>
      </c>
      <c r="H42" s="416" t="s">
        <v>304</v>
      </c>
      <c r="I42" s="506" t="s">
        <v>166</v>
      </c>
      <c r="J42" s="417" t="s">
        <v>118</v>
      </c>
      <c r="K42" s="486" t="s">
        <v>306</v>
      </c>
      <c r="L42" s="185">
        <f t="shared" ref="L42:L44" si="121">X42*AD42</f>
        <v>6450000</v>
      </c>
      <c r="M42" s="420">
        <v>0.03</v>
      </c>
      <c r="N42" s="419">
        <f t="shared" ref="N42:N44" si="122">M42*L42</f>
        <v>193500</v>
      </c>
      <c r="O42" s="423">
        <v>0</v>
      </c>
      <c r="P42" s="419">
        <f t="shared" ref="P42:P44" si="123">L42*O42</f>
        <v>0</v>
      </c>
      <c r="Q42" s="487">
        <f t="shared" ref="Q42:Q44" si="124">U42/(L42/1000)</f>
        <v>125</v>
      </c>
      <c r="R42" s="488">
        <f t="shared" ref="R42:R45" si="125">U42/N42</f>
        <v>4.166666666666667</v>
      </c>
      <c r="S42" s="499">
        <v>105</v>
      </c>
      <c r="T42" s="729">
        <v>20</v>
      </c>
      <c r="U42" s="570">
        <f t="shared" ref="U42:U46" si="126">L42/1000*(S42+T42)</f>
        <v>806250</v>
      </c>
      <c r="V42" s="504">
        <f>U42/$U$53</f>
        <v>1.4939176318668635E-2</v>
      </c>
      <c r="W42" s="420">
        <v>1</v>
      </c>
      <c r="X42" s="185">
        <f t="shared" ref="X42:X44" si="127">Z42*AA42</f>
        <v>4300000</v>
      </c>
      <c r="Y42" s="185">
        <f t="shared" ref="Y42:Y44" si="128">(1-W42)*X42</f>
        <v>0</v>
      </c>
      <c r="Z42" s="419">
        <v>8600000</v>
      </c>
      <c r="AA42" s="423">
        <v>0.5</v>
      </c>
      <c r="AB42" s="489"/>
      <c r="AC42" s="420"/>
      <c r="AD42" s="424">
        <v>1.5</v>
      </c>
      <c r="AE42" s="202" t="s">
        <v>361</v>
      </c>
      <c r="AF42" s="202" t="s">
        <v>7</v>
      </c>
      <c r="AG42" s="428">
        <v>2</v>
      </c>
      <c r="AY42" s="242"/>
      <c r="BB42" s="114">
        <f t="shared" si="116"/>
        <v>3225000</v>
      </c>
      <c r="BC42" s="114">
        <f t="shared" si="117"/>
        <v>3225000</v>
      </c>
      <c r="BD42" s="243"/>
      <c r="BE42" s="291">
        <f t="shared" si="89"/>
        <v>96750</v>
      </c>
      <c r="BF42" s="291">
        <f t="shared" si="90"/>
        <v>96750</v>
      </c>
      <c r="BH42" s="291">
        <f t="shared" si="101"/>
        <v>0</v>
      </c>
      <c r="BI42" s="291">
        <f t="shared" si="102"/>
        <v>0</v>
      </c>
      <c r="BQ42" s="490"/>
      <c r="BS42" s="248"/>
    </row>
    <row r="43" spans="1:71" s="177" customFormat="1" ht="12.6" customHeight="1">
      <c r="A43" s="413" t="s">
        <v>432</v>
      </c>
      <c r="B43" s="414" t="s">
        <v>154</v>
      </c>
      <c r="C43" s="414" t="s">
        <v>336</v>
      </c>
      <c r="D43" s="414" t="s">
        <v>164</v>
      </c>
      <c r="E43" s="414" t="s">
        <v>390</v>
      </c>
      <c r="F43" s="505" t="s">
        <v>174</v>
      </c>
      <c r="G43" s="415" t="s">
        <v>70</v>
      </c>
      <c r="H43" s="416" t="s">
        <v>304</v>
      </c>
      <c r="I43" s="506" t="s">
        <v>166</v>
      </c>
      <c r="J43" s="417" t="s">
        <v>118</v>
      </c>
      <c r="K43" s="486" t="s">
        <v>307</v>
      </c>
      <c r="L43" s="185">
        <f t="shared" si="121"/>
        <v>7500000</v>
      </c>
      <c r="M43" s="420">
        <v>0.03</v>
      </c>
      <c r="N43" s="419">
        <f t="shared" si="122"/>
        <v>225000</v>
      </c>
      <c r="O43" s="423">
        <v>0</v>
      </c>
      <c r="P43" s="419">
        <f t="shared" si="123"/>
        <v>0</v>
      </c>
      <c r="Q43" s="487">
        <f t="shared" si="124"/>
        <v>125</v>
      </c>
      <c r="R43" s="488">
        <f t="shared" si="125"/>
        <v>4.166666666666667</v>
      </c>
      <c r="S43" s="499">
        <v>105</v>
      </c>
      <c r="T43" s="729">
        <v>20</v>
      </c>
      <c r="U43" s="570">
        <f t="shared" si="126"/>
        <v>937500</v>
      </c>
      <c r="V43" s="504">
        <f>U43/$U$53</f>
        <v>1.7371135254265854E-2</v>
      </c>
      <c r="W43" s="420">
        <v>1</v>
      </c>
      <c r="X43" s="185">
        <f t="shared" si="127"/>
        <v>5000000</v>
      </c>
      <c r="Y43" s="185">
        <f t="shared" si="128"/>
        <v>0</v>
      </c>
      <c r="Z43" s="419">
        <v>10000000</v>
      </c>
      <c r="AA43" s="423">
        <v>0.5</v>
      </c>
      <c r="AB43" s="489"/>
      <c r="AC43" s="420"/>
      <c r="AD43" s="424">
        <v>1.5</v>
      </c>
      <c r="AE43" s="202" t="s">
        <v>361</v>
      </c>
      <c r="AF43" s="202" t="s">
        <v>7</v>
      </c>
      <c r="AG43" s="428">
        <v>2</v>
      </c>
      <c r="AY43" s="242"/>
      <c r="BB43" s="114">
        <f t="shared" si="116"/>
        <v>3750000</v>
      </c>
      <c r="BC43" s="114">
        <f t="shared" si="117"/>
        <v>3750000</v>
      </c>
      <c r="BD43" s="243"/>
      <c r="BE43" s="291">
        <f t="shared" si="89"/>
        <v>112500</v>
      </c>
      <c r="BF43" s="291">
        <f t="shared" si="90"/>
        <v>112500</v>
      </c>
      <c r="BH43" s="291">
        <f t="shared" si="101"/>
        <v>0</v>
      </c>
      <c r="BI43" s="291">
        <f t="shared" si="102"/>
        <v>0</v>
      </c>
      <c r="BQ43" s="490"/>
      <c r="BS43" s="248"/>
    </row>
    <row r="44" spans="1:71" s="177" customFormat="1" ht="12.6" customHeight="1">
      <c r="A44" s="413" t="s">
        <v>432</v>
      </c>
      <c r="B44" s="414" t="s">
        <v>154</v>
      </c>
      <c r="C44" s="414" t="s">
        <v>336</v>
      </c>
      <c r="D44" s="414" t="s">
        <v>164</v>
      </c>
      <c r="E44" s="414" t="s">
        <v>390</v>
      </c>
      <c r="F44" s="505" t="s">
        <v>174</v>
      </c>
      <c r="G44" s="415" t="s">
        <v>70</v>
      </c>
      <c r="H44" s="416" t="s">
        <v>304</v>
      </c>
      <c r="I44" s="506" t="s">
        <v>166</v>
      </c>
      <c r="J44" s="417" t="s">
        <v>118</v>
      </c>
      <c r="K44" s="486" t="s">
        <v>308</v>
      </c>
      <c r="L44" s="185">
        <f t="shared" si="121"/>
        <v>9000000</v>
      </c>
      <c r="M44" s="420">
        <v>0.03</v>
      </c>
      <c r="N44" s="419">
        <f t="shared" si="122"/>
        <v>270000</v>
      </c>
      <c r="O44" s="423">
        <v>0</v>
      </c>
      <c r="P44" s="419">
        <f t="shared" si="123"/>
        <v>0</v>
      </c>
      <c r="Q44" s="487">
        <f t="shared" si="124"/>
        <v>125</v>
      </c>
      <c r="R44" s="488">
        <f t="shared" si="125"/>
        <v>4.166666666666667</v>
      </c>
      <c r="S44" s="499">
        <v>105</v>
      </c>
      <c r="T44" s="729">
        <v>20</v>
      </c>
      <c r="U44" s="570">
        <f t="shared" si="126"/>
        <v>1125000</v>
      </c>
      <c r="V44" s="504">
        <f>U44/$U$53</f>
        <v>2.0845362305119026E-2</v>
      </c>
      <c r="W44" s="420">
        <v>1</v>
      </c>
      <c r="X44" s="185">
        <f t="shared" si="127"/>
        <v>6000000</v>
      </c>
      <c r="Y44" s="185">
        <f t="shared" si="128"/>
        <v>0</v>
      </c>
      <c r="Z44" s="419">
        <v>12000000</v>
      </c>
      <c r="AA44" s="423">
        <v>0.5</v>
      </c>
      <c r="AB44" s="489"/>
      <c r="AC44" s="420"/>
      <c r="AD44" s="424">
        <v>1.5</v>
      </c>
      <c r="AE44" s="202" t="s">
        <v>361</v>
      </c>
      <c r="AF44" s="202" t="s">
        <v>7</v>
      </c>
      <c r="AG44" s="428">
        <v>2</v>
      </c>
      <c r="AY44" s="242"/>
      <c r="BB44" s="114">
        <f t="shared" si="116"/>
        <v>4500000</v>
      </c>
      <c r="BC44" s="114">
        <f t="shared" si="117"/>
        <v>4500000</v>
      </c>
      <c r="BD44" s="243"/>
      <c r="BE44" s="291">
        <f t="shared" si="89"/>
        <v>135000</v>
      </c>
      <c r="BF44" s="291">
        <f t="shared" si="90"/>
        <v>135000</v>
      </c>
      <c r="BH44" s="291">
        <f t="shared" si="101"/>
        <v>0</v>
      </c>
      <c r="BI44" s="291">
        <f t="shared" si="102"/>
        <v>0</v>
      </c>
      <c r="BQ44" s="490"/>
      <c r="BS44" s="248"/>
    </row>
    <row r="45" spans="1:71" s="239" customFormat="1" ht="11.4" customHeight="1">
      <c r="A45" s="514" t="s">
        <v>432</v>
      </c>
      <c r="B45" s="156" t="s">
        <v>154</v>
      </c>
      <c r="C45" s="156" t="s">
        <v>336</v>
      </c>
      <c r="D45" s="156" t="s">
        <v>164</v>
      </c>
      <c r="E45" s="156" t="s">
        <v>390</v>
      </c>
      <c r="F45" s="505" t="s">
        <v>174</v>
      </c>
      <c r="G45" s="163" t="s">
        <v>70</v>
      </c>
      <c r="H45" s="515" t="s">
        <v>304</v>
      </c>
      <c r="I45" s="516" t="s">
        <v>166</v>
      </c>
      <c r="J45" s="48" t="s">
        <v>118</v>
      </c>
      <c r="K45" s="486" t="s">
        <v>309</v>
      </c>
      <c r="L45" s="45">
        <f t="shared" ref="L45" si="129">X45*AD45</f>
        <v>6525000</v>
      </c>
      <c r="M45" s="44">
        <v>0.03</v>
      </c>
      <c r="N45" s="43">
        <f t="shared" ref="N45" si="130">M45*L45</f>
        <v>195750</v>
      </c>
      <c r="O45" s="46">
        <v>0</v>
      </c>
      <c r="P45" s="43">
        <f t="shared" ref="P45" si="131">L45*O45</f>
        <v>0</v>
      </c>
      <c r="Q45" s="158">
        <f t="shared" ref="Q45" si="132">U45/(L45/1000)</f>
        <v>125</v>
      </c>
      <c r="R45" s="160">
        <f t="shared" si="125"/>
        <v>4.166666666666667</v>
      </c>
      <c r="S45" s="499">
        <v>105</v>
      </c>
      <c r="T45" s="729">
        <v>20</v>
      </c>
      <c r="U45" s="570">
        <f t="shared" si="126"/>
        <v>815625</v>
      </c>
      <c r="V45" s="503">
        <f>U45/$U$53</f>
        <v>1.5112887671211293E-2</v>
      </c>
      <c r="W45" s="44">
        <v>1</v>
      </c>
      <c r="X45" s="45">
        <f t="shared" ref="X45" si="133">Z45*AA45</f>
        <v>4350000</v>
      </c>
      <c r="Y45" s="45">
        <f t="shared" ref="Y45" si="134">(1-W45)*X45</f>
        <v>0</v>
      </c>
      <c r="Z45" s="43">
        <v>14500000</v>
      </c>
      <c r="AA45" s="46">
        <v>0.3</v>
      </c>
      <c r="AB45" s="51"/>
      <c r="AC45" s="44"/>
      <c r="AD45" s="47">
        <v>1.5</v>
      </c>
      <c r="AE45" s="202" t="s">
        <v>361</v>
      </c>
      <c r="AF45" s="202" t="s">
        <v>7</v>
      </c>
      <c r="AG45" s="428">
        <v>2</v>
      </c>
      <c r="AY45" s="395"/>
      <c r="BB45" s="114">
        <f t="shared" si="116"/>
        <v>3262500</v>
      </c>
      <c r="BC45" s="114">
        <f t="shared" si="117"/>
        <v>3262500</v>
      </c>
      <c r="BD45" s="501"/>
      <c r="BE45" s="291">
        <f t="shared" si="89"/>
        <v>97875</v>
      </c>
      <c r="BF45" s="291">
        <f t="shared" si="90"/>
        <v>97875</v>
      </c>
      <c r="BH45" s="291">
        <f t="shared" si="101"/>
        <v>0</v>
      </c>
      <c r="BI45" s="291">
        <f t="shared" si="102"/>
        <v>0</v>
      </c>
      <c r="BQ45" s="373"/>
      <c r="BS45" s="372"/>
    </row>
    <row r="46" spans="1:71" s="239" customFormat="1" ht="14.1" customHeight="1">
      <c r="A46" s="514" t="s">
        <v>432</v>
      </c>
      <c r="B46" s="156" t="s">
        <v>154</v>
      </c>
      <c r="C46" s="156" t="s">
        <v>336</v>
      </c>
      <c r="D46" s="156" t="s">
        <v>164</v>
      </c>
      <c r="E46" s="156" t="s">
        <v>390</v>
      </c>
      <c r="F46" s="505" t="s">
        <v>174</v>
      </c>
      <c r="G46" s="163" t="s">
        <v>70</v>
      </c>
      <c r="H46" s="515" t="s">
        <v>304</v>
      </c>
      <c r="I46" s="516" t="s">
        <v>166</v>
      </c>
      <c r="J46" s="48" t="s">
        <v>118</v>
      </c>
      <c r="K46" s="486" t="s">
        <v>310</v>
      </c>
      <c r="L46" s="45">
        <f t="shared" ref="L46" si="135">X46*AD46</f>
        <v>3697500</v>
      </c>
      <c r="M46" s="44">
        <v>0.03</v>
      </c>
      <c r="N46" s="43">
        <f t="shared" ref="N46" si="136">M46*L46</f>
        <v>110925</v>
      </c>
      <c r="O46" s="46">
        <v>0</v>
      </c>
      <c r="P46" s="43">
        <f t="shared" ref="P46" si="137">L46*O46</f>
        <v>0</v>
      </c>
      <c r="Q46" s="158">
        <f t="shared" ref="Q46" si="138">U46/(L46/1000)</f>
        <v>125</v>
      </c>
      <c r="R46" s="160">
        <f t="shared" ref="R46" si="139">U46/N46</f>
        <v>4.166666666666667</v>
      </c>
      <c r="S46" s="499">
        <v>105</v>
      </c>
      <c r="T46" s="729">
        <v>20</v>
      </c>
      <c r="U46" s="570">
        <f t="shared" si="126"/>
        <v>462187.5</v>
      </c>
      <c r="V46" s="503">
        <f>U46/$U$53</f>
        <v>8.5639696803530667E-3</v>
      </c>
      <c r="W46" s="44">
        <v>1</v>
      </c>
      <c r="X46" s="45">
        <f>Z46*AA46</f>
        <v>2465000</v>
      </c>
      <c r="Y46" s="45">
        <f t="shared" ref="Y46" si="140">(1-W46)*X46</f>
        <v>0</v>
      </c>
      <c r="Z46" s="43">
        <v>8500000</v>
      </c>
      <c r="AA46" s="46">
        <v>0.28999999999999998</v>
      </c>
      <c r="AB46" s="51"/>
      <c r="AC46" s="44"/>
      <c r="AD46" s="47">
        <v>1.5</v>
      </c>
      <c r="AE46" s="202" t="s">
        <v>361</v>
      </c>
      <c r="AF46" s="202" t="s">
        <v>7</v>
      </c>
      <c r="AG46" s="428">
        <v>2</v>
      </c>
      <c r="AY46" s="395"/>
      <c r="BB46" s="114">
        <f t="shared" ref="BB46" si="141">L46/2</f>
        <v>1848750</v>
      </c>
      <c r="BC46" s="114">
        <f t="shared" ref="BC46" si="142">L46/2</f>
        <v>1848750</v>
      </c>
      <c r="BD46" s="501"/>
      <c r="BE46" s="291">
        <f t="shared" ref="BE46" si="143">N46/2</f>
        <v>55462.5</v>
      </c>
      <c r="BF46" s="291">
        <f t="shared" ref="BF46" si="144">N46/2</f>
        <v>55462.5</v>
      </c>
      <c r="BH46" s="291">
        <f t="shared" si="101"/>
        <v>0</v>
      </c>
      <c r="BI46" s="291">
        <f t="shared" si="102"/>
        <v>0</v>
      </c>
      <c r="BQ46" s="373"/>
      <c r="BS46" s="372"/>
    </row>
    <row r="47" spans="1:71">
      <c r="A47" s="161" t="s">
        <v>433</v>
      </c>
      <c r="B47" s="35"/>
      <c r="C47" s="35"/>
      <c r="D47" s="35"/>
      <c r="E47" s="35"/>
      <c r="F47" s="35"/>
      <c r="G47" s="35"/>
      <c r="H47" s="35"/>
      <c r="I47" s="35"/>
      <c r="J47" s="35"/>
      <c r="K47" s="162"/>
      <c r="L47" s="36"/>
      <c r="M47" s="37"/>
      <c r="N47" s="38"/>
      <c r="O47" s="38"/>
      <c r="P47" s="38"/>
      <c r="Q47" s="39"/>
      <c r="R47" s="39"/>
      <c r="S47" s="430"/>
      <c r="T47" s="430"/>
      <c r="U47" s="578"/>
      <c r="V47" s="40"/>
      <c r="W47" s="41"/>
      <c r="X47" s="38"/>
      <c r="Y47" s="38"/>
      <c r="Z47" s="38"/>
      <c r="AA47" s="38"/>
      <c r="AB47" s="50"/>
      <c r="AC47" s="38"/>
      <c r="AD47" s="38"/>
      <c r="AE47" s="38"/>
      <c r="AF47" s="38"/>
      <c r="AG47" s="38"/>
      <c r="BB47" s="114">
        <f t="shared" si="116"/>
        <v>0</v>
      </c>
      <c r="BC47" s="114">
        <f t="shared" si="117"/>
        <v>0</v>
      </c>
      <c r="BE47" s="291">
        <f t="shared" si="89"/>
        <v>0</v>
      </c>
      <c r="BF47" s="291">
        <f t="shared" si="90"/>
        <v>0</v>
      </c>
      <c r="BH47" s="291">
        <f t="shared" si="101"/>
        <v>0</v>
      </c>
      <c r="BI47" s="291">
        <f t="shared" si="102"/>
        <v>0</v>
      </c>
    </row>
    <row r="48" spans="1:71" s="200" customFormat="1">
      <c r="A48" s="155" t="s">
        <v>61</v>
      </c>
      <c r="B48" s="156" t="s">
        <v>127</v>
      </c>
      <c r="C48" s="156" t="s">
        <v>73</v>
      </c>
      <c r="D48" s="156" t="s">
        <v>128</v>
      </c>
      <c r="E48" s="414" t="s">
        <v>390</v>
      </c>
      <c r="F48" s="155" t="s">
        <v>63</v>
      </c>
      <c r="G48" s="48" t="s">
        <v>70</v>
      </c>
      <c r="H48" s="157" t="s">
        <v>155</v>
      </c>
      <c r="I48" s="156" t="s">
        <v>434</v>
      </c>
      <c r="J48" s="163" t="s">
        <v>118</v>
      </c>
      <c r="K48" s="164" t="s">
        <v>435</v>
      </c>
      <c r="L48" s="45">
        <f>AD48*X48</f>
        <v>30000000</v>
      </c>
      <c r="M48" s="42">
        <v>4.0000000000000001E-3</v>
      </c>
      <c r="N48" s="43">
        <f t="shared" ref="N48:N52" si="145">M48*L48</f>
        <v>120000</v>
      </c>
      <c r="O48" s="46">
        <v>0.85</v>
      </c>
      <c r="P48" s="43">
        <f>L48*O48</f>
        <v>25500000</v>
      </c>
      <c r="Q48" s="158">
        <f>U48/(L48/1000)</f>
        <v>70</v>
      </c>
      <c r="R48" s="158">
        <f t="shared" ref="R48" si="146">U48/N48</f>
        <v>17.5</v>
      </c>
      <c r="S48" s="597">
        <v>70</v>
      </c>
      <c r="T48" s="597"/>
      <c r="U48" s="573">
        <f t="shared" ref="U48" si="147">L48*S48/1000</f>
        <v>2100000</v>
      </c>
      <c r="V48" s="44">
        <f>U48/$U$53</f>
        <v>3.8911342969555514E-2</v>
      </c>
      <c r="W48" s="44">
        <v>1</v>
      </c>
      <c r="X48" s="45">
        <f t="shared" ref="X48:X51" si="148">Z48*AA48</f>
        <v>20000000</v>
      </c>
      <c r="Y48" s="45">
        <f>(1-W48)*X48</f>
        <v>0</v>
      </c>
      <c r="Z48" s="45">
        <v>40000000</v>
      </c>
      <c r="AA48" s="46">
        <v>0.5</v>
      </c>
      <c r="AB48" s="51"/>
      <c r="AC48" s="44"/>
      <c r="AD48" s="47">
        <v>1.5</v>
      </c>
      <c r="AE48" s="202" t="s">
        <v>361</v>
      </c>
      <c r="AF48" s="202" t="s">
        <v>7</v>
      </c>
      <c r="AG48" s="374">
        <v>2</v>
      </c>
      <c r="AH48" s="429"/>
      <c r="AJ48" s="748"/>
      <c r="BB48" s="114">
        <f t="shared" si="116"/>
        <v>15000000</v>
      </c>
      <c r="BC48" s="114">
        <f t="shared" si="117"/>
        <v>15000000</v>
      </c>
      <c r="BE48" s="291">
        <f t="shared" si="89"/>
        <v>60000</v>
      </c>
      <c r="BF48" s="291">
        <f t="shared" si="90"/>
        <v>60000</v>
      </c>
      <c r="BH48" s="291">
        <f t="shared" si="101"/>
        <v>12750000</v>
      </c>
      <c r="BI48" s="291">
        <f t="shared" si="102"/>
        <v>12750000</v>
      </c>
      <c r="BJ48" t="s">
        <v>139</v>
      </c>
      <c r="BK48">
        <v>2.13</v>
      </c>
    </row>
    <row r="49" spans="1:63">
      <c r="A49" s="186" t="s">
        <v>61</v>
      </c>
      <c r="B49" s="414" t="s">
        <v>127</v>
      </c>
      <c r="C49" s="414" t="s">
        <v>73</v>
      </c>
      <c r="D49" s="414" t="s">
        <v>128</v>
      </c>
      <c r="E49" s="414" t="s">
        <v>390</v>
      </c>
      <c r="F49" s="186" t="s">
        <v>76</v>
      </c>
      <c r="G49" s="417" t="s">
        <v>64</v>
      </c>
      <c r="H49" s="491" t="s">
        <v>436</v>
      </c>
      <c r="I49" s="414" t="s">
        <v>437</v>
      </c>
      <c r="J49" s="415" t="s">
        <v>118</v>
      </c>
      <c r="K49" s="486" t="s">
        <v>438</v>
      </c>
      <c r="L49" s="185">
        <f>AD49*X49</f>
        <v>10050000</v>
      </c>
      <c r="M49" s="418">
        <v>0</v>
      </c>
      <c r="N49" s="419">
        <f t="shared" ref="N49" si="149">M49*L49</f>
        <v>0</v>
      </c>
      <c r="O49" s="423"/>
      <c r="P49" s="419">
        <f>L49*O49</f>
        <v>0</v>
      </c>
      <c r="Q49" s="487">
        <f>U49/(L49/1000)</f>
        <v>100</v>
      </c>
      <c r="R49" s="487" t="e">
        <f t="shared" ref="R49" si="150">U49/N49</f>
        <v>#DIV/0!</v>
      </c>
      <c r="S49" s="715">
        <v>100</v>
      </c>
      <c r="T49" s="715"/>
      <c r="U49" s="576">
        <f t="shared" ref="U49" si="151">L49*S49/1000</f>
        <v>1005000</v>
      </c>
      <c r="V49" s="420">
        <f>U49/$U$53</f>
        <v>1.8621856992572995E-2</v>
      </c>
      <c r="W49" s="420">
        <v>1</v>
      </c>
      <c r="X49" s="185">
        <f t="shared" ref="X49" si="152">Z49*AA49</f>
        <v>6700000</v>
      </c>
      <c r="Y49" s="185">
        <f>(1-W49)*X49</f>
        <v>0</v>
      </c>
      <c r="Z49" s="185">
        <v>20000000</v>
      </c>
      <c r="AA49" s="423">
        <v>0.33500000000000002</v>
      </c>
      <c r="AB49" s="489"/>
      <c r="AC49" s="420"/>
      <c r="AD49" s="424">
        <v>1.5</v>
      </c>
      <c r="AE49" s="425" t="s">
        <v>361</v>
      </c>
      <c r="AF49" s="425" t="s">
        <v>7</v>
      </c>
      <c r="AG49" s="479">
        <v>2</v>
      </c>
      <c r="AH49" s="716"/>
      <c r="BB49" s="427">
        <f t="shared" ref="BB49" si="153">L49/2</f>
        <v>5025000</v>
      </c>
      <c r="BC49" s="427">
        <f t="shared" ref="BC49" si="154">L49/2</f>
        <v>5025000</v>
      </c>
      <c r="BE49" s="484">
        <f t="shared" ref="BE49" si="155">N49/2</f>
        <v>0</v>
      </c>
      <c r="BF49" s="484">
        <f t="shared" ref="BF49" si="156">N49/2</f>
        <v>0</v>
      </c>
      <c r="BH49" s="291">
        <f t="shared" si="101"/>
        <v>0</v>
      </c>
      <c r="BI49" s="291">
        <f t="shared" si="102"/>
        <v>0</v>
      </c>
      <c r="BJ49" t="s">
        <v>139</v>
      </c>
      <c r="BK49">
        <v>2.13</v>
      </c>
    </row>
    <row r="50" spans="1:63">
      <c r="A50" s="186" t="s">
        <v>163</v>
      </c>
      <c r="B50" s="414" t="s">
        <v>127</v>
      </c>
      <c r="C50" s="414" t="s">
        <v>73</v>
      </c>
      <c r="D50" s="414" t="s">
        <v>164</v>
      </c>
      <c r="E50" s="191" t="s">
        <v>355</v>
      </c>
      <c r="F50" s="153" t="s">
        <v>439</v>
      </c>
      <c r="G50" s="417" t="s">
        <v>70</v>
      </c>
      <c r="H50" s="717" t="s">
        <v>304</v>
      </c>
      <c r="I50" s="186" t="s">
        <v>440</v>
      </c>
      <c r="J50" s="417" t="s">
        <v>167</v>
      </c>
      <c r="K50" s="486" t="s">
        <v>441</v>
      </c>
      <c r="L50" s="185">
        <f t="shared" ref="L50" si="157">AD50*X50</f>
        <v>12500000</v>
      </c>
      <c r="M50" s="418">
        <v>0.01</v>
      </c>
      <c r="N50" s="419">
        <f t="shared" si="145"/>
        <v>125000</v>
      </c>
      <c r="O50" s="420">
        <v>0</v>
      </c>
      <c r="P50" s="419">
        <f t="shared" ref="P50" si="158">O50*L50</f>
        <v>0</v>
      </c>
      <c r="Q50" s="421">
        <f t="shared" ref="Q50" si="159">U50/(L50/1000)</f>
        <v>45</v>
      </c>
      <c r="R50" s="421">
        <f>U50/N50</f>
        <v>4.5</v>
      </c>
      <c r="S50" s="725">
        <v>4.5</v>
      </c>
      <c r="T50" s="725"/>
      <c r="U50" s="576">
        <f>S50*N50</f>
        <v>562500</v>
      </c>
      <c r="V50" s="420">
        <f>U50/$U$53</f>
        <v>1.0422681152559513E-2</v>
      </c>
      <c r="W50" s="420">
        <v>1</v>
      </c>
      <c r="X50" s="185">
        <f t="shared" si="148"/>
        <v>6250000</v>
      </c>
      <c r="Y50" s="185">
        <f t="shared" ref="Y50" si="160">(1-W50)*X50</f>
        <v>0</v>
      </c>
      <c r="Z50" s="185">
        <v>25000000</v>
      </c>
      <c r="AA50" s="423">
        <v>0.25</v>
      </c>
      <c r="AB50" s="489"/>
      <c r="AC50" s="420"/>
      <c r="AD50" s="424">
        <v>2</v>
      </c>
      <c r="AE50" s="425" t="s">
        <v>361</v>
      </c>
      <c r="AF50" s="425" t="s">
        <v>7</v>
      </c>
      <c r="AG50" s="479">
        <v>2</v>
      </c>
      <c r="AH50" s="716"/>
      <c r="BB50" s="427">
        <f t="shared" si="116"/>
        <v>6250000</v>
      </c>
      <c r="BC50" s="427">
        <f t="shared" si="117"/>
        <v>6250000</v>
      </c>
      <c r="BE50" s="484">
        <f t="shared" si="89"/>
        <v>62500</v>
      </c>
      <c r="BF50" s="484">
        <f t="shared" si="90"/>
        <v>62500</v>
      </c>
      <c r="BH50" s="291">
        <f t="shared" si="101"/>
        <v>0</v>
      </c>
      <c r="BI50" s="291">
        <f t="shared" si="102"/>
        <v>0</v>
      </c>
    </row>
    <row r="51" spans="1:63">
      <c r="A51" s="186" t="s">
        <v>163</v>
      </c>
      <c r="B51" s="414" t="s">
        <v>127</v>
      </c>
      <c r="C51" s="414" t="s">
        <v>73</v>
      </c>
      <c r="D51" s="414" t="s">
        <v>164</v>
      </c>
      <c r="E51" s="191" t="s">
        <v>355</v>
      </c>
      <c r="F51" s="414" t="s">
        <v>442</v>
      </c>
      <c r="G51" s="417" t="s">
        <v>70</v>
      </c>
      <c r="H51" s="717" t="s">
        <v>304</v>
      </c>
      <c r="I51" s="186" t="s">
        <v>443</v>
      </c>
      <c r="J51" s="417" t="s">
        <v>167</v>
      </c>
      <c r="K51" s="486" t="s">
        <v>441</v>
      </c>
      <c r="L51" s="185">
        <f>AD51*X51</f>
        <v>9600000</v>
      </c>
      <c r="M51" s="418">
        <v>0.01</v>
      </c>
      <c r="N51" s="419">
        <f t="shared" si="145"/>
        <v>96000</v>
      </c>
      <c r="O51" s="423">
        <v>0</v>
      </c>
      <c r="P51" s="419">
        <f>L51*O51</f>
        <v>0</v>
      </c>
      <c r="Q51" s="487">
        <f>U51/(L51/1000)</f>
        <v>60</v>
      </c>
      <c r="R51" s="487">
        <f t="shared" ref="R51:R52" si="161">U51/N51</f>
        <v>6</v>
      </c>
      <c r="S51" s="635">
        <v>6</v>
      </c>
      <c r="T51" s="635"/>
      <c r="U51" s="576">
        <f>S51*N51</f>
        <v>576000</v>
      </c>
      <c r="V51" s="420">
        <f>U51/$U$53</f>
        <v>1.0672825500220941E-2</v>
      </c>
      <c r="W51" s="420">
        <v>1</v>
      </c>
      <c r="X51" s="185">
        <f t="shared" si="148"/>
        <v>4800000</v>
      </c>
      <c r="Y51" s="185">
        <f>(1-W51)*X51</f>
        <v>0</v>
      </c>
      <c r="Z51" s="185">
        <v>24000000</v>
      </c>
      <c r="AA51" s="423">
        <v>0.2</v>
      </c>
      <c r="AB51" s="489"/>
      <c r="AC51" s="423"/>
      <c r="AD51" s="424">
        <v>2</v>
      </c>
      <c r="AE51" s="425" t="s">
        <v>361</v>
      </c>
      <c r="AF51" s="425" t="s">
        <v>7</v>
      </c>
      <c r="AG51" s="479">
        <v>2</v>
      </c>
      <c r="AH51" s="716"/>
      <c r="BB51" s="427">
        <f t="shared" ref="BB51:BB52" si="162">L51/2</f>
        <v>4800000</v>
      </c>
      <c r="BC51" s="427">
        <f t="shared" ref="BC51:BC52" si="163">L51/2</f>
        <v>4800000</v>
      </c>
      <c r="BE51" s="484">
        <f t="shared" si="89"/>
        <v>48000</v>
      </c>
      <c r="BF51" s="484">
        <f t="shared" si="90"/>
        <v>48000</v>
      </c>
      <c r="BH51" s="291">
        <f t="shared" si="101"/>
        <v>0</v>
      </c>
      <c r="BI51" s="291">
        <f t="shared" si="102"/>
        <v>0</v>
      </c>
    </row>
    <row r="52" spans="1:63" s="427" customFormat="1">
      <c r="A52" s="475" t="s">
        <v>332</v>
      </c>
      <c r="B52" s="191" t="s">
        <v>154</v>
      </c>
      <c r="C52" s="191" t="s">
        <v>333</v>
      </c>
      <c r="D52" s="191" t="s">
        <v>164</v>
      </c>
      <c r="E52" s="191" t="s">
        <v>355</v>
      </c>
      <c r="F52" s="638" t="s">
        <v>334</v>
      </c>
      <c r="G52" s="191" t="s">
        <v>294</v>
      </c>
      <c r="H52" s="183" t="s">
        <v>444</v>
      </c>
      <c r="I52" s="183"/>
      <c r="J52" s="191"/>
      <c r="K52" s="191" t="s">
        <v>336</v>
      </c>
      <c r="L52" s="123">
        <v>2300000</v>
      </c>
      <c r="M52" s="135">
        <v>0.01</v>
      </c>
      <c r="N52" s="185">
        <f t="shared" si="145"/>
        <v>23000</v>
      </c>
      <c r="O52" s="185"/>
      <c r="P52" s="185"/>
      <c r="Q52" s="421"/>
      <c r="R52" s="422">
        <f t="shared" si="161"/>
        <v>0</v>
      </c>
      <c r="S52" s="635"/>
      <c r="T52" s="635"/>
      <c r="U52" s="576">
        <v>0</v>
      </c>
      <c r="V52" s="420">
        <f t="shared" ref="V52" si="164">U52/$U$53</f>
        <v>0</v>
      </c>
      <c r="W52" s="420">
        <v>1</v>
      </c>
      <c r="X52" s="123">
        <f>U52/AD52</f>
        <v>0</v>
      </c>
      <c r="Y52" s="185">
        <f t="shared" ref="Y52" si="165">(1-W52)*X52</f>
        <v>0</v>
      </c>
      <c r="Z52" s="477"/>
      <c r="AA52" s="478"/>
      <c r="AB52" s="477"/>
      <c r="AC52" s="477"/>
      <c r="AD52" s="424">
        <v>1.4</v>
      </c>
      <c r="AE52" s="425" t="s">
        <v>361</v>
      </c>
      <c r="AF52" s="425" t="s">
        <v>7</v>
      </c>
      <c r="AG52" s="479">
        <v>2</v>
      </c>
      <c r="AH52" s="480"/>
      <c r="AJ52" s="747"/>
      <c r="AK52" s="639"/>
      <c r="AL52" s="718"/>
      <c r="AM52" s="640"/>
      <c r="AN52" s="640"/>
      <c r="AO52" s="640"/>
      <c r="AP52" s="639"/>
      <c r="AQ52" s="641"/>
      <c r="AR52" s="642"/>
      <c r="AS52" s="483"/>
      <c r="AT52" s="639"/>
      <c r="AU52" s="639"/>
      <c r="AV52" s="639"/>
      <c r="AW52" s="639"/>
      <c r="BB52" s="427">
        <f t="shared" si="162"/>
        <v>1150000</v>
      </c>
      <c r="BC52" s="427">
        <f t="shared" si="163"/>
        <v>1150000</v>
      </c>
      <c r="BE52" s="484">
        <f t="shared" si="89"/>
        <v>11500</v>
      </c>
      <c r="BF52" s="484">
        <f t="shared" si="90"/>
        <v>11500</v>
      </c>
      <c r="BH52" s="291">
        <f>P52/2</f>
        <v>0</v>
      </c>
      <c r="BI52" s="291">
        <f>P52/2</f>
        <v>0</v>
      </c>
    </row>
    <row r="53" spans="1:63">
      <c r="A53" s="170" t="s">
        <v>84</v>
      </c>
      <c r="B53" s="170"/>
      <c r="C53" s="170"/>
      <c r="D53" s="170"/>
      <c r="E53" s="170"/>
      <c r="F53" s="170"/>
      <c r="G53" s="170"/>
      <c r="H53" s="170"/>
      <c r="I53" s="52"/>
      <c r="J53" s="52"/>
      <c r="K53" s="171"/>
      <c r="L53" s="53">
        <f>SUM(L4:L52)</f>
        <v>2073193331.2288687</v>
      </c>
      <c r="M53" s="54">
        <f>N53/L53</f>
        <v>1.0069954928219129E-2</v>
      </c>
      <c r="N53" s="53">
        <f>SUM(N4:N52)</f>
        <v>20876963.402959179</v>
      </c>
      <c r="O53" s="53"/>
      <c r="P53" s="53">
        <f>SUM(P4:P52)</f>
        <v>37426706.018443182</v>
      </c>
      <c r="Q53" s="55">
        <f>U53/(L53/1000)</f>
        <v>26.03174440334087</v>
      </c>
      <c r="R53" s="56">
        <f>U53/N53</f>
        <v>2.5850904585870458</v>
      </c>
      <c r="S53" s="128"/>
      <c r="T53" s="730"/>
      <c r="U53" s="601">
        <f>SUM(U4:U52)</f>
        <v>53968838.897260718</v>
      </c>
      <c r="V53" s="57"/>
      <c r="W53" s="60"/>
      <c r="X53" s="58"/>
      <c r="Y53" s="53">
        <f>SUM(Y4:Y51)</f>
        <v>239679000</v>
      </c>
      <c r="Z53" s="58">
        <v>490000000</v>
      </c>
      <c r="AA53" s="60">
        <f>Y53/Z53</f>
        <v>0.48914081632653061</v>
      </c>
      <c r="AB53" s="59"/>
      <c r="AC53" s="60"/>
      <c r="AD53" s="634">
        <f>L53/Y53</f>
        <v>8.6498747542707903</v>
      </c>
      <c r="AE53" s="61"/>
      <c r="AF53" s="61"/>
      <c r="AG53" s="62"/>
      <c r="AH53" s="329"/>
      <c r="BB53" s="336">
        <f>SUM(BB4:BB52)</f>
        <v>1608562800.3776841</v>
      </c>
      <c r="BC53" s="336">
        <f>SUM(BC4:BC52)</f>
        <v>464630530.85118508</v>
      </c>
      <c r="BD53" s="335">
        <f>SUM(BB53:BC53)</f>
        <v>2073193331.2288692</v>
      </c>
      <c r="BE53" s="335">
        <f>SUM(BE4:BE52)</f>
        <v>15143031.747115022</v>
      </c>
      <c r="BF53" s="335">
        <f>SUM(BF4:BF52)</f>
        <v>5717860.2272727275</v>
      </c>
      <c r="BG53" s="335"/>
      <c r="BH53" s="335">
        <f>SUM(BH4:BH52)</f>
        <v>18713353.009221591</v>
      </c>
      <c r="BI53" s="335">
        <f>SUM(BI4:BI52)</f>
        <v>18713353.009221591</v>
      </c>
    </row>
    <row r="54" spans="1:63">
      <c r="L54" s="63"/>
      <c r="N54" s="63"/>
      <c r="P54" s="64"/>
      <c r="Q54" s="65"/>
      <c r="U54"/>
      <c r="X54" s="8"/>
      <c r="Y54" s="23"/>
      <c r="Z54" s="66"/>
      <c r="AA54" s="67"/>
      <c r="AD54" s="32"/>
      <c r="BD54" s="5"/>
      <c r="BE54" s="291"/>
      <c r="BF54" s="114"/>
      <c r="BH54" s="291"/>
      <c r="BI54" s="114"/>
    </row>
    <row r="55" spans="1:63" ht="15.6">
      <c r="A55" s="324" t="s">
        <v>445</v>
      </c>
      <c r="U55" s="129"/>
      <c r="V55" s="5"/>
      <c r="X55" s="68"/>
      <c r="BE55" s="291"/>
      <c r="BF55" s="114"/>
      <c r="BH55" s="291"/>
      <c r="BI55" s="114"/>
    </row>
    <row r="56" spans="1:63">
      <c r="A56" s="322" t="s">
        <v>446</v>
      </c>
      <c r="M56" s="23"/>
      <c r="X56" s="364"/>
      <c r="AL56" s="364"/>
    </row>
    <row r="57" spans="1:63">
      <c r="A57" s="323" t="s">
        <v>447</v>
      </c>
      <c r="AL57" s="8"/>
    </row>
    <row r="58" spans="1:63">
      <c r="A58" s="326"/>
      <c r="AL58" s="5"/>
    </row>
    <row r="59" spans="1:63">
      <c r="M59" s="362"/>
      <c r="U59" s="363"/>
      <c r="AL59" s="5"/>
    </row>
    <row r="60" spans="1:63">
      <c r="M60" s="362"/>
      <c r="Y60" s="8"/>
      <c r="AL60" s="115"/>
    </row>
    <row r="61" spans="1:63">
      <c r="X61" s="32"/>
      <c r="Y61" s="8"/>
    </row>
    <row r="62" spans="1:63">
      <c r="G62" s="293"/>
    </row>
    <row r="64" spans="1:63">
      <c r="G64" s="293"/>
    </row>
    <row r="65" spans="3:7">
      <c r="C65" s="364"/>
      <c r="G65" s="293"/>
    </row>
    <row r="66" spans="3:7">
      <c r="C66" s="364"/>
    </row>
    <row r="67" spans="3:7">
      <c r="C67" s="565"/>
    </row>
  </sheetData>
  <mergeCells count="3">
    <mergeCell ref="BE1:BF1"/>
    <mergeCell ref="BB1:BC1"/>
    <mergeCell ref="BH1:BI1"/>
  </mergeCells>
  <conditionalFormatting sqref="R3">
    <cfRule type="colorScale" priority="8">
      <colorScale>
        <cfvo type="min"/>
        <cfvo type="percentile" val="50"/>
        <cfvo type="max"/>
        <color rgb="FF63BE7B"/>
        <color rgb="FFFFEB84"/>
        <color rgb="FFF8696B"/>
      </colorScale>
    </cfRule>
  </conditionalFormatting>
  <conditionalFormatting sqref="R21">
    <cfRule type="colorScale" priority="2">
      <colorScale>
        <cfvo type="min"/>
        <cfvo type="percentile" val="50"/>
        <cfvo type="max"/>
        <color rgb="FF63BE7B"/>
        <color rgb="FFFFEB84"/>
        <color rgb="FFF8696B"/>
      </colorScale>
    </cfRule>
  </conditionalFormatting>
  <conditionalFormatting sqref="R22:R23 R4:R20">
    <cfRule type="colorScale" priority="731">
      <colorScale>
        <cfvo type="min"/>
        <cfvo type="percentile" val="50"/>
        <cfvo type="max"/>
        <color rgb="FF63BE7B"/>
        <color rgb="FFFFEB84"/>
        <color rgb="FFF8696B"/>
      </colorScale>
    </cfRule>
  </conditionalFormatting>
  <conditionalFormatting sqref="R52">
    <cfRule type="colorScale" priority="11">
      <colorScale>
        <cfvo type="min"/>
        <cfvo type="percentile" val="50"/>
        <cfvo type="max"/>
        <color rgb="FF63BE7B"/>
        <color rgb="FFFFEB84"/>
        <color rgb="FFF8696B"/>
      </colorScale>
    </cfRule>
  </conditionalFormatting>
  <conditionalFormatting sqref="V3:V23">
    <cfRule type="colorScale" priority="850">
      <colorScale>
        <cfvo type="min"/>
        <cfvo type="percentile" val="50"/>
        <cfvo type="max"/>
        <color rgb="FF63BE7B"/>
        <color rgb="FFFFEB84"/>
        <color rgb="FFF8696B"/>
      </colorScale>
    </cfRule>
    <cfRule type="colorScale" priority="849">
      <colorScale>
        <cfvo type="min"/>
        <cfvo type="percentile" val="50"/>
        <cfvo type="max"/>
        <color rgb="FFF8696B"/>
        <color rgb="FFFFEB84"/>
        <color rgb="FF63BE7B"/>
      </colorScale>
    </cfRule>
  </conditionalFormatting>
  <conditionalFormatting sqref="V25">
    <cfRule type="colorScale" priority="78">
      <colorScale>
        <cfvo type="min"/>
        <cfvo type="percentile" val="50"/>
        <cfvo type="max"/>
        <color rgb="FFF8696B"/>
        <color rgb="FFFFEB84"/>
        <color rgb="FF63BE7B"/>
      </colorScale>
    </cfRule>
    <cfRule type="colorScale" priority="79">
      <colorScale>
        <cfvo type="min"/>
        <cfvo type="percentile" val="50"/>
        <cfvo type="max"/>
        <color rgb="FF63BE7B"/>
        <color rgb="FFFFEB84"/>
        <color rgb="FFF8696B"/>
      </colorScale>
    </cfRule>
  </conditionalFormatting>
  <conditionalFormatting sqref="V26">
    <cfRule type="colorScale" priority="75">
      <colorScale>
        <cfvo type="min"/>
        <cfvo type="percentile" val="50"/>
        <cfvo type="max"/>
        <color rgb="FFF8696B"/>
        <color rgb="FFFFEB84"/>
        <color rgb="FF63BE7B"/>
      </colorScale>
    </cfRule>
    <cfRule type="colorScale" priority="76">
      <colorScale>
        <cfvo type="min"/>
        <cfvo type="percentile" val="50"/>
        <cfvo type="max"/>
        <color rgb="FF63BE7B"/>
        <color rgb="FFFFEB84"/>
        <color rgb="FFF8696B"/>
      </colorScale>
    </cfRule>
  </conditionalFormatting>
  <conditionalFormatting sqref="V27">
    <cfRule type="colorScale" priority="72">
      <colorScale>
        <cfvo type="min"/>
        <cfvo type="percentile" val="50"/>
        <cfvo type="max"/>
        <color rgb="FFF8696B"/>
        <color rgb="FFFFEB84"/>
        <color rgb="FF63BE7B"/>
      </colorScale>
    </cfRule>
    <cfRule type="colorScale" priority="73">
      <colorScale>
        <cfvo type="min"/>
        <cfvo type="percentile" val="50"/>
        <cfvo type="max"/>
        <color rgb="FF63BE7B"/>
        <color rgb="FFFFEB84"/>
        <color rgb="FFF8696B"/>
      </colorScale>
    </cfRule>
  </conditionalFormatting>
  <conditionalFormatting sqref="V28">
    <cfRule type="colorScale" priority="69">
      <colorScale>
        <cfvo type="min"/>
        <cfvo type="percentile" val="50"/>
        <cfvo type="max"/>
        <color rgb="FFF8696B"/>
        <color rgb="FFFFEB84"/>
        <color rgb="FF63BE7B"/>
      </colorScale>
    </cfRule>
    <cfRule type="colorScale" priority="70">
      <colorScale>
        <cfvo type="min"/>
        <cfvo type="percentile" val="50"/>
        <cfvo type="max"/>
        <color rgb="FF63BE7B"/>
        <color rgb="FFFFEB84"/>
        <color rgb="FFF8696B"/>
      </colorScale>
    </cfRule>
  </conditionalFormatting>
  <conditionalFormatting sqref="V30:V34 V36:V37">
    <cfRule type="colorScale" priority="409">
      <colorScale>
        <cfvo type="min"/>
        <cfvo type="percentile" val="50"/>
        <cfvo type="max"/>
        <color rgb="FF63BE7B"/>
        <color rgb="FFFFEB84"/>
        <color rgb="FFF8696B"/>
      </colorScale>
    </cfRule>
    <cfRule type="colorScale" priority="408">
      <colorScale>
        <cfvo type="min"/>
        <cfvo type="percentile" val="50"/>
        <cfvo type="max"/>
        <color rgb="FFF8696B"/>
        <color rgb="FFFFEB84"/>
        <color rgb="FF63BE7B"/>
      </colorScale>
    </cfRule>
  </conditionalFormatting>
  <conditionalFormatting sqref="V39">
    <cfRule type="colorScale" priority="85">
      <colorScale>
        <cfvo type="min"/>
        <cfvo type="percentile" val="50"/>
        <cfvo type="max"/>
        <color rgb="FFF8696B"/>
        <color rgb="FFFFEB84"/>
        <color rgb="FF63BE7B"/>
      </colorScale>
    </cfRule>
    <cfRule type="colorScale" priority="86">
      <colorScale>
        <cfvo type="min"/>
        <cfvo type="percentile" val="50"/>
        <cfvo type="max"/>
        <color rgb="FF63BE7B"/>
        <color rgb="FFFFEB84"/>
        <color rgb="FFF8696B"/>
      </colorScale>
    </cfRule>
  </conditionalFormatting>
  <conditionalFormatting sqref="V40">
    <cfRule type="colorScale" priority="83">
      <colorScale>
        <cfvo type="min"/>
        <cfvo type="percentile" val="50"/>
        <cfvo type="max"/>
        <color rgb="FFF8696B"/>
        <color rgb="FFFFEB84"/>
        <color rgb="FF63BE7B"/>
      </colorScale>
    </cfRule>
    <cfRule type="colorScale" priority="84">
      <colorScale>
        <cfvo type="min"/>
        <cfvo type="percentile" val="50"/>
        <cfvo type="max"/>
        <color rgb="FF63BE7B"/>
        <color rgb="FFFFEB84"/>
        <color rgb="FFF8696B"/>
      </colorScale>
    </cfRule>
  </conditionalFormatting>
  <conditionalFormatting sqref="V42">
    <cfRule type="colorScale" priority="748">
      <colorScale>
        <cfvo type="min"/>
        <cfvo type="percentile" val="50"/>
        <cfvo type="max"/>
        <color rgb="FFF8696B"/>
        <color rgb="FFFFEB84"/>
        <color rgb="FF63BE7B"/>
      </colorScale>
    </cfRule>
    <cfRule type="colorScale" priority="749">
      <colorScale>
        <cfvo type="min"/>
        <cfvo type="percentile" val="50"/>
        <cfvo type="max"/>
        <color rgb="FF63BE7B"/>
        <color rgb="FFFFEB84"/>
        <color rgb="FFF8696B"/>
      </colorScale>
    </cfRule>
  </conditionalFormatting>
  <conditionalFormatting sqref="V43">
    <cfRule type="colorScale" priority="750">
      <colorScale>
        <cfvo type="min"/>
        <cfvo type="percentile" val="50"/>
        <cfvo type="max"/>
        <color rgb="FFF8696B"/>
        <color rgb="FFFFEB84"/>
        <color rgb="FF63BE7B"/>
      </colorScale>
    </cfRule>
    <cfRule type="colorScale" priority="751">
      <colorScale>
        <cfvo type="min"/>
        <cfvo type="percentile" val="50"/>
        <cfvo type="max"/>
        <color rgb="FF63BE7B"/>
        <color rgb="FFFFEB84"/>
        <color rgb="FFF8696B"/>
      </colorScale>
    </cfRule>
  </conditionalFormatting>
  <conditionalFormatting sqref="V44:V46">
    <cfRule type="colorScale" priority="128">
      <colorScale>
        <cfvo type="min"/>
        <cfvo type="percentile" val="50"/>
        <cfvo type="max"/>
        <color rgb="FFF8696B"/>
        <color rgb="FFFFEB84"/>
        <color rgb="FF63BE7B"/>
      </colorScale>
    </cfRule>
    <cfRule type="colorScale" priority="129">
      <colorScale>
        <cfvo type="min"/>
        <cfvo type="percentile" val="50"/>
        <cfvo type="max"/>
        <color rgb="FF63BE7B"/>
        <color rgb="FFFFEB84"/>
        <color rgb="FFF8696B"/>
      </colorScale>
    </cfRule>
  </conditionalFormatting>
  <conditionalFormatting sqref="V48:V49">
    <cfRule type="colorScale" priority="545">
      <colorScale>
        <cfvo type="min"/>
        <cfvo type="percentile" val="50"/>
        <cfvo type="max"/>
        <color rgb="FFF8696B"/>
        <color rgb="FFFFEB84"/>
        <color rgb="FF63BE7B"/>
      </colorScale>
    </cfRule>
    <cfRule type="colorScale" priority="546">
      <colorScale>
        <cfvo type="min"/>
        <cfvo type="percentile" val="50"/>
        <cfvo type="max"/>
        <color rgb="FF63BE7B"/>
        <color rgb="FFFFEB84"/>
        <color rgb="FFF8696B"/>
      </colorScale>
    </cfRule>
  </conditionalFormatting>
  <conditionalFormatting sqref="V50">
    <cfRule type="colorScale" priority="167">
      <colorScale>
        <cfvo type="min"/>
        <cfvo type="percentile" val="50"/>
        <cfvo type="max"/>
        <color rgb="FFF8696B"/>
        <color rgb="FFFFEB84"/>
        <color rgb="FF63BE7B"/>
      </colorScale>
    </cfRule>
    <cfRule type="colorScale" priority="168">
      <colorScale>
        <cfvo type="min"/>
        <cfvo type="percentile" val="50"/>
        <cfvo type="max"/>
        <color rgb="FF63BE7B"/>
        <color rgb="FFFFEB84"/>
        <color rgb="FFF8696B"/>
      </colorScale>
    </cfRule>
  </conditionalFormatting>
  <conditionalFormatting sqref="V51">
    <cfRule type="colorScale" priority="601">
      <colorScale>
        <cfvo type="min"/>
        <cfvo type="percentile" val="50"/>
        <cfvo type="max"/>
        <color rgb="FFF8696B"/>
        <color rgb="FFFFEB84"/>
        <color rgb="FF63BE7B"/>
      </colorScale>
    </cfRule>
    <cfRule type="colorScale" priority="602">
      <colorScale>
        <cfvo type="min"/>
        <cfvo type="percentile" val="50"/>
        <cfvo type="max"/>
        <color rgb="FF63BE7B"/>
        <color rgb="FFFFEB84"/>
        <color rgb="FFF8696B"/>
      </colorScale>
    </cfRule>
  </conditionalFormatting>
  <conditionalFormatting sqref="V52">
    <cfRule type="colorScale" priority="13">
      <colorScale>
        <cfvo type="min"/>
        <cfvo type="percentile" val="50"/>
        <cfvo type="max"/>
        <color rgb="FF63BE7B"/>
        <color rgb="FFFFEB84"/>
        <color rgb="FFF8696B"/>
      </colorScale>
    </cfRule>
    <cfRule type="colorScale" priority="12">
      <colorScale>
        <cfvo type="min"/>
        <cfvo type="percentile" val="50"/>
        <cfvo type="max"/>
        <color rgb="FFF8696B"/>
        <color rgb="FFFFEB84"/>
        <color rgb="FF63BE7B"/>
      </colorScale>
    </cfRule>
  </conditionalFormatting>
  <conditionalFormatting sqref="Z35 AA42:AA51">
    <cfRule type="cellIs" dxfId="8" priority="1" operator="greaterThan">
      <formula>1</formula>
    </cfRule>
  </conditionalFormatting>
  <conditionalFormatting sqref="Z38 AA39:AA40">
    <cfRule type="cellIs" dxfId="7" priority="127" operator="greaterThan">
      <formula>1</formula>
    </cfRule>
  </conditionalFormatting>
  <conditionalFormatting sqref="AA2">
    <cfRule type="cellIs" dxfId="6" priority="196" operator="greaterThan">
      <formula>1</formula>
    </cfRule>
  </conditionalFormatting>
  <conditionalFormatting sqref="AA25:AA34 AA36:AA37">
    <cfRule type="cellIs" dxfId="5" priority="77" operator="greaterThan">
      <formula>1</formula>
    </cfRule>
  </conditionalFormatting>
  <conditionalFormatting sqref="AB29">
    <cfRule type="cellIs" dxfId="4" priority="147" operator="greaterThan">
      <formula>1</formula>
    </cfRule>
  </conditionalFormatting>
  <conditionalFormatting sqref="AB47">
    <cfRule type="cellIs" dxfId="3" priority="202" operator="greaterThan">
      <formula>1</formula>
    </cfRule>
  </conditionalFormatting>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d026e4c1-5892-497a-b9da-ee493c9f0364}" enabled="0" method="" siteId="{d026e4c1-5892-497a-b9da-ee493c9f0364}" removed="1"/>
  <clbl:label id="{e8dabe63-54e7-4ae6-977d-2871e65a8b80}" enabled="0" method="" siteId="{e8dabe63-54e7-4ae6-977d-2871e65a8b8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Plan Summary</vt:lpstr>
      <vt:lpstr>Phase 1 rnf</vt:lpstr>
      <vt:lpstr>Sheet2</vt:lpstr>
      <vt:lpstr>Media Plan Phase 1</vt:lpstr>
      <vt:lpstr>Sheet3</vt:lpstr>
      <vt:lpstr>Media Mix</vt:lpstr>
      <vt:lpstr>Impact SOV</vt:lpstr>
      <vt:lpstr>Media Plan Phase 2</vt:lpstr>
      <vt:lpstr>Media Plan Phase3</vt:lpstr>
      <vt:lpstr>Sheet1</vt:lpstr>
      <vt:lpstr>Euro Cup</vt:lpstr>
      <vt:lpstr>Fashion Sale day Inputs</vt:lpstr>
      <vt:lpstr>Jupiter comp</vt:lpstr>
      <vt:lpstr>Booster- Delhi &amp; Lucknow</vt:lpstr>
      <vt:lpstr>Booster</vt:lpstr>
      <vt:lpstr>Imp scheduling</vt:lpstr>
      <vt:lpstr>Regional Platform Selection</vt:lpstr>
      <vt:lpstr>Impact selection</vt:lpstr>
      <vt:lpstr>Impact Affinity score</vt:lpstr>
      <vt:lpstr>C1 cities</vt:lpstr>
      <vt:lpstr>C2 Cities</vt:lpstr>
      <vt:lpstr>DSP - Suggestion</vt:lpstr>
      <vt:lpstr>Earlier scheduling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Naik, Rahul  (BLR-INA)</dc:creator>
  <cp:keywords/>
  <dc:description/>
  <cp:lastModifiedBy>Aggarwal, Ishank (GRG-INA)</cp:lastModifiedBy>
  <cp:revision/>
  <dcterms:created xsi:type="dcterms:W3CDTF">2015-06-05T18:17:20Z</dcterms:created>
  <dcterms:modified xsi:type="dcterms:W3CDTF">2024-07-01T08:36:39Z</dcterms:modified>
  <cp:category/>
  <cp:contentStatus/>
</cp:coreProperties>
</file>