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5fe88b03b05c895/Desktop/XL/WEWKQ/"/>
    </mc:Choice>
  </mc:AlternateContent>
  <xr:revisionPtr revIDLastSave="255" documentId="11_9DE6A03C66924DDB96678C0F550702D94C0AEEBE" xr6:coauthVersionLast="47" xr6:coauthVersionMax="47" xr10:uidLastSave="{50FBC6BE-B7BA-4D50-8ECA-1C3889F41DF6}"/>
  <bookViews>
    <workbookView xWindow="19110" yWindow="-90" windowWidth="19380" windowHeight="10260" firstSheet="2" activeTab="4" xr2:uid="{00000000-000D-0000-FFFF-FFFF00000000}"/>
  </bookViews>
  <sheets>
    <sheet name="WEWKQ Stocks" sheetId="1" r:id="rId1"/>
    <sheet name="Valuation" sheetId="6" r:id="rId2"/>
    <sheet name="Major layoffs" sheetId="2" r:id="rId3"/>
    <sheet name="WE Rebrand" sheetId="3" r:id="rId4"/>
    <sheet name="Lawsuits" sheetId="7" r:id="rId5"/>
    <sheet name="Office1" sheetId="4" r:id="rId6"/>
    <sheet name="Office2" sheetId="5" r:id="rId7"/>
    <sheet name="Offices" sheetId="8" r:id="rId8"/>
  </sheets>
  <definedNames>
    <definedName name="_xlnm._FilterDatabase" localSheetId="3" hidden="1">'WE Rebrand'!$A$1:$B$149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2" i="8"/>
  <c r="B18" i="4"/>
  <c r="D4" i="7"/>
  <c r="D5" i="7"/>
  <c r="D6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B2" i="3"/>
  <c r="A2" i="3"/>
  <c r="C2" i="3" s="1"/>
  <c r="B3" i="3"/>
  <c r="A3" i="3"/>
  <c r="C3" i="3" s="1"/>
  <c r="B4" i="3"/>
  <c r="A4" i="3"/>
  <c r="C4" i="3" s="1"/>
  <c r="B5" i="3"/>
  <c r="A5" i="3"/>
  <c r="C5" i="3" s="1"/>
  <c r="B6" i="3"/>
  <c r="A6" i="3"/>
  <c r="C6" i="3" s="1"/>
  <c r="B7" i="3"/>
  <c r="A7" i="3"/>
  <c r="C7" i="3" s="1"/>
  <c r="B8" i="3"/>
  <c r="A8" i="3"/>
  <c r="C8" i="3" s="1"/>
  <c r="B9" i="3"/>
  <c r="A9" i="3"/>
  <c r="C9" i="3" s="1"/>
  <c r="B10" i="3"/>
  <c r="A10" i="3"/>
  <c r="C10" i="3" s="1"/>
  <c r="B11" i="3"/>
  <c r="A11" i="3"/>
  <c r="C11" i="3" s="1"/>
  <c r="B12" i="3"/>
  <c r="A12" i="3"/>
  <c r="C12" i="3" s="1"/>
  <c r="B13" i="3"/>
  <c r="A13" i="3"/>
  <c r="C13" i="3" s="1"/>
  <c r="B14" i="3"/>
  <c r="A14" i="3"/>
  <c r="C14" i="3" s="1"/>
  <c r="B15" i="3"/>
  <c r="A15" i="3"/>
  <c r="C15" i="3" s="1"/>
  <c r="B16" i="3"/>
  <c r="A16" i="3"/>
  <c r="C16" i="3" s="1"/>
  <c r="B17" i="3"/>
  <c r="A17" i="3"/>
  <c r="C17" i="3" s="1"/>
  <c r="B18" i="3"/>
  <c r="A18" i="3"/>
  <c r="C18" i="3" s="1"/>
  <c r="B19" i="3"/>
  <c r="A19" i="3"/>
  <c r="C19" i="3" s="1"/>
  <c r="B20" i="3"/>
  <c r="A20" i="3"/>
  <c r="C20" i="3" s="1"/>
  <c r="B21" i="3"/>
  <c r="A21" i="3"/>
  <c r="C21" i="3" s="1"/>
  <c r="B22" i="3"/>
  <c r="A22" i="3"/>
  <c r="C22" i="3" s="1"/>
  <c r="B23" i="3"/>
  <c r="A23" i="3"/>
  <c r="C23" i="3" s="1"/>
  <c r="B24" i="3"/>
  <c r="A24" i="3"/>
  <c r="C24" i="3" s="1"/>
  <c r="B25" i="3"/>
  <c r="A25" i="3"/>
  <c r="C25" i="3" s="1"/>
  <c r="B26" i="3"/>
  <c r="A26" i="3"/>
  <c r="C26" i="3" s="1"/>
  <c r="B27" i="3"/>
  <c r="A27" i="3"/>
  <c r="C27" i="3" s="1"/>
  <c r="B28" i="3"/>
  <c r="A28" i="3"/>
  <c r="C28" i="3" s="1"/>
  <c r="B29" i="3"/>
  <c r="A29" i="3"/>
  <c r="C29" i="3" s="1"/>
  <c r="B30" i="3"/>
  <c r="A30" i="3"/>
  <c r="C30" i="3" s="1"/>
  <c r="B31" i="3"/>
  <c r="A31" i="3"/>
  <c r="C31" i="3" s="1"/>
  <c r="B32" i="3"/>
  <c r="A32" i="3"/>
  <c r="C32" i="3" s="1"/>
  <c r="B33" i="3"/>
  <c r="A33" i="3"/>
  <c r="C33" i="3" s="1"/>
  <c r="B34" i="3"/>
  <c r="A34" i="3"/>
  <c r="C34" i="3" s="1"/>
  <c r="B35" i="3"/>
  <c r="A35" i="3"/>
  <c r="C35" i="3" s="1"/>
  <c r="B36" i="3"/>
  <c r="A36" i="3"/>
  <c r="C36" i="3" s="1"/>
  <c r="B37" i="3"/>
  <c r="A37" i="3"/>
  <c r="C37" i="3" s="1"/>
  <c r="B38" i="3"/>
  <c r="A38" i="3"/>
  <c r="C38" i="3" s="1"/>
  <c r="B39" i="3"/>
  <c r="A39" i="3"/>
  <c r="C39" i="3" s="1"/>
  <c r="B40" i="3"/>
  <c r="A40" i="3"/>
  <c r="C40" i="3" s="1"/>
  <c r="B41" i="3"/>
  <c r="A41" i="3"/>
  <c r="C41" i="3" s="1"/>
  <c r="B42" i="3"/>
  <c r="A42" i="3"/>
  <c r="C42" i="3" s="1"/>
  <c r="B43" i="3"/>
  <c r="A43" i="3"/>
  <c r="C43" i="3" s="1"/>
  <c r="B44" i="3"/>
  <c r="A44" i="3"/>
  <c r="C44" i="3" s="1"/>
  <c r="B45" i="3"/>
  <c r="A45" i="3"/>
  <c r="C45" i="3" s="1"/>
  <c r="B46" i="3"/>
  <c r="A46" i="3"/>
  <c r="C46" i="3" s="1"/>
  <c r="B47" i="3"/>
  <c r="A47" i="3"/>
  <c r="C47" i="3" s="1"/>
  <c r="B48" i="3"/>
  <c r="A48" i="3"/>
  <c r="C48" i="3" s="1"/>
  <c r="B49" i="3"/>
  <c r="A49" i="3"/>
  <c r="C49" i="3" s="1"/>
  <c r="B50" i="3"/>
  <c r="A50" i="3"/>
  <c r="C50" i="3" s="1"/>
  <c r="B51" i="3"/>
  <c r="A51" i="3"/>
  <c r="C51" i="3" s="1"/>
  <c r="B52" i="3"/>
  <c r="A52" i="3"/>
  <c r="C52" i="3" s="1"/>
  <c r="B53" i="3"/>
  <c r="A53" i="3"/>
  <c r="C53" i="3" s="1"/>
  <c r="B54" i="3"/>
  <c r="A54" i="3"/>
  <c r="C54" i="3" s="1"/>
  <c r="B55" i="3"/>
  <c r="A55" i="3"/>
  <c r="C55" i="3" s="1"/>
  <c r="B56" i="3"/>
  <c r="A56" i="3"/>
  <c r="C56" i="3" s="1"/>
  <c r="B57" i="3"/>
  <c r="A57" i="3"/>
  <c r="C57" i="3" s="1"/>
  <c r="B58" i="3"/>
  <c r="A58" i="3"/>
  <c r="C58" i="3" s="1"/>
  <c r="B59" i="3"/>
  <c r="A59" i="3"/>
  <c r="C59" i="3" s="1"/>
  <c r="B60" i="3"/>
  <c r="A60" i="3"/>
  <c r="C60" i="3" s="1"/>
  <c r="B61" i="3"/>
  <c r="A61" i="3"/>
  <c r="C61" i="3" s="1"/>
  <c r="B62" i="3"/>
  <c r="A62" i="3"/>
  <c r="C62" i="3" s="1"/>
  <c r="B63" i="3"/>
  <c r="A63" i="3"/>
  <c r="C63" i="3" s="1"/>
  <c r="B64" i="3"/>
  <c r="A64" i="3"/>
  <c r="C64" i="3" s="1"/>
  <c r="B65" i="3"/>
  <c r="A65" i="3"/>
  <c r="C65" i="3" s="1"/>
  <c r="B66" i="3"/>
  <c r="A66" i="3"/>
  <c r="C66" i="3" s="1"/>
  <c r="B67" i="3"/>
  <c r="A67" i="3"/>
  <c r="C67" i="3" s="1"/>
  <c r="B68" i="3"/>
  <c r="A68" i="3"/>
  <c r="C68" i="3" s="1"/>
  <c r="B69" i="3"/>
  <c r="A69" i="3"/>
  <c r="C69" i="3" s="1"/>
  <c r="B70" i="3"/>
  <c r="A70" i="3"/>
  <c r="C70" i="3" s="1"/>
  <c r="B71" i="3"/>
  <c r="A71" i="3"/>
  <c r="C71" i="3" s="1"/>
  <c r="B72" i="3"/>
  <c r="A72" i="3"/>
  <c r="C72" i="3" s="1"/>
  <c r="B73" i="3"/>
  <c r="A73" i="3"/>
  <c r="C73" i="3" s="1"/>
  <c r="B74" i="3"/>
  <c r="A74" i="3"/>
  <c r="C74" i="3" s="1"/>
  <c r="B75" i="3"/>
  <c r="A75" i="3"/>
  <c r="C75" i="3" s="1"/>
  <c r="B76" i="3"/>
  <c r="A76" i="3"/>
  <c r="C76" i="3" s="1"/>
  <c r="B77" i="3"/>
  <c r="A77" i="3"/>
  <c r="C77" i="3" s="1"/>
  <c r="B78" i="3"/>
  <c r="A78" i="3"/>
  <c r="C78" i="3" s="1"/>
  <c r="B79" i="3"/>
  <c r="A79" i="3"/>
  <c r="C79" i="3" s="1"/>
  <c r="B80" i="3"/>
  <c r="A80" i="3"/>
  <c r="C80" i="3" s="1"/>
  <c r="B81" i="3"/>
  <c r="A81" i="3"/>
  <c r="C81" i="3" s="1"/>
  <c r="B82" i="3"/>
  <c r="A82" i="3"/>
  <c r="C82" i="3" s="1"/>
  <c r="B83" i="3"/>
  <c r="A83" i="3"/>
  <c r="C83" i="3" s="1"/>
  <c r="B84" i="3"/>
  <c r="A84" i="3"/>
  <c r="C84" i="3" s="1"/>
  <c r="B85" i="3"/>
  <c r="A85" i="3"/>
  <c r="C85" i="3" s="1"/>
  <c r="B86" i="3"/>
  <c r="A86" i="3"/>
  <c r="C86" i="3" s="1"/>
  <c r="B87" i="3"/>
  <c r="A87" i="3"/>
  <c r="C87" i="3" s="1"/>
  <c r="B88" i="3"/>
  <c r="A88" i="3"/>
  <c r="C88" i="3" s="1"/>
  <c r="B89" i="3"/>
  <c r="A89" i="3"/>
  <c r="C89" i="3" s="1"/>
  <c r="B90" i="3"/>
  <c r="A90" i="3"/>
  <c r="C90" i="3" s="1"/>
  <c r="B91" i="3"/>
  <c r="A91" i="3"/>
  <c r="C91" i="3" s="1"/>
  <c r="B92" i="3"/>
  <c r="A92" i="3"/>
  <c r="C92" i="3" s="1"/>
  <c r="B93" i="3"/>
  <c r="A93" i="3"/>
  <c r="C93" i="3" s="1"/>
  <c r="B94" i="3"/>
  <c r="A94" i="3"/>
  <c r="C94" i="3" s="1"/>
  <c r="B95" i="3"/>
  <c r="A95" i="3"/>
  <c r="C95" i="3" s="1"/>
  <c r="B96" i="3"/>
  <c r="A96" i="3"/>
  <c r="C96" i="3" s="1"/>
  <c r="B97" i="3"/>
  <c r="A97" i="3"/>
  <c r="C97" i="3" s="1"/>
  <c r="B98" i="3"/>
  <c r="A98" i="3"/>
  <c r="C98" i="3" s="1"/>
  <c r="B99" i="3"/>
  <c r="A99" i="3"/>
  <c r="C99" i="3" s="1"/>
  <c r="B100" i="3"/>
  <c r="A100" i="3"/>
  <c r="C100" i="3" s="1"/>
  <c r="B101" i="3"/>
  <c r="A101" i="3"/>
  <c r="C101" i="3" s="1"/>
  <c r="B102" i="3"/>
  <c r="A102" i="3"/>
  <c r="C102" i="3" s="1"/>
  <c r="B103" i="3"/>
  <c r="A103" i="3"/>
  <c r="C103" i="3" s="1"/>
  <c r="B104" i="3"/>
  <c r="A104" i="3"/>
  <c r="C104" i="3" s="1"/>
  <c r="B105" i="3"/>
  <c r="A105" i="3"/>
  <c r="C105" i="3" s="1"/>
  <c r="B106" i="3"/>
  <c r="A106" i="3"/>
  <c r="C106" i="3" s="1"/>
  <c r="B107" i="3"/>
  <c r="A107" i="3"/>
  <c r="C107" i="3" s="1"/>
  <c r="B108" i="3"/>
  <c r="A108" i="3"/>
  <c r="C108" i="3" s="1"/>
  <c r="B109" i="3"/>
  <c r="A109" i="3"/>
  <c r="C109" i="3" s="1"/>
  <c r="B110" i="3"/>
  <c r="A110" i="3"/>
  <c r="C110" i="3" s="1"/>
  <c r="B111" i="3"/>
  <c r="A111" i="3"/>
  <c r="C111" i="3" s="1"/>
  <c r="B112" i="3"/>
  <c r="A112" i="3"/>
  <c r="C112" i="3" s="1"/>
  <c r="B113" i="3"/>
  <c r="A113" i="3"/>
  <c r="C113" i="3" s="1"/>
  <c r="B114" i="3"/>
  <c r="A114" i="3"/>
  <c r="C114" i="3" s="1"/>
  <c r="B115" i="3"/>
  <c r="A115" i="3"/>
  <c r="C115" i="3" s="1"/>
  <c r="B116" i="3"/>
  <c r="A116" i="3"/>
  <c r="C116" i="3" s="1"/>
  <c r="B117" i="3"/>
  <c r="A117" i="3"/>
  <c r="C117" i="3" s="1"/>
  <c r="B118" i="3"/>
  <c r="A118" i="3"/>
  <c r="C118" i="3" s="1"/>
  <c r="B119" i="3"/>
  <c r="A119" i="3"/>
  <c r="C119" i="3" s="1"/>
  <c r="B120" i="3"/>
  <c r="A120" i="3"/>
  <c r="C120" i="3" s="1"/>
  <c r="B121" i="3"/>
  <c r="A121" i="3"/>
  <c r="C121" i="3" s="1"/>
  <c r="B122" i="3"/>
  <c r="A122" i="3"/>
  <c r="C122" i="3" s="1"/>
  <c r="B123" i="3"/>
  <c r="A123" i="3"/>
  <c r="C123" i="3" s="1"/>
  <c r="B124" i="3"/>
  <c r="A124" i="3"/>
  <c r="C124" i="3" s="1"/>
  <c r="B125" i="3"/>
  <c r="A125" i="3"/>
  <c r="C125" i="3" s="1"/>
  <c r="B126" i="3"/>
  <c r="A126" i="3"/>
  <c r="C126" i="3" s="1"/>
  <c r="B127" i="3"/>
  <c r="A127" i="3"/>
  <c r="C127" i="3" s="1"/>
  <c r="B128" i="3"/>
  <c r="A128" i="3"/>
  <c r="C128" i="3" s="1"/>
  <c r="B129" i="3"/>
  <c r="A129" i="3"/>
  <c r="C129" i="3" s="1"/>
  <c r="B130" i="3"/>
  <c r="A130" i="3"/>
  <c r="C130" i="3" s="1"/>
  <c r="B131" i="3"/>
  <c r="A131" i="3"/>
  <c r="C131" i="3" s="1"/>
  <c r="B132" i="3"/>
  <c r="A132" i="3"/>
  <c r="C132" i="3" s="1"/>
  <c r="B133" i="3"/>
  <c r="A133" i="3"/>
  <c r="C133" i="3" s="1"/>
  <c r="B134" i="3"/>
  <c r="A134" i="3"/>
  <c r="C134" i="3" s="1"/>
  <c r="B135" i="3"/>
  <c r="A135" i="3"/>
  <c r="C135" i="3" s="1"/>
  <c r="B136" i="3"/>
  <c r="A136" i="3"/>
  <c r="C136" i="3" s="1"/>
  <c r="B137" i="3"/>
  <c r="A137" i="3"/>
  <c r="C137" i="3" s="1"/>
  <c r="B138" i="3"/>
  <c r="A138" i="3"/>
  <c r="C138" i="3" s="1"/>
  <c r="B139" i="3"/>
  <c r="A139" i="3"/>
  <c r="C139" i="3" s="1"/>
  <c r="B140" i="3"/>
  <c r="A140" i="3"/>
  <c r="C140" i="3" s="1"/>
  <c r="B141" i="3"/>
  <c r="A141" i="3"/>
  <c r="C141" i="3" s="1"/>
  <c r="B142" i="3"/>
  <c r="A142" i="3"/>
  <c r="C142" i="3" s="1"/>
  <c r="B143" i="3"/>
  <c r="A143" i="3"/>
  <c r="C143" i="3" s="1"/>
  <c r="B144" i="3"/>
  <c r="A144" i="3"/>
  <c r="C144" i="3" s="1"/>
  <c r="B145" i="3"/>
  <c r="A145" i="3"/>
  <c r="C145" i="3" s="1"/>
  <c r="B146" i="3"/>
  <c r="A146" i="3"/>
  <c r="C146" i="3" s="1"/>
  <c r="B147" i="3"/>
  <c r="A147" i="3"/>
  <c r="C147" i="3" s="1"/>
  <c r="B148" i="3"/>
  <c r="A148" i="3"/>
  <c r="C148" i="3" s="1"/>
  <c r="B149" i="3"/>
  <c r="A149" i="3"/>
  <c r="C149" i="3" s="1"/>
  <c r="B2" i="1"/>
  <c r="A2" i="1"/>
  <c r="C2" i="1" s="1"/>
  <c r="B3" i="1"/>
  <c r="A3" i="1"/>
  <c r="C3" i="1" s="1"/>
  <c r="B4" i="1"/>
  <c r="A4" i="1"/>
  <c r="C4" i="1" s="1"/>
  <c r="B5" i="1"/>
  <c r="A5" i="1"/>
  <c r="C5" i="1" s="1"/>
  <c r="B6" i="1"/>
  <c r="A6" i="1"/>
  <c r="C6" i="1" s="1"/>
  <c r="B7" i="1"/>
  <c r="A7" i="1"/>
  <c r="C7" i="1" s="1"/>
  <c r="B8" i="1"/>
  <c r="A8" i="1"/>
  <c r="C8" i="1" s="1"/>
  <c r="B9" i="1"/>
  <c r="A9" i="1"/>
  <c r="C9" i="1" s="1"/>
  <c r="B10" i="1"/>
  <c r="A10" i="1"/>
  <c r="C10" i="1" s="1"/>
  <c r="B11" i="1"/>
  <c r="A11" i="1"/>
  <c r="C11" i="1" s="1"/>
  <c r="B12" i="1"/>
  <c r="A12" i="1"/>
  <c r="C12" i="1" s="1"/>
  <c r="B13" i="1"/>
  <c r="A13" i="1"/>
  <c r="C13" i="1" s="1"/>
  <c r="B14" i="1"/>
  <c r="A14" i="1"/>
  <c r="C14" i="1" s="1"/>
  <c r="B15" i="1"/>
  <c r="A15" i="1"/>
  <c r="C15" i="1" s="1"/>
  <c r="B16" i="1"/>
  <c r="A16" i="1"/>
  <c r="C16" i="1" s="1"/>
  <c r="B17" i="1"/>
  <c r="A17" i="1"/>
  <c r="C17" i="1" s="1"/>
  <c r="B18" i="1"/>
  <c r="A18" i="1"/>
  <c r="C18" i="1" s="1"/>
  <c r="B19" i="1"/>
  <c r="A19" i="1"/>
  <c r="C19" i="1" s="1"/>
  <c r="B20" i="1"/>
  <c r="A20" i="1"/>
  <c r="C20" i="1" s="1"/>
  <c r="B21" i="1"/>
  <c r="A21" i="1"/>
  <c r="C21" i="1" s="1"/>
  <c r="B22" i="1"/>
  <c r="A22" i="1"/>
  <c r="C22" i="1" s="1"/>
  <c r="B23" i="1"/>
  <c r="A23" i="1"/>
  <c r="C23" i="1" s="1"/>
  <c r="B24" i="1"/>
  <c r="A24" i="1"/>
  <c r="C24" i="1" s="1"/>
  <c r="B25" i="1"/>
  <c r="A25" i="1"/>
  <c r="C25" i="1" s="1"/>
  <c r="B26" i="1"/>
  <c r="A26" i="1"/>
  <c r="C26" i="1" s="1"/>
  <c r="B27" i="1"/>
  <c r="A27" i="1"/>
  <c r="C27" i="1" s="1"/>
  <c r="B28" i="1"/>
  <c r="A28" i="1"/>
  <c r="C28" i="1" s="1"/>
  <c r="B29" i="1"/>
  <c r="A29" i="1"/>
  <c r="C29" i="1" s="1"/>
  <c r="B30" i="1"/>
  <c r="A30" i="1"/>
  <c r="C30" i="1" s="1"/>
  <c r="B31" i="1"/>
  <c r="A31" i="1"/>
  <c r="C31" i="1" s="1"/>
  <c r="B32" i="1"/>
  <c r="A32" i="1"/>
  <c r="C32" i="1" s="1"/>
  <c r="B33" i="1"/>
  <c r="A33" i="1"/>
  <c r="C33" i="1" s="1"/>
  <c r="B34" i="1"/>
  <c r="A34" i="1"/>
  <c r="C34" i="1" s="1"/>
  <c r="B35" i="1"/>
  <c r="A35" i="1"/>
  <c r="C35" i="1" s="1"/>
  <c r="B36" i="1"/>
  <c r="A36" i="1"/>
  <c r="C36" i="1" s="1"/>
  <c r="B37" i="1"/>
  <c r="A37" i="1"/>
  <c r="C37" i="1" s="1"/>
  <c r="B38" i="1"/>
  <c r="A38" i="1"/>
  <c r="C38" i="1" s="1"/>
  <c r="B39" i="1"/>
  <c r="A39" i="1"/>
  <c r="C39" i="1" s="1"/>
  <c r="B40" i="1"/>
  <c r="A40" i="1"/>
  <c r="C40" i="1" s="1"/>
  <c r="B41" i="1"/>
  <c r="A41" i="1"/>
  <c r="C41" i="1" s="1"/>
  <c r="B42" i="1"/>
  <c r="A42" i="1"/>
  <c r="C42" i="1" s="1"/>
  <c r="B43" i="1"/>
  <c r="A43" i="1"/>
  <c r="C43" i="1" s="1"/>
  <c r="B44" i="1"/>
  <c r="A44" i="1"/>
  <c r="C44" i="1" s="1"/>
  <c r="B45" i="1"/>
  <c r="A45" i="1"/>
  <c r="C45" i="1" s="1"/>
  <c r="B46" i="1"/>
  <c r="A46" i="1"/>
  <c r="C46" i="1" s="1"/>
  <c r="B47" i="1"/>
  <c r="A47" i="1"/>
  <c r="C47" i="1" s="1"/>
  <c r="B48" i="1"/>
  <c r="A48" i="1"/>
  <c r="C48" i="1" s="1"/>
  <c r="B49" i="1"/>
  <c r="A49" i="1"/>
  <c r="C49" i="1" s="1"/>
  <c r="B50" i="1"/>
  <c r="A50" i="1"/>
  <c r="C50" i="1" s="1"/>
  <c r="B51" i="1"/>
  <c r="A51" i="1"/>
  <c r="C51" i="1" s="1"/>
  <c r="B52" i="1"/>
  <c r="A52" i="1"/>
  <c r="C52" i="1" s="1"/>
  <c r="B53" i="1"/>
  <c r="A53" i="1"/>
  <c r="C53" i="1" s="1"/>
  <c r="B54" i="1"/>
  <c r="A54" i="1"/>
  <c r="C54" i="1" s="1"/>
  <c r="B55" i="1"/>
  <c r="A55" i="1"/>
  <c r="C55" i="1" s="1"/>
  <c r="B56" i="1"/>
  <c r="A56" i="1"/>
  <c r="C56" i="1" s="1"/>
  <c r="B57" i="1"/>
  <c r="A57" i="1"/>
  <c r="C57" i="1" s="1"/>
  <c r="B58" i="1"/>
  <c r="A58" i="1"/>
  <c r="C58" i="1" s="1"/>
  <c r="B59" i="1"/>
  <c r="A59" i="1"/>
  <c r="C59" i="1" s="1"/>
  <c r="B60" i="1"/>
  <c r="A60" i="1"/>
  <c r="C60" i="1" s="1"/>
  <c r="B61" i="1"/>
  <c r="A61" i="1"/>
  <c r="C61" i="1" s="1"/>
  <c r="B62" i="1"/>
  <c r="A62" i="1"/>
  <c r="C62" i="1" s="1"/>
  <c r="B63" i="1"/>
  <c r="A63" i="1"/>
  <c r="C63" i="1" s="1"/>
  <c r="B64" i="1"/>
  <c r="A64" i="1"/>
  <c r="C64" i="1" s="1"/>
  <c r="B65" i="1"/>
  <c r="A65" i="1"/>
  <c r="C65" i="1" s="1"/>
  <c r="B66" i="1"/>
  <c r="A66" i="1"/>
  <c r="C66" i="1" s="1"/>
  <c r="B67" i="1"/>
  <c r="A67" i="1"/>
  <c r="C67" i="1" s="1"/>
  <c r="B68" i="1"/>
  <c r="A68" i="1"/>
  <c r="C68" i="1" s="1"/>
  <c r="B69" i="1"/>
  <c r="A69" i="1"/>
  <c r="C69" i="1" s="1"/>
  <c r="B70" i="1"/>
  <c r="A70" i="1"/>
  <c r="C70" i="1" s="1"/>
  <c r="B71" i="1"/>
  <c r="A71" i="1"/>
  <c r="C71" i="1" s="1"/>
  <c r="B72" i="1"/>
  <c r="A72" i="1"/>
  <c r="C72" i="1" s="1"/>
  <c r="B73" i="1"/>
  <c r="A73" i="1"/>
  <c r="C73" i="1" s="1"/>
  <c r="B74" i="1"/>
  <c r="A74" i="1"/>
  <c r="C74" i="1" s="1"/>
  <c r="B75" i="1"/>
  <c r="A75" i="1"/>
  <c r="C75" i="1" s="1"/>
  <c r="B76" i="1"/>
  <c r="A76" i="1"/>
  <c r="C76" i="1" s="1"/>
  <c r="B77" i="1"/>
  <c r="A77" i="1"/>
  <c r="C77" i="1" s="1"/>
  <c r="B78" i="1"/>
  <c r="A78" i="1"/>
  <c r="C78" i="1" s="1"/>
  <c r="B79" i="1"/>
  <c r="A79" i="1"/>
  <c r="C79" i="1" s="1"/>
  <c r="B80" i="1"/>
  <c r="A80" i="1"/>
  <c r="C80" i="1" s="1"/>
  <c r="B81" i="1"/>
  <c r="A81" i="1"/>
  <c r="C81" i="1" s="1"/>
  <c r="B82" i="1"/>
  <c r="A82" i="1"/>
  <c r="C82" i="1" s="1"/>
  <c r="B83" i="1"/>
  <c r="A83" i="1"/>
  <c r="C83" i="1" s="1"/>
  <c r="B84" i="1"/>
  <c r="A84" i="1"/>
  <c r="C84" i="1" s="1"/>
  <c r="B85" i="1"/>
  <c r="A85" i="1"/>
  <c r="C85" i="1" s="1"/>
  <c r="B86" i="1"/>
  <c r="A86" i="1"/>
  <c r="C86" i="1" s="1"/>
  <c r="B87" i="1"/>
  <c r="A87" i="1"/>
  <c r="C87" i="1" s="1"/>
  <c r="B88" i="1"/>
  <c r="A88" i="1"/>
  <c r="C88" i="1" s="1"/>
  <c r="B89" i="1"/>
  <c r="A89" i="1"/>
  <c r="C89" i="1" s="1"/>
  <c r="B90" i="1"/>
  <c r="A90" i="1"/>
  <c r="C90" i="1" s="1"/>
  <c r="B91" i="1"/>
  <c r="A91" i="1"/>
  <c r="C91" i="1" s="1"/>
  <c r="B92" i="1"/>
  <c r="A92" i="1"/>
  <c r="C92" i="1" s="1"/>
  <c r="B93" i="1"/>
  <c r="A93" i="1"/>
  <c r="C93" i="1" s="1"/>
  <c r="B94" i="1"/>
  <c r="A94" i="1"/>
  <c r="C94" i="1" s="1"/>
  <c r="B95" i="1"/>
  <c r="A95" i="1"/>
  <c r="C95" i="1" s="1"/>
  <c r="B96" i="1"/>
  <c r="A96" i="1"/>
  <c r="C96" i="1" s="1"/>
  <c r="B97" i="1"/>
  <c r="A97" i="1"/>
  <c r="C97" i="1" s="1"/>
  <c r="B98" i="1"/>
  <c r="A98" i="1"/>
  <c r="C98" i="1" s="1"/>
  <c r="B99" i="1"/>
  <c r="A99" i="1"/>
  <c r="C99" i="1" s="1"/>
  <c r="B100" i="1"/>
  <c r="A100" i="1"/>
  <c r="C100" i="1" s="1"/>
  <c r="B101" i="1"/>
  <c r="A101" i="1"/>
  <c r="C101" i="1" s="1"/>
  <c r="B102" i="1"/>
  <c r="A102" i="1"/>
  <c r="C102" i="1" s="1"/>
  <c r="B103" i="1"/>
  <c r="A103" i="1"/>
  <c r="C103" i="1" s="1"/>
  <c r="B104" i="1"/>
  <c r="A104" i="1"/>
  <c r="C104" i="1" s="1"/>
  <c r="B105" i="1"/>
  <c r="A105" i="1"/>
  <c r="C105" i="1" s="1"/>
  <c r="B106" i="1"/>
  <c r="A106" i="1"/>
  <c r="C106" i="1" s="1"/>
  <c r="B107" i="1"/>
  <c r="A107" i="1"/>
  <c r="C107" i="1" s="1"/>
  <c r="B108" i="1"/>
  <c r="A108" i="1"/>
  <c r="C108" i="1" s="1"/>
  <c r="B109" i="1"/>
  <c r="A109" i="1"/>
  <c r="C109" i="1" s="1"/>
  <c r="B110" i="1"/>
  <c r="A110" i="1"/>
  <c r="C110" i="1" s="1"/>
  <c r="B111" i="1"/>
  <c r="A111" i="1"/>
  <c r="C111" i="1" s="1"/>
  <c r="B112" i="1"/>
  <c r="A112" i="1"/>
  <c r="C112" i="1" s="1"/>
  <c r="B113" i="1"/>
  <c r="A113" i="1"/>
  <c r="C113" i="1" s="1"/>
  <c r="B114" i="1"/>
  <c r="A114" i="1"/>
  <c r="C114" i="1" s="1"/>
  <c r="B115" i="1"/>
  <c r="A115" i="1"/>
  <c r="C115" i="1" s="1"/>
  <c r="B116" i="1"/>
  <c r="A116" i="1"/>
  <c r="C116" i="1" s="1"/>
  <c r="B117" i="1"/>
  <c r="A117" i="1"/>
  <c r="C117" i="1" s="1"/>
  <c r="B118" i="1"/>
  <c r="A118" i="1"/>
  <c r="C118" i="1" s="1"/>
  <c r="B119" i="1"/>
  <c r="A119" i="1"/>
  <c r="C119" i="1" s="1"/>
  <c r="B120" i="1"/>
  <c r="A120" i="1"/>
  <c r="C120" i="1" s="1"/>
  <c r="B121" i="1"/>
  <c r="A121" i="1"/>
  <c r="C121" i="1" s="1"/>
  <c r="B122" i="1"/>
  <c r="A122" i="1"/>
  <c r="C122" i="1" s="1"/>
  <c r="B123" i="1"/>
  <c r="A123" i="1"/>
  <c r="C123" i="1" s="1"/>
  <c r="B124" i="1"/>
  <c r="A124" i="1"/>
  <c r="C124" i="1" s="1"/>
  <c r="B125" i="1"/>
  <c r="A125" i="1"/>
  <c r="C125" i="1" s="1"/>
  <c r="B126" i="1"/>
  <c r="A126" i="1"/>
  <c r="C126" i="1" s="1"/>
  <c r="B127" i="1"/>
  <c r="A127" i="1"/>
  <c r="C127" i="1" s="1"/>
  <c r="B128" i="1"/>
  <c r="A128" i="1"/>
  <c r="C128" i="1" s="1"/>
  <c r="B129" i="1"/>
  <c r="A129" i="1"/>
  <c r="C129" i="1" s="1"/>
  <c r="B130" i="1"/>
  <c r="A130" i="1"/>
  <c r="C130" i="1" s="1"/>
  <c r="B131" i="1"/>
  <c r="A131" i="1"/>
  <c r="C131" i="1" s="1"/>
  <c r="B132" i="1"/>
  <c r="A132" i="1"/>
  <c r="C132" i="1" s="1"/>
  <c r="B133" i="1"/>
  <c r="A133" i="1"/>
  <c r="C133" i="1" s="1"/>
  <c r="B134" i="1"/>
  <c r="A134" i="1"/>
  <c r="C134" i="1" s="1"/>
  <c r="B135" i="1"/>
  <c r="A135" i="1"/>
  <c r="C135" i="1" s="1"/>
  <c r="B136" i="1"/>
  <c r="A136" i="1"/>
  <c r="C136" i="1" s="1"/>
  <c r="B137" i="1"/>
  <c r="A137" i="1"/>
  <c r="C137" i="1" s="1"/>
  <c r="B138" i="1"/>
  <c r="A138" i="1"/>
  <c r="C138" i="1" s="1"/>
  <c r="B139" i="1"/>
  <c r="A139" i="1"/>
  <c r="C139" i="1" s="1"/>
  <c r="B140" i="1"/>
  <c r="A140" i="1"/>
  <c r="C140" i="1" s="1"/>
  <c r="B141" i="1"/>
  <c r="A141" i="1"/>
  <c r="C141" i="1" s="1"/>
  <c r="B142" i="1"/>
  <c r="A142" i="1"/>
  <c r="C142" i="1" s="1"/>
  <c r="B143" i="1"/>
  <c r="A143" i="1"/>
  <c r="C143" i="1" s="1"/>
  <c r="B144" i="1"/>
  <c r="A144" i="1"/>
  <c r="C144" i="1" s="1"/>
  <c r="B145" i="1"/>
  <c r="A145" i="1"/>
  <c r="C145" i="1" s="1"/>
  <c r="B146" i="1"/>
  <c r="A146" i="1"/>
  <c r="C146" i="1" s="1"/>
  <c r="B147" i="1"/>
  <c r="A147" i="1"/>
  <c r="C147" i="1" s="1"/>
  <c r="B148" i="1"/>
  <c r="A148" i="1"/>
  <c r="C148" i="1" s="1"/>
  <c r="B149" i="1"/>
  <c r="A149" i="1"/>
  <c r="C149" i="1" s="1"/>
  <c r="B150" i="1"/>
  <c r="A150" i="1"/>
  <c r="C150" i="1" s="1"/>
  <c r="B151" i="1"/>
  <c r="A151" i="1"/>
  <c r="C151" i="1" s="1"/>
  <c r="B152" i="1"/>
  <c r="A152" i="1"/>
  <c r="C152" i="1" s="1"/>
  <c r="B153" i="1"/>
  <c r="A153" i="1"/>
  <c r="C153" i="1" s="1"/>
  <c r="B154" i="1"/>
  <c r="A154" i="1"/>
  <c r="C154" i="1" s="1"/>
  <c r="B155" i="1"/>
  <c r="A155" i="1"/>
  <c r="C155" i="1" s="1"/>
  <c r="B156" i="1"/>
  <c r="A156" i="1"/>
  <c r="C156" i="1" s="1"/>
  <c r="B157" i="1"/>
  <c r="A157" i="1"/>
  <c r="C157" i="1" s="1"/>
  <c r="B158" i="1"/>
  <c r="A158" i="1"/>
  <c r="C158" i="1" s="1"/>
  <c r="B159" i="1"/>
  <c r="A159" i="1"/>
  <c r="C159" i="1" s="1"/>
  <c r="B160" i="1"/>
  <c r="A160" i="1"/>
  <c r="C160" i="1" s="1"/>
  <c r="B161" i="1"/>
  <c r="A161" i="1"/>
  <c r="C161" i="1" s="1"/>
  <c r="B162" i="1"/>
  <c r="A162" i="1"/>
  <c r="C162" i="1" s="1"/>
  <c r="B163" i="1"/>
  <c r="A163" i="1"/>
  <c r="C163" i="1" s="1"/>
  <c r="B164" i="1"/>
  <c r="A164" i="1"/>
  <c r="C164" i="1" s="1"/>
  <c r="B165" i="1"/>
  <c r="A165" i="1"/>
  <c r="C165" i="1" s="1"/>
  <c r="B166" i="1"/>
  <c r="A166" i="1"/>
  <c r="C166" i="1" s="1"/>
  <c r="B167" i="1"/>
  <c r="A167" i="1"/>
  <c r="C167" i="1" s="1"/>
  <c r="B168" i="1"/>
  <c r="A168" i="1"/>
  <c r="C168" i="1" s="1"/>
  <c r="B169" i="1"/>
  <c r="A169" i="1"/>
  <c r="C169" i="1" s="1"/>
  <c r="B170" i="1"/>
  <c r="A170" i="1"/>
  <c r="C170" i="1" s="1"/>
  <c r="B171" i="1"/>
  <c r="A171" i="1"/>
  <c r="C171" i="1" s="1"/>
  <c r="B172" i="1"/>
  <c r="A172" i="1"/>
  <c r="C172" i="1" s="1"/>
  <c r="B173" i="1"/>
  <c r="A173" i="1"/>
  <c r="C173" i="1" s="1"/>
  <c r="B174" i="1"/>
  <c r="A174" i="1"/>
  <c r="C174" i="1" s="1"/>
  <c r="B175" i="1"/>
  <c r="A175" i="1"/>
  <c r="C175" i="1" s="1"/>
  <c r="B176" i="1"/>
  <c r="A176" i="1"/>
  <c r="C176" i="1" s="1"/>
  <c r="B177" i="1"/>
  <c r="A177" i="1"/>
  <c r="C177" i="1" s="1"/>
  <c r="B178" i="1"/>
  <c r="A178" i="1"/>
  <c r="C178" i="1" s="1"/>
  <c r="B179" i="1"/>
  <c r="A179" i="1"/>
  <c r="C179" i="1" s="1"/>
  <c r="B180" i="1"/>
  <c r="A180" i="1"/>
  <c r="C180" i="1" s="1"/>
  <c r="B181" i="1"/>
  <c r="A181" i="1"/>
  <c r="C181" i="1" s="1"/>
  <c r="B182" i="1"/>
  <c r="A182" i="1"/>
  <c r="C182" i="1" s="1"/>
  <c r="B183" i="1"/>
  <c r="A183" i="1"/>
  <c r="C183" i="1" s="1"/>
  <c r="B184" i="1"/>
  <c r="A184" i="1"/>
  <c r="C184" i="1" s="1"/>
  <c r="B185" i="1"/>
  <c r="A185" i="1"/>
  <c r="C185" i="1" s="1"/>
  <c r="B186" i="1"/>
  <c r="A186" i="1"/>
  <c r="C186" i="1" s="1"/>
  <c r="B187" i="1"/>
  <c r="A187" i="1"/>
  <c r="C187" i="1" s="1"/>
  <c r="B188" i="1"/>
  <c r="A188" i="1"/>
  <c r="C188" i="1" s="1"/>
  <c r="B189" i="1"/>
  <c r="A189" i="1"/>
  <c r="C189" i="1" s="1"/>
  <c r="B190" i="1"/>
  <c r="A190" i="1"/>
  <c r="C190" i="1" s="1"/>
  <c r="B191" i="1"/>
  <c r="A191" i="1"/>
  <c r="C191" i="1" s="1"/>
  <c r="B192" i="1"/>
  <c r="A192" i="1"/>
  <c r="C192" i="1" s="1"/>
  <c r="B193" i="1"/>
  <c r="A193" i="1"/>
  <c r="C193" i="1" s="1"/>
  <c r="B194" i="1"/>
  <c r="A194" i="1"/>
  <c r="C194" i="1" s="1"/>
  <c r="B195" i="1"/>
  <c r="A195" i="1"/>
  <c r="C195" i="1" s="1"/>
  <c r="B196" i="1"/>
  <c r="A196" i="1"/>
  <c r="C196" i="1" s="1"/>
  <c r="B197" i="1"/>
  <c r="A197" i="1"/>
  <c r="C197" i="1" s="1"/>
  <c r="B198" i="1"/>
  <c r="A198" i="1"/>
  <c r="C198" i="1" s="1"/>
  <c r="B199" i="1"/>
  <c r="A199" i="1"/>
  <c r="C199" i="1" s="1"/>
  <c r="B200" i="1"/>
  <c r="A200" i="1"/>
  <c r="C200" i="1" s="1"/>
  <c r="B201" i="1"/>
  <c r="A201" i="1"/>
  <c r="C201" i="1" s="1"/>
  <c r="B202" i="1"/>
  <c r="A202" i="1"/>
  <c r="C202" i="1" s="1"/>
  <c r="B203" i="1"/>
  <c r="A203" i="1"/>
  <c r="C203" i="1" s="1"/>
  <c r="B204" i="1"/>
  <c r="A204" i="1"/>
  <c r="C204" i="1" s="1"/>
  <c r="B205" i="1"/>
  <c r="A205" i="1"/>
  <c r="C205" i="1" s="1"/>
  <c r="B206" i="1"/>
  <c r="A206" i="1"/>
  <c r="C206" i="1" s="1"/>
  <c r="B207" i="1"/>
  <c r="A207" i="1"/>
  <c r="C207" i="1" s="1"/>
  <c r="B208" i="1"/>
  <c r="A208" i="1"/>
  <c r="C208" i="1" s="1"/>
  <c r="B209" i="1"/>
  <c r="A209" i="1"/>
  <c r="C209" i="1" s="1"/>
  <c r="B210" i="1"/>
  <c r="A210" i="1"/>
  <c r="C210" i="1" s="1"/>
  <c r="B211" i="1"/>
  <c r="A211" i="1"/>
  <c r="C211" i="1" s="1"/>
  <c r="B212" i="1"/>
  <c r="A212" i="1"/>
  <c r="C212" i="1" s="1"/>
  <c r="B213" i="1"/>
  <c r="A213" i="1"/>
  <c r="C213" i="1" s="1"/>
  <c r="B214" i="1"/>
  <c r="A214" i="1"/>
  <c r="C214" i="1" s="1"/>
  <c r="B215" i="1"/>
  <c r="A215" i="1"/>
  <c r="C215" i="1" s="1"/>
  <c r="B216" i="1"/>
  <c r="A216" i="1"/>
  <c r="C216" i="1" s="1"/>
  <c r="B217" i="1"/>
  <c r="A217" i="1"/>
  <c r="C217" i="1" s="1"/>
  <c r="B218" i="1"/>
  <c r="A218" i="1"/>
  <c r="C218" i="1" s="1"/>
  <c r="B219" i="1"/>
  <c r="A219" i="1"/>
  <c r="C219" i="1" s="1"/>
  <c r="B220" i="1"/>
  <c r="A220" i="1"/>
  <c r="C220" i="1" s="1"/>
  <c r="B221" i="1"/>
  <c r="A221" i="1"/>
  <c r="C221" i="1" s="1"/>
  <c r="B222" i="1"/>
  <c r="A222" i="1"/>
  <c r="C222" i="1" s="1"/>
  <c r="B223" i="1"/>
  <c r="A223" i="1"/>
  <c r="C223" i="1" s="1"/>
  <c r="B224" i="1"/>
  <c r="A224" i="1"/>
  <c r="C224" i="1" s="1"/>
  <c r="B225" i="1"/>
  <c r="A225" i="1"/>
  <c r="C225" i="1" s="1"/>
  <c r="B226" i="1"/>
  <c r="A226" i="1"/>
  <c r="C226" i="1" s="1"/>
  <c r="B227" i="1"/>
  <c r="A227" i="1"/>
  <c r="C227" i="1" s="1"/>
  <c r="B228" i="1"/>
  <c r="A228" i="1"/>
  <c r="C228" i="1" s="1"/>
  <c r="B229" i="1"/>
  <c r="A229" i="1"/>
  <c r="C229" i="1" s="1"/>
  <c r="B230" i="1"/>
  <c r="A230" i="1"/>
  <c r="C230" i="1" s="1"/>
  <c r="B231" i="1"/>
  <c r="A231" i="1"/>
  <c r="C231" i="1" s="1"/>
  <c r="B232" i="1"/>
  <c r="A232" i="1"/>
  <c r="C232" i="1" s="1"/>
  <c r="B233" i="1"/>
  <c r="A233" i="1"/>
  <c r="C233" i="1" s="1"/>
  <c r="B234" i="1"/>
  <c r="A234" i="1"/>
  <c r="C234" i="1" s="1"/>
  <c r="B235" i="1"/>
  <c r="A235" i="1"/>
  <c r="C235" i="1" s="1"/>
  <c r="B236" i="1"/>
  <c r="A236" i="1"/>
  <c r="C236" i="1" s="1"/>
  <c r="B237" i="1"/>
  <c r="A237" i="1"/>
  <c r="C237" i="1" s="1"/>
  <c r="B238" i="1"/>
  <c r="A238" i="1"/>
  <c r="C238" i="1" s="1"/>
  <c r="B239" i="1"/>
  <c r="A239" i="1"/>
  <c r="C239" i="1" s="1"/>
  <c r="B240" i="1"/>
  <c r="A240" i="1"/>
  <c r="C240" i="1" s="1"/>
  <c r="B241" i="1"/>
  <c r="A241" i="1"/>
  <c r="C241" i="1" s="1"/>
  <c r="B242" i="1"/>
  <c r="A242" i="1"/>
  <c r="C242" i="1" s="1"/>
  <c r="B243" i="1"/>
  <c r="A243" i="1"/>
  <c r="C243" i="1" s="1"/>
  <c r="B244" i="1"/>
  <c r="A244" i="1"/>
  <c r="C244" i="1" s="1"/>
  <c r="B245" i="1"/>
  <c r="A245" i="1"/>
  <c r="C245" i="1" s="1"/>
  <c r="B246" i="1"/>
  <c r="A246" i="1"/>
  <c r="C246" i="1" s="1"/>
  <c r="B247" i="1"/>
  <c r="A247" i="1"/>
  <c r="C247" i="1" s="1"/>
  <c r="B248" i="1"/>
  <c r="A248" i="1"/>
  <c r="C248" i="1" s="1"/>
  <c r="B249" i="1"/>
  <c r="A249" i="1"/>
  <c r="C249" i="1" s="1"/>
  <c r="B250" i="1"/>
  <c r="A250" i="1"/>
  <c r="C250" i="1" s="1"/>
  <c r="B251" i="1"/>
  <c r="A251" i="1"/>
  <c r="C251" i="1" s="1"/>
  <c r="B252" i="1"/>
  <c r="A252" i="1"/>
  <c r="C252" i="1" s="1"/>
  <c r="B253" i="1"/>
  <c r="A253" i="1"/>
  <c r="C253" i="1" s="1"/>
  <c r="B254" i="1"/>
  <c r="A254" i="1"/>
  <c r="C254" i="1" s="1"/>
  <c r="B255" i="1"/>
  <c r="A255" i="1"/>
  <c r="C255" i="1" s="1"/>
  <c r="B256" i="1"/>
  <c r="A256" i="1"/>
  <c r="C256" i="1" s="1"/>
  <c r="B257" i="1"/>
  <c r="A257" i="1"/>
  <c r="C257" i="1" s="1"/>
  <c r="B258" i="1"/>
  <c r="A258" i="1"/>
  <c r="C258" i="1" s="1"/>
  <c r="B259" i="1"/>
  <c r="A259" i="1"/>
  <c r="C259" i="1" s="1"/>
  <c r="B260" i="1"/>
  <c r="A260" i="1"/>
  <c r="C260" i="1" s="1"/>
  <c r="B261" i="1"/>
  <c r="A261" i="1"/>
  <c r="C261" i="1" s="1"/>
  <c r="B262" i="1"/>
  <c r="A262" i="1"/>
  <c r="C262" i="1" s="1"/>
  <c r="B263" i="1"/>
  <c r="A263" i="1"/>
  <c r="C263" i="1" s="1"/>
  <c r="B264" i="1"/>
  <c r="A264" i="1"/>
  <c r="C264" i="1" s="1"/>
  <c r="B265" i="1"/>
  <c r="A265" i="1"/>
  <c r="C265" i="1" s="1"/>
  <c r="B266" i="1"/>
  <c r="A266" i="1"/>
  <c r="C266" i="1" s="1"/>
  <c r="B267" i="1"/>
  <c r="A267" i="1"/>
  <c r="C267" i="1" s="1"/>
  <c r="B268" i="1"/>
  <c r="A268" i="1"/>
  <c r="C268" i="1" s="1"/>
  <c r="B269" i="1"/>
  <c r="A269" i="1"/>
  <c r="C269" i="1" s="1"/>
  <c r="B270" i="1"/>
  <c r="A270" i="1"/>
  <c r="C270" i="1" s="1"/>
  <c r="B271" i="1"/>
  <c r="A271" i="1"/>
  <c r="C271" i="1" s="1"/>
  <c r="B272" i="1"/>
  <c r="A272" i="1"/>
  <c r="C272" i="1" s="1"/>
  <c r="B273" i="1"/>
  <c r="A273" i="1"/>
  <c r="C273" i="1" s="1"/>
  <c r="B274" i="1"/>
  <c r="A274" i="1"/>
  <c r="C274" i="1" s="1"/>
  <c r="B275" i="1"/>
  <c r="A275" i="1"/>
  <c r="C275" i="1" s="1"/>
  <c r="B276" i="1"/>
  <c r="A276" i="1"/>
  <c r="C276" i="1" s="1"/>
  <c r="B277" i="1"/>
  <c r="A277" i="1"/>
  <c r="C277" i="1" s="1"/>
  <c r="B278" i="1"/>
  <c r="A278" i="1"/>
  <c r="C278" i="1" s="1"/>
  <c r="B279" i="1"/>
  <c r="A279" i="1"/>
  <c r="C279" i="1" s="1"/>
  <c r="B280" i="1"/>
  <c r="A280" i="1"/>
  <c r="C280" i="1" s="1"/>
  <c r="B281" i="1"/>
  <c r="A281" i="1"/>
  <c r="C281" i="1" s="1"/>
  <c r="B282" i="1"/>
  <c r="A282" i="1"/>
  <c r="C282" i="1" s="1"/>
  <c r="B283" i="1"/>
  <c r="A283" i="1"/>
  <c r="C283" i="1" s="1"/>
  <c r="B284" i="1"/>
  <c r="A284" i="1"/>
  <c r="C284" i="1" s="1"/>
  <c r="B285" i="1"/>
  <c r="A285" i="1"/>
  <c r="C285" i="1" s="1"/>
  <c r="B286" i="1"/>
  <c r="A286" i="1"/>
  <c r="C286" i="1" s="1"/>
  <c r="B287" i="1"/>
  <c r="A287" i="1"/>
  <c r="C287" i="1" s="1"/>
  <c r="B288" i="1"/>
  <c r="A288" i="1"/>
  <c r="C288" i="1" s="1"/>
  <c r="B289" i="1"/>
  <c r="A289" i="1"/>
  <c r="C289" i="1" s="1"/>
  <c r="B290" i="1"/>
  <c r="A290" i="1"/>
  <c r="C290" i="1" s="1"/>
  <c r="B291" i="1"/>
  <c r="A291" i="1"/>
  <c r="C291" i="1" s="1"/>
  <c r="B292" i="1"/>
  <c r="A292" i="1"/>
  <c r="C292" i="1" s="1"/>
  <c r="B293" i="1"/>
  <c r="A293" i="1"/>
  <c r="C293" i="1" s="1"/>
  <c r="B294" i="1"/>
  <c r="A294" i="1"/>
  <c r="C294" i="1" s="1"/>
  <c r="B295" i="1"/>
  <c r="A295" i="1"/>
  <c r="C295" i="1" s="1"/>
  <c r="B296" i="1"/>
  <c r="A296" i="1"/>
  <c r="C296" i="1" s="1"/>
  <c r="B297" i="1"/>
  <c r="A297" i="1"/>
  <c r="C297" i="1" s="1"/>
  <c r="B298" i="1"/>
  <c r="A298" i="1"/>
  <c r="C298" i="1" s="1"/>
  <c r="B299" i="1"/>
  <c r="A299" i="1"/>
  <c r="C299" i="1" s="1"/>
  <c r="B300" i="1"/>
  <c r="A300" i="1"/>
  <c r="C300" i="1" s="1"/>
  <c r="B301" i="1"/>
  <c r="A301" i="1"/>
  <c r="C301" i="1" s="1"/>
  <c r="B302" i="1"/>
  <c r="A302" i="1"/>
  <c r="C302" i="1" s="1"/>
  <c r="B303" i="1"/>
  <c r="A303" i="1"/>
  <c r="C303" i="1" s="1"/>
  <c r="B304" i="1"/>
  <c r="A304" i="1"/>
  <c r="C304" i="1" s="1"/>
  <c r="B305" i="1"/>
  <c r="A305" i="1"/>
  <c r="C305" i="1" s="1"/>
  <c r="B306" i="1"/>
  <c r="A306" i="1"/>
  <c r="C306" i="1" s="1"/>
  <c r="B307" i="1"/>
  <c r="A307" i="1"/>
  <c r="C307" i="1" s="1"/>
  <c r="B308" i="1"/>
  <c r="A308" i="1"/>
  <c r="C308" i="1" s="1"/>
  <c r="B309" i="1"/>
  <c r="A309" i="1"/>
  <c r="C309" i="1" s="1"/>
  <c r="B310" i="1"/>
  <c r="A310" i="1"/>
  <c r="C310" i="1" s="1"/>
  <c r="B311" i="1"/>
  <c r="A311" i="1"/>
  <c r="C311" i="1" s="1"/>
  <c r="B312" i="1"/>
  <c r="A312" i="1"/>
  <c r="C312" i="1" s="1"/>
  <c r="B313" i="1"/>
  <c r="A313" i="1"/>
  <c r="C313" i="1" s="1"/>
  <c r="B314" i="1"/>
  <c r="A314" i="1"/>
  <c r="C314" i="1" s="1"/>
  <c r="B315" i="1"/>
  <c r="A315" i="1"/>
  <c r="C315" i="1" s="1"/>
  <c r="B316" i="1"/>
  <c r="A316" i="1"/>
  <c r="C316" i="1" s="1"/>
  <c r="B317" i="1"/>
  <c r="A317" i="1"/>
  <c r="C317" i="1" s="1"/>
  <c r="B318" i="1"/>
  <c r="A318" i="1"/>
  <c r="C318" i="1" s="1"/>
  <c r="B319" i="1"/>
  <c r="A319" i="1"/>
  <c r="C319" i="1" s="1"/>
  <c r="B320" i="1"/>
  <c r="A320" i="1"/>
  <c r="C320" i="1" s="1"/>
  <c r="B321" i="1"/>
  <c r="A321" i="1"/>
  <c r="C321" i="1" s="1"/>
  <c r="B322" i="1"/>
  <c r="A322" i="1"/>
  <c r="C322" i="1" s="1"/>
  <c r="B323" i="1"/>
  <c r="A323" i="1"/>
  <c r="C323" i="1" s="1"/>
  <c r="B324" i="1"/>
  <c r="A324" i="1"/>
  <c r="C324" i="1" s="1"/>
  <c r="B325" i="1"/>
  <c r="A325" i="1"/>
  <c r="C325" i="1" s="1"/>
  <c r="B326" i="1"/>
  <c r="A326" i="1"/>
  <c r="C326" i="1" s="1"/>
  <c r="B327" i="1"/>
  <c r="A327" i="1"/>
  <c r="C327" i="1" s="1"/>
  <c r="B328" i="1"/>
  <c r="A328" i="1"/>
  <c r="C328" i="1" s="1"/>
  <c r="B329" i="1"/>
  <c r="A329" i="1"/>
  <c r="C329" i="1" s="1"/>
  <c r="B330" i="1"/>
  <c r="A330" i="1"/>
  <c r="C330" i="1" s="1"/>
  <c r="B331" i="1"/>
  <c r="A331" i="1"/>
  <c r="C331" i="1" s="1"/>
  <c r="B332" i="1"/>
  <c r="A332" i="1"/>
  <c r="C332" i="1" s="1"/>
  <c r="B333" i="1"/>
  <c r="A333" i="1"/>
  <c r="C333" i="1" s="1"/>
  <c r="B334" i="1"/>
  <c r="A334" i="1"/>
  <c r="C334" i="1" s="1"/>
  <c r="B335" i="1"/>
  <c r="A335" i="1"/>
  <c r="C335" i="1" s="1"/>
  <c r="B336" i="1"/>
  <c r="A336" i="1"/>
  <c r="C336" i="1" s="1"/>
  <c r="B337" i="1"/>
  <c r="A337" i="1"/>
  <c r="C337" i="1" s="1"/>
  <c r="B338" i="1"/>
  <c r="A338" i="1"/>
  <c r="C338" i="1" s="1"/>
  <c r="B339" i="1"/>
  <c r="A339" i="1"/>
  <c r="C339" i="1" s="1"/>
  <c r="B340" i="1"/>
  <c r="A340" i="1"/>
  <c r="C340" i="1" s="1"/>
  <c r="B341" i="1"/>
  <c r="A341" i="1"/>
  <c r="C341" i="1" s="1"/>
  <c r="B342" i="1"/>
  <c r="A342" i="1"/>
  <c r="C342" i="1" s="1"/>
  <c r="B343" i="1"/>
  <c r="A343" i="1"/>
  <c r="C343" i="1" s="1"/>
  <c r="B344" i="1"/>
  <c r="A344" i="1"/>
  <c r="C344" i="1" s="1"/>
  <c r="B345" i="1"/>
  <c r="A345" i="1"/>
  <c r="C345" i="1" s="1"/>
  <c r="B346" i="1"/>
  <c r="A346" i="1"/>
  <c r="C346" i="1" s="1"/>
  <c r="B347" i="1"/>
  <c r="A347" i="1"/>
  <c r="C347" i="1" s="1"/>
  <c r="B348" i="1"/>
  <c r="A348" i="1"/>
  <c r="C348" i="1" s="1"/>
  <c r="B349" i="1"/>
  <c r="A349" i="1"/>
  <c r="C349" i="1" s="1"/>
  <c r="B350" i="1"/>
  <c r="A350" i="1"/>
  <c r="C350" i="1" s="1"/>
  <c r="B351" i="1"/>
  <c r="A351" i="1"/>
  <c r="C351" i="1" s="1"/>
  <c r="B352" i="1"/>
  <c r="A352" i="1"/>
  <c r="C352" i="1" s="1"/>
  <c r="B353" i="1"/>
  <c r="A353" i="1"/>
  <c r="C353" i="1" s="1"/>
  <c r="B354" i="1"/>
  <c r="A354" i="1"/>
  <c r="C354" i="1" s="1"/>
  <c r="B355" i="1"/>
  <c r="A355" i="1"/>
  <c r="C355" i="1" s="1"/>
  <c r="B356" i="1"/>
  <c r="A356" i="1"/>
  <c r="C356" i="1" s="1"/>
  <c r="B357" i="1"/>
  <c r="A357" i="1"/>
  <c r="C357" i="1" s="1"/>
  <c r="B358" i="1"/>
  <c r="A358" i="1"/>
  <c r="C358" i="1" s="1"/>
  <c r="B359" i="1"/>
  <c r="A359" i="1"/>
  <c r="C359" i="1" s="1"/>
  <c r="B360" i="1"/>
  <c r="A360" i="1"/>
  <c r="C360" i="1" s="1"/>
  <c r="B361" i="1"/>
  <c r="A361" i="1"/>
  <c r="C361" i="1" s="1"/>
  <c r="B362" i="1"/>
  <c r="A362" i="1"/>
  <c r="C362" i="1" s="1"/>
  <c r="B363" i="1"/>
  <c r="A363" i="1"/>
  <c r="C363" i="1" s="1"/>
  <c r="B364" i="1"/>
  <c r="A364" i="1"/>
  <c r="C364" i="1" s="1"/>
  <c r="B365" i="1"/>
  <c r="A365" i="1"/>
  <c r="C365" i="1" s="1"/>
  <c r="B366" i="1"/>
  <c r="A366" i="1"/>
  <c r="C366" i="1" s="1"/>
  <c r="B367" i="1"/>
  <c r="A367" i="1"/>
  <c r="C367" i="1" s="1"/>
  <c r="B368" i="1"/>
  <c r="A368" i="1"/>
  <c r="C368" i="1" s="1"/>
  <c r="B369" i="1"/>
  <c r="A369" i="1"/>
  <c r="C369" i="1" s="1"/>
  <c r="B370" i="1"/>
  <c r="A370" i="1"/>
  <c r="C370" i="1" s="1"/>
  <c r="B371" i="1"/>
  <c r="A371" i="1"/>
  <c r="C371" i="1" s="1"/>
  <c r="B372" i="1"/>
  <c r="A372" i="1"/>
  <c r="C372" i="1" s="1"/>
  <c r="B373" i="1"/>
  <c r="A373" i="1"/>
  <c r="C373" i="1" s="1"/>
  <c r="B374" i="1"/>
  <c r="A374" i="1"/>
  <c r="C374" i="1" s="1"/>
  <c r="B375" i="1"/>
  <c r="A375" i="1"/>
  <c r="C375" i="1" s="1"/>
  <c r="B376" i="1"/>
  <c r="A376" i="1"/>
  <c r="C376" i="1" s="1"/>
  <c r="B377" i="1"/>
  <c r="A377" i="1"/>
  <c r="C377" i="1" s="1"/>
  <c r="B378" i="1"/>
  <c r="A378" i="1"/>
  <c r="C378" i="1" s="1"/>
  <c r="B379" i="1"/>
  <c r="A379" i="1"/>
  <c r="C379" i="1" s="1"/>
  <c r="B380" i="1"/>
  <c r="A380" i="1"/>
  <c r="C380" i="1" s="1"/>
  <c r="B381" i="1"/>
  <c r="A381" i="1"/>
  <c r="C381" i="1" s="1"/>
  <c r="B382" i="1"/>
  <c r="A382" i="1"/>
  <c r="C382" i="1" s="1"/>
  <c r="B383" i="1"/>
  <c r="A383" i="1"/>
  <c r="C383" i="1" s="1"/>
  <c r="B384" i="1"/>
  <c r="A384" i="1"/>
  <c r="C384" i="1" s="1"/>
  <c r="B385" i="1"/>
  <c r="A385" i="1"/>
  <c r="C385" i="1" s="1"/>
  <c r="B386" i="1"/>
  <c r="A386" i="1"/>
  <c r="C386" i="1" s="1"/>
  <c r="B387" i="1"/>
  <c r="A387" i="1"/>
  <c r="C387" i="1" s="1"/>
  <c r="B388" i="1"/>
  <c r="A388" i="1"/>
  <c r="C388" i="1" s="1"/>
  <c r="B389" i="1"/>
  <c r="A389" i="1"/>
  <c r="C389" i="1" s="1"/>
  <c r="B390" i="1"/>
  <c r="A390" i="1"/>
  <c r="C390" i="1" s="1"/>
  <c r="B391" i="1"/>
  <c r="A391" i="1"/>
  <c r="C391" i="1" s="1"/>
  <c r="B392" i="1"/>
  <c r="A392" i="1"/>
  <c r="C392" i="1" s="1"/>
  <c r="B393" i="1"/>
  <c r="A393" i="1"/>
  <c r="C393" i="1" s="1"/>
  <c r="B394" i="1"/>
  <c r="A394" i="1"/>
  <c r="C394" i="1" s="1"/>
  <c r="B395" i="1"/>
  <c r="A395" i="1"/>
  <c r="C395" i="1" s="1"/>
  <c r="B396" i="1"/>
  <c r="A396" i="1"/>
  <c r="C396" i="1" s="1"/>
  <c r="B397" i="1"/>
  <c r="A397" i="1"/>
  <c r="C397" i="1" s="1"/>
  <c r="B398" i="1"/>
  <c r="A398" i="1"/>
  <c r="C398" i="1" s="1"/>
  <c r="B399" i="1"/>
  <c r="A399" i="1"/>
  <c r="C399" i="1" s="1"/>
  <c r="B400" i="1"/>
  <c r="A400" i="1"/>
  <c r="C400" i="1" s="1"/>
  <c r="B401" i="1"/>
  <c r="A401" i="1"/>
  <c r="C401" i="1" s="1"/>
  <c r="B402" i="1"/>
  <c r="A402" i="1"/>
  <c r="C402" i="1" s="1"/>
  <c r="B403" i="1"/>
  <c r="A403" i="1"/>
  <c r="C403" i="1" s="1"/>
  <c r="B404" i="1"/>
  <c r="A404" i="1"/>
  <c r="C404" i="1" s="1"/>
  <c r="B405" i="1"/>
  <c r="A405" i="1"/>
  <c r="C405" i="1" s="1"/>
  <c r="B406" i="1"/>
  <c r="A406" i="1"/>
  <c r="C406" i="1" s="1"/>
  <c r="B407" i="1"/>
  <c r="A407" i="1"/>
  <c r="C407" i="1" s="1"/>
  <c r="B408" i="1"/>
  <c r="A408" i="1"/>
  <c r="C408" i="1" s="1"/>
  <c r="B409" i="1"/>
  <c r="A409" i="1"/>
  <c r="C409" i="1" s="1"/>
  <c r="B410" i="1"/>
  <c r="A410" i="1"/>
  <c r="C410" i="1" s="1"/>
  <c r="B411" i="1"/>
  <c r="A411" i="1"/>
  <c r="C411" i="1" s="1"/>
  <c r="B412" i="1"/>
  <c r="A412" i="1"/>
  <c r="C412" i="1" s="1"/>
  <c r="B413" i="1"/>
  <c r="A413" i="1"/>
  <c r="C413" i="1" s="1"/>
  <c r="B414" i="1"/>
  <c r="A414" i="1"/>
  <c r="C414" i="1" s="1"/>
  <c r="B415" i="1"/>
  <c r="A415" i="1"/>
  <c r="C415" i="1" s="1"/>
  <c r="B416" i="1"/>
  <c r="A416" i="1"/>
  <c r="C416" i="1" s="1"/>
  <c r="B417" i="1"/>
  <c r="A417" i="1"/>
  <c r="C417" i="1" s="1"/>
  <c r="B418" i="1"/>
  <c r="A418" i="1"/>
  <c r="C418" i="1" s="1"/>
  <c r="B419" i="1"/>
  <c r="A419" i="1"/>
  <c r="C419" i="1" s="1"/>
  <c r="B420" i="1"/>
  <c r="A420" i="1"/>
  <c r="C420" i="1" s="1"/>
  <c r="B421" i="1"/>
  <c r="A421" i="1"/>
  <c r="C421" i="1" s="1"/>
  <c r="B422" i="1"/>
  <c r="A422" i="1"/>
  <c r="C422" i="1" s="1"/>
  <c r="B423" i="1"/>
  <c r="A423" i="1"/>
  <c r="C423" i="1" s="1"/>
  <c r="B424" i="1"/>
  <c r="A424" i="1"/>
  <c r="C424" i="1" s="1"/>
  <c r="B425" i="1"/>
  <c r="A425" i="1"/>
  <c r="C425" i="1" s="1"/>
  <c r="B426" i="1"/>
  <c r="A426" i="1"/>
  <c r="C426" i="1" s="1"/>
  <c r="B427" i="1"/>
  <c r="A427" i="1"/>
  <c r="C427" i="1" s="1"/>
  <c r="B428" i="1"/>
  <c r="A428" i="1"/>
  <c r="C428" i="1" s="1"/>
  <c r="B429" i="1"/>
  <c r="A429" i="1"/>
  <c r="C429" i="1" s="1"/>
  <c r="B430" i="1"/>
  <c r="A430" i="1"/>
  <c r="C430" i="1" s="1"/>
  <c r="B431" i="1"/>
  <c r="A431" i="1"/>
  <c r="C431" i="1" s="1"/>
  <c r="B432" i="1"/>
  <c r="A432" i="1"/>
  <c r="C432" i="1" s="1"/>
  <c r="B433" i="1"/>
  <c r="A433" i="1"/>
  <c r="C433" i="1" s="1"/>
  <c r="B434" i="1"/>
  <c r="A434" i="1"/>
  <c r="C434" i="1" s="1"/>
  <c r="B435" i="1"/>
  <c r="A435" i="1"/>
  <c r="C435" i="1" s="1"/>
  <c r="B436" i="1"/>
  <c r="A436" i="1"/>
  <c r="C436" i="1" s="1"/>
  <c r="B437" i="1"/>
  <c r="A437" i="1"/>
  <c r="C437" i="1" s="1"/>
  <c r="B438" i="1"/>
  <c r="A438" i="1"/>
  <c r="C438" i="1" s="1"/>
  <c r="B439" i="1"/>
  <c r="A439" i="1"/>
  <c r="C439" i="1" s="1"/>
  <c r="B440" i="1"/>
  <c r="A440" i="1"/>
  <c r="C440" i="1" s="1"/>
  <c r="B441" i="1"/>
  <c r="A441" i="1"/>
  <c r="C441" i="1" s="1"/>
  <c r="B442" i="1"/>
  <c r="A442" i="1"/>
  <c r="C442" i="1" s="1"/>
  <c r="B443" i="1"/>
  <c r="A443" i="1"/>
  <c r="C443" i="1" s="1"/>
  <c r="B444" i="1"/>
  <c r="A444" i="1"/>
  <c r="C444" i="1" s="1"/>
  <c r="B445" i="1"/>
  <c r="A445" i="1"/>
  <c r="C445" i="1" s="1"/>
  <c r="B446" i="1"/>
  <c r="A446" i="1"/>
  <c r="C446" i="1" s="1"/>
  <c r="B447" i="1"/>
  <c r="A447" i="1"/>
  <c r="C447" i="1" s="1"/>
  <c r="B448" i="1"/>
  <c r="A448" i="1"/>
  <c r="C448" i="1" s="1"/>
  <c r="B449" i="1"/>
  <c r="A449" i="1"/>
  <c r="C449" i="1" s="1"/>
  <c r="B450" i="1"/>
  <c r="A450" i="1"/>
  <c r="C450" i="1" s="1"/>
  <c r="B451" i="1"/>
  <c r="A451" i="1"/>
  <c r="C451" i="1" s="1"/>
  <c r="B452" i="1"/>
  <c r="A452" i="1"/>
  <c r="C452" i="1" s="1"/>
  <c r="B453" i="1"/>
  <c r="A453" i="1"/>
  <c r="C453" i="1" s="1"/>
  <c r="B454" i="1"/>
  <c r="A454" i="1"/>
  <c r="C454" i="1" s="1"/>
  <c r="B455" i="1"/>
  <c r="A455" i="1"/>
  <c r="C455" i="1" s="1"/>
  <c r="B456" i="1"/>
  <c r="A456" i="1"/>
  <c r="C456" i="1" s="1"/>
  <c r="B457" i="1"/>
  <c r="A457" i="1"/>
  <c r="C457" i="1" s="1"/>
  <c r="B458" i="1"/>
  <c r="A458" i="1"/>
  <c r="C458" i="1" s="1"/>
  <c r="B459" i="1"/>
  <c r="A459" i="1"/>
  <c r="C459" i="1" s="1"/>
  <c r="B460" i="1"/>
  <c r="A460" i="1"/>
  <c r="C460" i="1" s="1"/>
  <c r="B461" i="1"/>
  <c r="A461" i="1"/>
  <c r="C461" i="1" s="1"/>
  <c r="B462" i="1"/>
  <c r="A462" i="1"/>
  <c r="C462" i="1" s="1"/>
  <c r="B463" i="1"/>
  <c r="A463" i="1"/>
  <c r="C463" i="1" s="1"/>
  <c r="B464" i="1"/>
  <c r="A464" i="1"/>
  <c r="C464" i="1" s="1"/>
  <c r="B465" i="1"/>
  <c r="A465" i="1"/>
  <c r="C465" i="1" s="1"/>
  <c r="B466" i="1"/>
  <c r="A466" i="1"/>
  <c r="C466" i="1" s="1"/>
  <c r="B467" i="1"/>
  <c r="A467" i="1"/>
  <c r="C467" i="1" s="1"/>
  <c r="B468" i="1"/>
  <c r="A468" i="1"/>
  <c r="C468" i="1" s="1"/>
  <c r="B469" i="1"/>
  <c r="A469" i="1"/>
  <c r="C469" i="1" s="1"/>
  <c r="B470" i="1"/>
  <c r="A470" i="1"/>
  <c r="C470" i="1" s="1"/>
  <c r="B471" i="1"/>
  <c r="A471" i="1"/>
  <c r="C471" i="1" s="1"/>
  <c r="B472" i="1"/>
  <c r="A472" i="1"/>
  <c r="C472" i="1" s="1"/>
  <c r="B473" i="1"/>
  <c r="A473" i="1"/>
  <c r="C473" i="1" s="1"/>
  <c r="B474" i="1"/>
  <c r="A474" i="1"/>
  <c r="C474" i="1" s="1"/>
  <c r="B475" i="1"/>
  <c r="A475" i="1"/>
  <c r="C475" i="1" s="1"/>
  <c r="B476" i="1"/>
  <c r="A476" i="1"/>
  <c r="C476" i="1" s="1"/>
  <c r="B477" i="1"/>
  <c r="A477" i="1"/>
  <c r="C477" i="1" s="1"/>
  <c r="B478" i="1"/>
  <c r="A478" i="1"/>
  <c r="C478" i="1" s="1"/>
  <c r="B479" i="1"/>
  <c r="A479" i="1"/>
  <c r="C479" i="1" s="1"/>
  <c r="B480" i="1"/>
  <c r="A480" i="1"/>
  <c r="C480" i="1" s="1"/>
  <c r="B481" i="1"/>
  <c r="A481" i="1"/>
  <c r="C481" i="1" s="1"/>
  <c r="B482" i="1"/>
  <c r="A482" i="1"/>
  <c r="C482" i="1" s="1"/>
  <c r="B483" i="1"/>
  <c r="A483" i="1"/>
  <c r="C483" i="1" s="1"/>
  <c r="B484" i="1"/>
  <c r="A484" i="1"/>
  <c r="C484" i="1" s="1"/>
  <c r="B485" i="1"/>
  <c r="A485" i="1"/>
  <c r="C485" i="1" s="1"/>
  <c r="B486" i="1"/>
  <c r="A486" i="1"/>
  <c r="C486" i="1" s="1"/>
  <c r="B487" i="1"/>
  <c r="A487" i="1"/>
  <c r="C487" i="1" s="1"/>
  <c r="B488" i="1"/>
  <c r="A488" i="1"/>
  <c r="C488" i="1" s="1"/>
  <c r="B489" i="1"/>
  <c r="A489" i="1"/>
  <c r="C489" i="1" s="1"/>
  <c r="B490" i="1"/>
  <c r="A490" i="1"/>
  <c r="C490" i="1" s="1"/>
  <c r="B491" i="1"/>
  <c r="A491" i="1"/>
  <c r="C491" i="1" s="1"/>
  <c r="B492" i="1"/>
  <c r="A492" i="1"/>
  <c r="C492" i="1" s="1"/>
  <c r="B493" i="1"/>
  <c r="A493" i="1"/>
  <c r="C493" i="1" s="1"/>
  <c r="B494" i="1"/>
  <c r="A494" i="1"/>
  <c r="C494" i="1" s="1"/>
  <c r="B495" i="1"/>
  <c r="A495" i="1"/>
  <c r="C495" i="1" s="1"/>
  <c r="B496" i="1"/>
  <c r="A496" i="1"/>
  <c r="C496" i="1" s="1"/>
  <c r="B497" i="1"/>
  <c r="A497" i="1"/>
  <c r="C497" i="1" s="1"/>
  <c r="B498" i="1"/>
  <c r="A498" i="1"/>
  <c r="C498" i="1" s="1"/>
  <c r="B499" i="1"/>
  <c r="A499" i="1"/>
  <c r="C499" i="1" s="1"/>
  <c r="B500" i="1"/>
  <c r="A500" i="1"/>
  <c r="C500" i="1" s="1"/>
  <c r="B501" i="1"/>
  <c r="A501" i="1"/>
  <c r="C501" i="1" s="1"/>
  <c r="B502" i="1"/>
  <c r="A502" i="1"/>
  <c r="C502" i="1" s="1"/>
  <c r="B503" i="1"/>
  <c r="A503" i="1"/>
  <c r="C503" i="1" s="1"/>
  <c r="B504" i="1"/>
  <c r="A504" i="1"/>
  <c r="C504" i="1" s="1"/>
  <c r="B505" i="1"/>
  <c r="A505" i="1"/>
  <c r="C505" i="1" s="1"/>
  <c r="B506" i="1"/>
  <c r="A506" i="1"/>
  <c r="C506" i="1" s="1"/>
  <c r="B507" i="1"/>
  <c r="A507" i="1"/>
  <c r="C507" i="1" s="1"/>
  <c r="B508" i="1"/>
  <c r="A508" i="1"/>
  <c r="C508" i="1" s="1"/>
  <c r="B509" i="1"/>
  <c r="A509" i="1"/>
  <c r="C509" i="1" s="1"/>
  <c r="B510" i="1"/>
  <c r="A510" i="1"/>
  <c r="C510" i="1" s="1"/>
  <c r="B511" i="1"/>
  <c r="A511" i="1"/>
  <c r="C511" i="1" s="1"/>
  <c r="B512" i="1"/>
  <c r="A512" i="1"/>
  <c r="C512" i="1" s="1"/>
  <c r="B513" i="1"/>
  <c r="A513" i="1"/>
  <c r="C513" i="1" s="1"/>
  <c r="B514" i="1"/>
  <c r="A514" i="1"/>
  <c r="C514" i="1" s="1"/>
  <c r="B515" i="1"/>
  <c r="A515" i="1"/>
  <c r="C515" i="1" s="1"/>
  <c r="B516" i="1"/>
  <c r="A516" i="1"/>
  <c r="C516" i="1" s="1"/>
  <c r="B517" i="1"/>
  <c r="A517" i="1"/>
  <c r="C517" i="1" s="1"/>
  <c r="B518" i="1"/>
  <c r="A518" i="1"/>
  <c r="C518" i="1" s="1"/>
  <c r="B519" i="1"/>
  <c r="A519" i="1"/>
  <c r="C519" i="1" s="1"/>
  <c r="B520" i="1"/>
  <c r="A520" i="1"/>
  <c r="C520" i="1" s="1"/>
  <c r="B521" i="1"/>
  <c r="A521" i="1"/>
  <c r="C521" i="1" s="1"/>
  <c r="B522" i="1"/>
  <c r="A522" i="1"/>
  <c r="C522" i="1" s="1"/>
  <c r="B523" i="1"/>
  <c r="A523" i="1"/>
  <c r="C523" i="1" s="1"/>
  <c r="B524" i="1"/>
  <c r="A524" i="1"/>
  <c r="C524" i="1" s="1"/>
  <c r="B525" i="1"/>
  <c r="A525" i="1"/>
  <c r="C525" i="1" s="1"/>
  <c r="B526" i="1"/>
  <c r="A526" i="1"/>
  <c r="C526" i="1" s="1"/>
  <c r="B527" i="1"/>
  <c r="A527" i="1"/>
  <c r="C527" i="1" s="1"/>
  <c r="B528" i="1"/>
  <c r="A528" i="1"/>
  <c r="C528" i="1" s="1"/>
  <c r="B529" i="1"/>
  <c r="A529" i="1"/>
  <c r="C529" i="1" s="1"/>
  <c r="B530" i="1"/>
  <c r="A530" i="1"/>
  <c r="C530" i="1" s="1"/>
  <c r="B531" i="1"/>
  <c r="A531" i="1"/>
  <c r="C531" i="1" s="1"/>
  <c r="B532" i="1"/>
  <c r="A532" i="1"/>
  <c r="C532" i="1" s="1"/>
  <c r="B533" i="1"/>
  <c r="A533" i="1"/>
  <c r="C533" i="1" s="1"/>
  <c r="B534" i="1"/>
  <c r="A534" i="1"/>
  <c r="C534" i="1" s="1"/>
  <c r="B535" i="1"/>
  <c r="A535" i="1"/>
  <c r="C535" i="1" s="1"/>
  <c r="B536" i="1"/>
  <c r="A536" i="1"/>
  <c r="C536" i="1" s="1"/>
  <c r="B537" i="1"/>
  <c r="A537" i="1"/>
  <c r="C537" i="1" s="1"/>
  <c r="B538" i="1"/>
  <c r="A538" i="1"/>
  <c r="C538" i="1" s="1"/>
  <c r="B539" i="1"/>
  <c r="A539" i="1"/>
  <c r="C539" i="1" s="1"/>
  <c r="B540" i="1"/>
  <c r="A540" i="1"/>
  <c r="C540" i="1" s="1"/>
  <c r="B541" i="1"/>
  <c r="A541" i="1"/>
  <c r="C541" i="1" s="1"/>
  <c r="B542" i="1"/>
  <c r="A542" i="1"/>
  <c r="C542" i="1" s="1"/>
  <c r="B543" i="1"/>
  <c r="A543" i="1"/>
  <c r="C543" i="1" s="1"/>
  <c r="B544" i="1"/>
  <c r="A544" i="1"/>
  <c r="C544" i="1" s="1"/>
  <c r="B545" i="1"/>
  <c r="A545" i="1"/>
  <c r="C545" i="1" s="1"/>
  <c r="B546" i="1"/>
  <c r="A546" i="1"/>
  <c r="C546" i="1" s="1"/>
  <c r="B547" i="1"/>
  <c r="A547" i="1"/>
  <c r="C547" i="1" s="1"/>
  <c r="B548" i="1"/>
  <c r="A548" i="1"/>
  <c r="C548" i="1" s="1"/>
  <c r="B549" i="1"/>
  <c r="A549" i="1"/>
  <c r="C549" i="1" s="1"/>
  <c r="B550" i="1"/>
  <c r="A550" i="1"/>
  <c r="C550" i="1" s="1"/>
  <c r="B551" i="1"/>
  <c r="A551" i="1"/>
  <c r="C551" i="1" s="1"/>
  <c r="B552" i="1"/>
  <c r="A552" i="1"/>
  <c r="C552" i="1" s="1"/>
  <c r="B553" i="1"/>
  <c r="A553" i="1"/>
  <c r="C553" i="1" s="1"/>
  <c r="B554" i="1"/>
  <c r="A554" i="1"/>
  <c r="C554" i="1" s="1"/>
  <c r="B555" i="1"/>
  <c r="A555" i="1"/>
  <c r="C555" i="1" s="1"/>
  <c r="B556" i="1"/>
  <c r="A556" i="1"/>
  <c r="C556" i="1" s="1"/>
  <c r="B557" i="1"/>
  <c r="A557" i="1"/>
  <c r="C557" i="1" s="1"/>
  <c r="B558" i="1"/>
  <c r="A558" i="1"/>
  <c r="C558" i="1" s="1"/>
  <c r="B559" i="1"/>
  <c r="A559" i="1"/>
  <c r="C559" i="1" s="1"/>
  <c r="B560" i="1"/>
  <c r="A560" i="1"/>
  <c r="C560" i="1" s="1"/>
  <c r="B561" i="1"/>
  <c r="A561" i="1"/>
  <c r="C561" i="1" s="1"/>
  <c r="B562" i="1"/>
  <c r="A562" i="1"/>
  <c r="C562" i="1" s="1"/>
  <c r="B563" i="1"/>
  <c r="A563" i="1"/>
  <c r="C563" i="1" s="1"/>
  <c r="B564" i="1"/>
  <c r="A564" i="1"/>
  <c r="C564" i="1" s="1"/>
  <c r="B565" i="1"/>
  <c r="A565" i="1"/>
  <c r="C565" i="1" s="1"/>
  <c r="B566" i="1"/>
  <c r="A566" i="1"/>
  <c r="C566" i="1" s="1"/>
  <c r="B567" i="1"/>
  <c r="A567" i="1"/>
  <c r="C567" i="1" s="1"/>
  <c r="B568" i="1"/>
  <c r="A568" i="1"/>
  <c r="C568" i="1" s="1"/>
  <c r="B569" i="1"/>
  <c r="A569" i="1"/>
  <c r="C569" i="1" s="1"/>
  <c r="B570" i="1"/>
  <c r="A570" i="1"/>
  <c r="C570" i="1" s="1"/>
  <c r="B571" i="1"/>
  <c r="A571" i="1"/>
  <c r="C571" i="1" s="1"/>
  <c r="B572" i="1"/>
  <c r="A572" i="1"/>
  <c r="C572" i="1" s="1"/>
  <c r="B573" i="1"/>
  <c r="A573" i="1"/>
  <c r="C573" i="1" s="1"/>
  <c r="B574" i="1"/>
  <c r="A574" i="1"/>
  <c r="C574" i="1" s="1"/>
  <c r="B575" i="1"/>
  <c r="A575" i="1"/>
  <c r="C575" i="1" s="1"/>
  <c r="B576" i="1"/>
  <c r="A576" i="1"/>
  <c r="C576" i="1" s="1"/>
  <c r="B577" i="1"/>
  <c r="A577" i="1"/>
  <c r="C577" i="1" s="1"/>
  <c r="B578" i="1"/>
  <c r="A578" i="1"/>
  <c r="C578" i="1" s="1"/>
  <c r="B579" i="1"/>
  <c r="A579" i="1"/>
  <c r="C579" i="1" s="1"/>
  <c r="B580" i="1"/>
  <c r="A580" i="1"/>
  <c r="C580" i="1" s="1"/>
  <c r="B581" i="1"/>
  <c r="A581" i="1"/>
  <c r="C581" i="1" s="1"/>
  <c r="B582" i="1"/>
  <c r="A582" i="1"/>
  <c r="C582" i="1" s="1"/>
  <c r="B583" i="1"/>
  <c r="A583" i="1"/>
  <c r="C583" i="1" s="1"/>
  <c r="B584" i="1"/>
  <c r="A584" i="1"/>
  <c r="C584" i="1" s="1"/>
  <c r="B585" i="1"/>
  <c r="A585" i="1"/>
  <c r="C585" i="1" s="1"/>
  <c r="B586" i="1"/>
  <c r="A586" i="1"/>
  <c r="C586" i="1" s="1"/>
  <c r="B587" i="1"/>
  <c r="A587" i="1"/>
  <c r="C587" i="1" s="1"/>
  <c r="B588" i="1"/>
  <c r="A588" i="1"/>
  <c r="C588" i="1" s="1"/>
  <c r="B589" i="1"/>
  <c r="A589" i="1"/>
  <c r="C589" i="1" s="1"/>
  <c r="B590" i="1"/>
  <c r="A590" i="1"/>
  <c r="C590" i="1" s="1"/>
  <c r="B591" i="1"/>
  <c r="A591" i="1"/>
  <c r="C591" i="1" s="1"/>
  <c r="B592" i="1"/>
  <c r="A592" i="1"/>
  <c r="C592" i="1" s="1"/>
  <c r="B593" i="1"/>
  <c r="A593" i="1"/>
  <c r="C593" i="1" s="1"/>
  <c r="B594" i="1"/>
  <c r="A594" i="1"/>
  <c r="C594" i="1" s="1"/>
  <c r="B595" i="1"/>
  <c r="A595" i="1"/>
  <c r="C595" i="1" s="1"/>
  <c r="B596" i="1"/>
  <c r="A596" i="1"/>
  <c r="C596" i="1" s="1"/>
  <c r="B597" i="1"/>
  <c r="A597" i="1"/>
  <c r="C597" i="1" s="1"/>
  <c r="B598" i="1"/>
  <c r="A598" i="1"/>
  <c r="C598" i="1" s="1"/>
  <c r="B599" i="1"/>
  <c r="A599" i="1"/>
  <c r="C599" i="1" s="1"/>
  <c r="B600" i="1"/>
  <c r="A600" i="1"/>
  <c r="C600" i="1" s="1"/>
  <c r="B601" i="1"/>
  <c r="A601" i="1"/>
  <c r="C601" i="1" s="1"/>
  <c r="B602" i="1"/>
  <c r="A602" i="1"/>
  <c r="C602" i="1" s="1"/>
  <c r="B603" i="1"/>
  <c r="A603" i="1"/>
  <c r="C603" i="1" s="1"/>
  <c r="B604" i="1"/>
  <c r="A604" i="1"/>
  <c r="C604" i="1" s="1"/>
  <c r="B605" i="1"/>
  <c r="A605" i="1"/>
  <c r="C605" i="1" s="1"/>
  <c r="B606" i="1"/>
  <c r="A606" i="1"/>
  <c r="C606" i="1" s="1"/>
  <c r="B607" i="1"/>
  <c r="A607" i="1"/>
  <c r="C607" i="1" s="1"/>
  <c r="B608" i="1"/>
  <c r="A608" i="1"/>
  <c r="C608" i="1" s="1"/>
  <c r="B609" i="1"/>
  <c r="A609" i="1"/>
  <c r="C609" i="1" s="1"/>
  <c r="B610" i="1"/>
  <c r="A610" i="1"/>
  <c r="C610" i="1" s="1"/>
  <c r="B611" i="1"/>
  <c r="A611" i="1"/>
  <c r="C611" i="1" s="1"/>
  <c r="B612" i="1"/>
  <c r="A612" i="1"/>
  <c r="C612" i="1" s="1"/>
  <c r="B613" i="1"/>
  <c r="A613" i="1"/>
  <c r="C613" i="1" s="1"/>
  <c r="B614" i="1"/>
  <c r="A614" i="1"/>
  <c r="C614" i="1" s="1"/>
  <c r="B615" i="1"/>
  <c r="A615" i="1"/>
  <c r="C615" i="1" s="1"/>
  <c r="B616" i="1"/>
  <c r="A616" i="1"/>
  <c r="C616" i="1" s="1"/>
  <c r="B617" i="1"/>
  <c r="A617" i="1"/>
  <c r="C617" i="1" s="1"/>
  <c r="B618" i="1"/>
  <c r="A618" i="1"/>
  <c r="C618" i="1" s="1"/>
  <c r="B619" i="1"/>
  <c r="A619" i="1"/>
  <c r="C619" i="1" s="1"/>
  <c r="B620" i="1"/>
  <c r="A620" i="1"/>
  <c r="C620" i="1" s="1"/>
  <c r="B621" i="1"/>
  <c r="A621" i="1"/>
  <c r="C621" i="1" s="1"/>
  <c r="B622" i="1"/>
  <c r="A622" i="1"/>
  <c r="C622" i="1" s="1"/>
  <c r="B623" i="1"/>
  <c r="A623" i="1"/>
  <c r="C623" i="1" s="1"/>
  <c r="B624" i="1"/>
  <c r="A624" i="1"/>
  <c r="C624" i="1" s="1"/>
  <c r="B625" i="1"/>
  <c r="A625" i="1"/>
  <c r="C625" i="1" s="1"/>
  <c r="B626" i="1"/>
  <c r="A626" i="1"/>
  <c r="C626" i="1" s="1"/>
  <c r="B627" i="1"/>
  <c r="A627" i="1"/>
  <c r="C627" i="1" s="1"/>
  <c r="B628" i="1"/>
  <c r="A628" i="1"/>
  <c r="C628" i="1" s="1"/>
  <c r="B629" i="1"/>
  <c r="A629" i="1"/>
  <c r="C629" i="1" s="1"/>
  <c r="B630" i="1"/>
  <c r="A630" i="1"/>
  <c r="C630" i="1" s="1"/>
  <c r="B631" i="1"/>
  <c r="A631" i="1"/>
  <c r="C631" i="1" s="1"/>
  <c r="B632" i="1"/>
  <c r="A632" i="1"/>
  <c r="C632" i="1" s="1"/>
  <c r="B633" i="1"/>
  <c r="A633" i="1"/>
  <c r="C633" i="1" s="1"/>
  <c r="B634" i="1"/>
  <c r="A634" i="1"/>
  <c r="C634" i="1" s="1"/>
  <c r="B635" i="1"/>
  <c r="A635" i="1"/>
  <c r="C635" i="1" s="1"/>
  <c r="B636" i="1"/>
  <c r="A636" i="1"/>
  <c r="C636" i="1" s="1"/>
  <c r="B637" i="1"/>
  <c r="A637" i="1"/>
  <c r="C637" i="1" s="1"/>
  <c r="B638" i="1"/>
  <c r="A638" i="1"/>
  <c r="C638" i="1" s="1"/>
  <c r="B639" i="1"/>
  <c r="A639" i="1"/>
  <c r="C639" i="1" s="1"/>
  <c r="B640" i="1"/>
  <c r="A640" i="1"/>
  <c r="C640" i="1" s="1"/>
  <c r="B641" i="1"/>
  <c r="A641" i="1"/>
  <c r="C641" i="1" s="1"/>
  <c r="B642" i="1"/>
  <c r="A642" i="1"/>
  <c r="C642" i="1" s="1"/>
  <c r="B643" i="1"/>
  <c r="A643" i="1"/>
  <c r="C643" i="1" s="1"/>
  <c r="B644" i="1"/>
  <c r="A644" i="1"/>
  <c r="C644" i="1" s="1"/>
  <c r="B645" i="1"/>
  <c r="A645" i="1"/>
  <c r="C645" i="1" s="1"/>
  <c r="B646" i="1"/>
  <c r="A646" i="1"/>
  <c r="C646" i="1" s="1"/>
  <c r="B647" i="1"/>
  <c r="A647" i="1"/>
  <c r="C647" i="1" s="1"/>
  <c r="B648" i="1"/>
  <c r="A648" i="1"/>
  <c r="C648" i="1" s="1"/>
  <c r="B649" i="1"/>
  <c r="A649" i="1"/>
  <c r="C649" i="1" s="1"/>
  <c r="B650" i="1"/>
  <c r="A650" i="1"/>
  <c r="C650" i="1" s="1"/>
  <c r="B651" i="1"/>
  <c r="A651" i="1"/>
  <c r="C651" i="1" s="1"/>
  <c r="B652" i="1"/>
  <c r="A652" i="1"/>
  <c r="C652" i="1" s="1"/>
  <c r="B653" i="1"/>
  <c r="A653" i="1"/>
  <c r="C653" i="1" s="1"/>
  <c r="B654" i="1"/>
  <c r="A654" i="1"/>
  <c r="C654" i="1" s="1"/>
  <c r="B655" i="1"/>
  <c r="A655" i="1"/>
  <c r="C655" i="1" s="1"/>
  <c r="B656" i="1"/>
  <c r="A656" i="1"/>
  <c r="C656" i="1" s="1"/>
  <c r="B657" i="1"/>
  <c r="A657" i="1"/>
  <c r="C657" i="1" s="1"/>
  <c r="B658" i="1"/>
  <c r="A658" i="1"/>
  <c r="C658" i="1" s="1"/>
  <c r="B659" i="1"/>
  <c r="A659" i="1"/>
  <c r="C659" i="1" s="1"/>
  <c r="B660" i="1"/>
  <c r="A660" i="1"/>
  <c r="C660" i="1" s="1"/>
  <c r="B661" i="1"/>
  <c r="A661" i="1"/>
  <c r="C661" i="1" s="1"/>
  <c r="B662" i="1"/>
  <c r="A662" i="1"/>
  <c r="C662" i="1" s="1"/>
  <c r="B663" i="1"/>
  <c r="A663" i="1"/>
  <c r="C663" i="1" s="1"/>
  <c r="B664" i="1"/>
  <c r="A664" i="1"/>
  <c r="C664" i="1" s="1"/>
  <c r="B665" i="1"/>
  <c r="A665" i="1"/>
  <c r="C665" i="1" s="1"/>
  <c r="B666" i="1"/>
  <c r="A666" i="1"/>
  <c r="C666" i="1" s="1"/>
  <c r="B667" i="1"/>
  <c r="A667" i="1"/>
  <c r="C667" i="1" s="1"/>
  <c r="B668" i="1"/>
  <c r="A668" i="1"/>
  <c r="C668" i="1" s="1"/>
  <c r="B669" i="1"/>
  <c r="A669" i="1"/>
  <c r="C669" i="1" s="1"/>
  <c r="B670" i="1"/>
  <c r="A670" i="1"/>
  <c r="C670" i="1" s="1"/>
  <c r="B671" i="1"/>
  <c r="A671" i="1"/>
  <c r="C671" i="1" s="1"/>
  <c r="B672" i="1"/>
  <c r="A672" i="1"/>
  <c r="C672" i="1" s="1"/>
  <c r="B673" i="1"/>
  <c r="A673" i="1"/>
  <c r="C673" i="1" s="1"/>
  <c r="B674" i="1"/>
  <c r="A674" i="1"/>
  <c r="C674" i="1" s="1"/>
  <c r="B675" i="1"/>
  <c r="A675" i="1"/>
  <c r="C675" i="1" s="1"/>
  <c r="B676" i="1"/>
  <c r="A676" i="1"/>
  <c r="C676" i="1" s="1"/>
  <c r="B677" i="1"/>
  <c r="A677" i="1"/>
  <c r="C677" i="1" s="1"/>
  <c r="B678" i="1"/>
  <c r="A678" i="1"/>
  <c r="C678" i="1" s="1"/>
  <c r="B679" i="1"/>
  <c r="A679" i="1"/>
  <c r="C679" i="1" s="1"/>
  <c r="B680" i="1"/>
  <c r="A680" i="1"/>
  <c r="C680" i="1" s="1"/>
  <c r="B681" i="1"/>
  <c r="A681" i="1"/>
  <c r="C681" i="1" s="1"/>
  <c r="B682" i="1"/>
  <c r="A682" i="1"/>
  <c r="C682" i="1" s="1"/>
  <c r="B683" i="1"/>
  <c r="A683" i="1"/>
  <c r="C683" i="1" s="1"/>
  <c r="B684" i="1"/>
  <c r="A684" i="1"/>
  <c r="C684" i="1" s="1"/>
  <c r="B685" i="1"/>
  <c r="A685" i="1"/>
  <c r="C685" i="1" s="1"/>
  <c r="B686" i="1"/>
  <c r="A686" i="1"/>
  <c r="C686" i="1" s="1"/>
  <c r="B687" i="1"/>
  <c r="A687" i="1"/>
  <c r="C687" i="1" s="1"/>
  <c r="B688" i="1"/>
  <c r="A688" i="1"/>
  <c r="C688" i="1" s="1"/>
  <c r="B689" i="1"/>
  <c r="A689" i="1"/>
  <c r="C689" i="1" s="1"/>
  <c r="B690" i="1"/>
  <c r="A690" i="1"/>
  <c r="C690" i="1" s="1"/>
  <c r="B691" i="1"/>
  <c r="A691" i="1"/>
  <c r="C691" i="1" s="1"/>
  <c r="B692" i="1"/>
  <c r="A692" i="1"/>
  <c r="C692" i="1" s="1"/>
  <c r="B693" i="1"/>
  <c r="A693" i="1"/>
  <c r="C693" i="1" s="1"/>
  <c r="B694" i="1"/>
  <c r="A694" i="1"/>
  <c r="C694" i="1" s="1"/>
  <c r="B695" i="1"/>
  <c r="A695" i="1"/>
  <c r="C695" i="1" s="1"/>
  <c r="B696" i="1"/>
  <c r="A696" i="1"/>
  <c r="C696" i="1" s="1"/>
  <c r="B697" i="1"/>
  <c r="A697" i="1"/>
  <c r="C697" i="1" s="1"/>
  <c r="B698" i="1"/>
  <c r="A698" i="1"/>
  <c r="C698" i="1" s="1"/>
  <c r="B699" i="1"/>
  <c r="A699" i="1"/>
  <c r="C699" i="1" s="1"/>
  <c r="B700" i="1"/>
  <c r="A700" i="1"/>
  <c r="C700" i="1" s="1"/>
  <c r="B701" i="1"/>
  <c r="A701" i="1"/>
  <c r="C701" i="1" s="1"/>
  <c r="B702" i="1"/>
  <c r="A702" i="1"/>
  <c r="C702" i="1" s="1"/>
  <c r="B703" i="1"/>
  <c r="A703" i="1"/>
  <c r="C703" i="1" s="1"/>
  <c r="B704" i="1"/>
  <c r="A704" i="1"/>
  <c r="C704" i="1" s="1"/>
  <c r="B705" i="1"/>
  <c r="A705" i="1"/>
  <c r="C705" i="1" s="1"/>
  <c r="B706" i="1"/>
  <c r="A706" i="1"/>
  <c r="C706" i="1" s="1"/>
  <c r="B707" i="1"/>
  <c r="A707" i="1"/>
  <c r="C707" i="1" s="1"/>
  <c r="B708" i="1"/>
  <c r="A708" i="1"/>
  <c r="C708" i="1" s="1"/>
  <c r="B709" i="1"/>
  <c r="A709" i="1"/>
  <c r="C709" i="1" s="1"/>
  <c r="B710" i="1"/>
  <c r="A710" i="1"/>
  <c r="C710" i="1" s="1"/>
  <c r="B711" i="1"/>
  <c r="A711" i="1"/>
  <c r="C711" i="1" s="1"/>
  <c r="B712" i="1"/>
  <c r="A712" i="1"/>
  <c r="C712" i="1" s="1"/>
  <c r="B713" i="1"/>
  <c r="A713" i="1"/>
  <c r="C713" i="1" s="1"/>
  <c r="B714" i="1"/>
  <c r="A714" i="1"/>
  <c r="C714" i="1" s="1"/>
  <c r="B715" i="1"/>
  <c r="A715" i="1"/>
  <c r="C715" i="1" s="1"/>
  <c r="B716" i="1"/>
  <c r="A716" i="1"/>
  <c r="C716" i="1" s="1"/>
  <c r="B717" i="1"/>
  <c r="A717" i="1"/>
  <c r="C717" i="1" s="1"/>
  <c r="B718" i="1"/>
  <c r="A718" i="1"/>
  <c r="C718" i="1" s="1"/>
  <c r="B719" i="1"/>
  <c r="A719" i="1"/>
  <c r="C719" i="1" s="1"/>
  <c r="B720" i="1"/>
  <c r="A720" i="1"/>
  <c r="C720" i="1" s="1"/>
  <c r="B721" i="1"/>
  <c r="A721" i="1"/>
  <c r="C721" i="1" s="1"/>
  <c r="B722" i="1"/>
  <c r="A722" i="1"/>
  <c r="C722" i="1" s="1"/>
  <c r="B723" i="1"/>
  <c r="A723" i="1"/>
  <c r="C723" i="1" s="1"/>
  <c r="B724" i="1"/>
  <c r="A724" i="1"/>
  <c r="C724" i="1" s="1"/>
  <c r="B725" i="1"/>
  <c r="A725" i="1"/>
  <c r="C725" i="1" s="1"/>
  <c r="B726" i="1"/>
  <c r="A726" i="1"/>
  <c r="C726" i="1" s="1"/>
  <c r="B727" i="1"/>
  <c r="A727" i="1"/>
  <c r="C727" i="1" s="1"/>
  <c r="B728" i="1"/>
  <c r="A728" i="1"/>
  <c r="C728" i="1" s="1"/>
  <c r="B729" i="1"/>
  <c r="A729" i="1"/>
  <c r="C729" i="1" s="1"/>
  <c r="B730" i="1"/>
  <c r="A730" i="1"/>
  <c r="C730" i="1" s="1"/>
  <c r="B731" i="1"/>
  <c r="A731" i="1"/>
  <c r="C731" i="1" s="1"/>
  <c r="B732" i="1"/>
  <c r="A732" i="1"/>
  <c r="C732" i="1" s="1"/>
  <c r="B733" i="1"/>
  <c r="A733" i="1"/>
  <c r="C733" i="1" s="1"/>
  <c r="B734" i="1"/>
  <c r="A734" i="1"/>
  <c r="C734" i="1" s="1"/>
  <c r="B735" i="1"/>
  <c r="A735" i="1"/>
  <c r="C735" i="1" s="1"/>
  <c r="B736" i="1"/>
  <c r="A736" i="1"/>
  <c r="C736" i="1" s="1"/>
  <c r="B737" i="1"/>
  <c r="A737" i="1"/>
  <c r="C737" i="1" s="1"/>
  <c r="B738" i="1"/>
  <c r="A738" i="1"/>
  <c r="C738" i="1" s="1"/>
  <c r="B739" i="1"/>
  <c r="A739" i="1"/>
  <c r="C739" i="1" s="1"/>
  <c r="B740" i="1"/>
  <c r="A740" i="1"/>
  <c r="C740" i="1" s="1"/>
  <c r="B741" i="1"/>
  <c r="A741" i="1"/>
  <c r="C741" i="1" s="1"/>
  <c r="B742" i="1"/>
  <c r="A742" i="1"/>
  <c r="C742" i="1" s="1"/>
  <c r="B743" i="1"/>
  <c r="A743" i="1"/>
  <c r="C743" i="1" s="1"/>
  <c r="B744" i="1"/>
  <c r="A744" i="1"/>
  <c r="C744" i="1" s="1"/>
  <c r="B745" i="1"/>
  <c r="A745" i="1"/>
  <c r="C745" i="1" s="1"/>
  <c r="B746" i="1"/>
  <c r="A746" i="1"/>
  <c r="C746" i="1" s="1"/>
  <c r="B747" i="1"/>
  <c r="A747" i="1"/>
  <c r="C747" i="1" s="1"/>
  <c r="B748" i="1"/>
  <c r="A748" i="1"/>
  <c r="C748" i="1" s="1"/>
  <c r="B749" i="1"/>
  <c r="A749" i="1"/>
  <c r="C749" i="1" s="1"/>
  <c r="B750" i="1"/>
  <c r="A750" i="1"/>
  <c r="C750" i="1" s="1"/>
  <c r="B751" i="1"/>
  <c r="A751" i="1"/>
  <c r="C751" i="1" s="1"/>
  <c r="B752" i="1"/>
  <c r="A752" i="1"/>
  <c r="C752" i="1" s="1"/>
  <c r="B753" i="1"/>
  <c r="A753" i="1"/>
  <c r="C753" i="1" s="1"/>
  <c r="B754" i="1"/>
  <c r="A754" i="1"/>
  <c r="C754" i="1" s="1"/>
  <c r="B755" i="1"/>
  <c r="A755" i="1"/>
  <c r="C755" i="1" s="1"/>
  <c r="B756" i="1"/>
  <c r="A756" i="1"/>
  <c r="C756" i="1" s="1"/>
  <c r="B757" i="1"/>
  <c r="A757" i="1"/>
  <c r="C757" i="1" s="1"/>
  <c r="B758" i="1"/>
  <c r="A758" i="1"/>
  <c r="C758" i="1" s="1"/>
  <c r="B759" i="1"/>
  <c r="A759" i="1"/>
  <c r="C759" i="1" s="1"/>
  <c r="B760" i="1"/>
  <c r="A760" i="1"/>
  <c r="C760" i="1" s="1"/>
  <c r="B761" i="1"/>
  <c r="A761" i="1"/>
  <c r="C761" i="1" s="1"/>
  <c r="B762" i="1"/>
  <c r="A762" i="1"/>
  <c r="C762" i="1" s="1"/>
  <c r="B763" i="1"/>
  <c r="A763" i="1"/>
  <c r="C763" i="1" s="1"/>
  <c r="B764" i="1"/>
  <c r="A764" i="1"/>
  <c r="C764" i="1" s="1"/>
  <c r="B765" i="1"/>
  <c r="A765" i="1"/>
  <c r="C765" i="1" s="1"/>
  <c r="B766" i="1"/>
  <c r="A766" i="1"/>
  <c r="C766" i="1" s="1"/>
  <c r="B767" i="1"/>
  <c r="A767" i="1"/>
  <c r="C767" i="1" s="1"/>
  <c r="B768" i="1"/>
  <c r="A768" i="1"/>
  <c r="C768" i="1" s="1"/>
  <c r="B769" i="1"/>
  <c r="A769" i="1"/>
  <c r="C769" i="1" s="1"/>
  <c r="B770" i="1"/>
  <c r="A770" i="1"/>
  <c r="C770" i="1" s="1"/>
  <c r="B771" i="1"/>
  <c r="A771" i="1"/>
  <c r="C771" i="1" s="1"/>
  <c r="B772" i="1"/>
  <c r="A772" i="1"/>
  <c r="C772" i="1" s="1"/>
  <c r="B773" i="1"/>
  <c r="A773" i="1"/>
  <c r="C773" i="1" s="1"/>
  <c r="B774" i="1"/>
  <c r="A774" i="1"/>
  <c r="C774" i="1" s="1"/>
  <c r="B775" i="1"/>
  <c r="A775" i="1"/>
  <c r="C775" i="1" s="1"/>
  <c r="B776" i="1"/>
  <c r="A776" i="1"/>
  <c r="C776" i="1" s="1"/>
  <c r="B777" i="1"/>
  <c r="A777" i="1"/>
  <c r="C777" i="1" s="1"/>
  <c r="B778" i="1"/>
  <c r="A778" i="1"/>
  <c r="C778" i="1" s="1"/>
  <c r="B779" i="1"/>
  <c r="A779" i="1"/>
  <c r="C779" i="1" s="1"/>
  <c r="B780" i="1"/>
  <c r="A780" i="1"/>
  <c r="C780" i="1" s="1"/>
  <c r="B781" i="1"/>
  <c r="A781" i="1"/>
  <c r="C781" i="1" s="1"/>
  <c r="B782" i="1"/>
  <c r="A782" i="1"/>
  <c r="C782" i="1" s="1"/>
  <c r="B783" i="1"/>
  <c r="A783" i="1"/>
  <c r="C783" i="1" s="1"/>
  <c r="B784" i="1"/>
  <c r="A784" i="1"/>
  <c r="C784" i="1" s="1"/>
  <c r="B785" i="1"/>
  <c r="A785" i="1"/>
  <c r="C785" i="1" s="1"/>
  <c r="B786" i="1"/>
  <c r="A786" i="1"/>
  <c r="C786" i="1" s="1"/>
  <c r="B787" i="1"/>
  <c r="A787" i="1"/>
  <c r="C787" i="1" s="1"/>
  <c r="B788" i="1"/>
  <c r="A788" i="1"/>
  <c r="C788" i="1" s="1"/>
  <c r="B789" i="1"/>
  <c r="A789" i="1"/>
  <c r="C789" i="1" s="1"/>
  <c r="B790" i="1"/>
  <c r="A790" i="1"/>
  <c r="C790" i="1" s="1"/>
  <c r="B791" i="1"/>
  <c r="A791" i="1"/>
  <c r="C791" i="1" s="1"/>
  <c r="B792" i="1"/>
  <c r="A792" i="1"/>
  <c r="C792" i="1" s="1"/>
  <c r="B793" i="1"/>
  <c r="A793" i="1"/>
  <c r="C793" i="1" s="1"/>
  <c r="B794" i="1"/>
  <c r="A794" i="1"/>
  <c r="C794" i="1" s="1"/>
  <c r="B795" i="1"/>
  <c r="A795" i="1"/>
  <c r="C795" i="1" s="1"/>
</calcChain>
</file>

<file path=xl/sharedStrings.xml><?xml version="1.0" encoding="utf-8"?>
<sst xmlns="http://schemas.openxmlformats.org/spreadsheetml/2006/main" count="118" uniqueCount="104">
  <si>
    <t>United States</t>
  </si>
  <si>
    <t>China</t>
  </si>
  <si>
    <t>United Kingdom</t>
  </si>
  <si>
    <t>India</t>
  </si>
  <si>
    <t xml:space="preserve"> Location      </t>
  </si>
  <si>
    <t xml:space="preserve"> Chile         </t>
  </si>
  <si>
    <t xml:space="preserve"> USA           </t>
  </si>
  <si>
    <t xml:space="preserve"> India         </t>
  </si>
  <si>
    <t xml:space="preserve"> Australia     </t>
  </si>
  <si>
    <t xml:space="preserve"> China         </t>
  </si>
  <si>
    <t xml:space="preserve"> Thailand      </t>
  </si>
  <si>
    <t xml:space="preserve"> Singapore     </t>
  </si>
  <si>
    <t xml:space="preserve"> Indonesia     </t>
  </si>
  <si>
    <t xml:space="preserve"> South Korea   </t>
  </si>
  <si>
    <t xml:space="preserve"> Japan         </t>
  </si>
  <si>
    <t xml:space="preserve"> Israel        </t>
  </si>
  <si>
    <t xml:space="preserve"> Ireland       </t>
  </si>
  <si>
    <t xml:space="preserve"> Poland        </t>
  </si>
  <si>
    <t xml:space="preserve"> Spain         </t>
  </si>
  <si>
    <t xml:space="preserve"> Mexico        </t>
  </si>
  <si>
    <t xml:space="preserve"> Brazil        </t>
  </si>
  <si>
    <t>No. of Offices</t>
  </si>
  <si>
    <t>Year</t>
  </si>
  <si>
    <t>Country</t>
  </si>
  <si>
    <t>Number of Offices</t>
  </si>
  <si>
    <t>Australia</t>
  </si>
  <si>
    <t>Brazil</t>
  </si>
  <si>
    <t>Germany</t>
  </si>
  <si>
    <t>Canada</t>
  </si>
  <si>
    <t>Japan</t>
  </si>
  <si>
    <t>France</t>
  </si>
  <si>
    <t>Spain</t>
  </si>
  <si>
    <t>South Korea</t>
  </si>
  <si>
    <t>Mexico</t>
  </si>
  <si>
    <t>Netherlands</t>
  </si>
  <si>
    <t>Italy</t>
  </si>
  <si>
    <t>Hong Kong</t>
  </si>
  <si>
    <t>Sweden</t>
  </si>
  <si>
    <t>Israel</t>
  </si>
  <si>
    <t>Singapore</t>
  </si>
  <si>
    <t>Ireland</t>
  </si>
  <si>
    <t>Belgium</t>
  </si>
  <si>
    <t>Denmark</t>
  </si>
  <si>
    <t>Norway</t>
  </si>
  <si>
    <t>Poland</t>
  </si>
  <si>
    <t>Switzerland</t>
  </si>
  <si>
    <t>Taiwan</t>
  </si>
  <si>
    <t>Argentina</t>
  </si>
  <si>
    <t>Colombia</t>
  </si>
  <si>
    <t>Malaysia</t>
  </si>
  <si>
    <t>Peru</t>
  </si>
  <si>
    <t>Philippines</t>
  </si>
  <si>
    <t>Portugal</t>
  </si>
  <si>
    <t>Thailand</t>
  </si>
  <si>
    <t>Austria</t>
  </si>
  <si>
    <t>Czech Republic</t>
  </si>
  <si>
    <t>Finland</t>
  </si>
  <si>
    <t>Indonesia</t>
  </si>
  <si>
    <t>Russia</t>
  </si>
  <si>
    <t>South Africa</t>
  </si>
  <si>
    <t>United Arab Emirates</t>
  </si>
  <si>
    <t>Costa Rica</t>
  </si>
  <si>
    <t>Hungary</t>
  </si>
  <si>
    <t>Luxembourg</t>
  </si>
  <si>
    <t>New Zealand</t>
  </si>
  <si>
    <t>Vietnam</t>
  </si>
  <si>
    <t>Date</t>
  </si>
  <si>
    <t>$440,000,000</t>
  </si>
  <si>
    <t>$10,200,000,000</t>
  </si>
  <si>
    <t>$16,900,000,000</t>
  </si>
  <si>
    <t>$21,200,000,000</t>
  </si>
  <si>
    <t>$47,000,000,000</t>
  </si>
  <si>
    <t>$30,000,000,000</t>
  </si>
  <si>
    <t>$12,000,000,000</t>
  </si>
  <si>
    <t>$8,000,000,000</t>
  </si>
  <si>
    <t>$7,300,000,000</t>
  </si>
  <si>
    <t>$2,900,000,000</t>
  </si>
  <si>
    <t>$9,000,000,000</t>
  </si>
  <si>
    <t>$400,000,000</t>
  </si>
  <si>
    <t>Valuation</t>
  </si>
  <si>
    <t>Close</t>
  </si>
  <si>
    <t>Layoffs</t>
  </si>
  <si>
    <t>Lawsuit</t>
  </si>
  <si>
    <t>Sexual Harassment</t>
  </si>
  <si>
    <t xml:space="preserve">Gender based pay discrimination </t>
  </si>
  <si>
    <t xml:space="preserve">Age Discrimination </t>
  </si>
  <si>
    <t xml:space="preserve">Gender and race discrimination </t>
  </si>
  <si>
    <t xml:space="preserve">Softbank Issue </t>
  </si>
  <si>
    <t xml:space="preserve">Gender Pay Gap </t>
  </si>
  <si>
    <t xml:space="preserve">Marijuana Use by Executives </t>
  </si>
  <si>
    <t>Pregnancy Discrimination</t>
  </si>
  <si>
    <t xml:space="preserve"> 01 October 2019</t>
  </si>
  <si>
    <t xml:space="preserve"> 01 Feb 2020</t>
  </si>
  <si>
    <t xml:space="preserve"> 01 April 2020</t>
  </si>
  <si>
    <t xml:space="preserve"> 01 June 2019</t>
  </si>
  <si>
    <t>$5,000,000,000</t>
  </si>
  <si>
    <t>Number of offices</t>
  </si>
  <si>
    <t>Filed by</t>
  </si>
  <si>
    <t>Ruby Anaya</t>
  </si>
  <si>
    <t>Lisa Bridges</t>
  </si>
  <si>
    <t>Richard Markel</t>
  </si>
  <si>
    <t>Medina Bardhi</t>
  </si>
  <si>
    <t>Ayesha Whyte</t>
  </si>
  <si>
    <t>WeWork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</si>
</sst>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0" xfId="0" applyFont="1"/>
    <xf numFmtId="0" fontId="2" fillId="0" borderId="0" xfId="0" applyFont="1"/>
    <xf numFmtId="0" fontId="6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164" fontId="6" fillId="0" borderId="3" xfId="0" applyNumberFormat="1" applyFont="1" applyBorder="1" applyAlignment="1">
      <alignment vertical="center" wrapText="1"/>
    </xf>
    <xf numFmtId="164" fontId="7" fillId="0" borderId="5" xfId="0" applyNumberFormat="1" applyFont="1" applyBorder="1" applyAlignment="1">
      <alignment vertical="center" wrapText="1"/>
    </xf>
    <xf numFmtId="164" fontId="0" fillId="0" borderId="0" xfId="0" applyNumberFormat="1"/>
    <xf numFmtId="0" fontId="3" fillId="0" borderId="0" xfId="0" applyFont="1" applyAlignment="1">
      <alignment vertical="center"/>
    </xf>
    <xf numFmtId="164" fontId="2" fillId="0" borderId="0" xfId="0" applyNumberFormat="1" applyFont="1"/>
    <xf numFmtId="14" fontId="7" fillId="0" borderId="5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999999"/>
        </right>
        <top/>
        <bottom style="medium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999999"/>
        </right>
        <top/>
        <bottom style="medium">
          <color rgb="FF999999"/>
        </bottom>
        <vertical/>
        <horizontal/>
      </border>
    </dxf>
    <dxf>
      <border outline="0">
        <left style="medium">
          <color rgb="FF999999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4" formatCode="[$-F800]dddd\,\ mmmm\ dd\,\ 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0A79-2C0D-4AD5-8B18-4ACC6DE73FD6}" name="Table4" displayName="Table4" ref="A1:C795" totalsRowShown="0">
  <autoFilter ref="A1:C795" xr:uid="{45120A79-2C0D-4AD5-8B18-4ACC6DE73FD6}"/>
  <sortState xmlns:xlrd2="http://schemas.microsoft.com/office/spreadsheetml/2017/richdata2" ref="A2:B795">
    <sortCondition descending="1" ref="A1:A795"/>
  </sortState>
  <tableColumns count="3">
    <tableColumn id="1" xr3:uid="{8B5CF5C1-9CB6-41C7-979F-156583151A9E}" name="Date" dataDxfId="12"/>
    <tableColumn id="2" xr3:uid="{E6770736-A259-40B2-B9EB-41CC92B7C289}" name="Close" dataDxfId="11"/>
    <tableColumn id="3" xr3:uid="{5E737565-B2C9-4BA4-8CF3-952BB7B0FA6A}" name="Year" dataDxfId="10">
      <calculatedColumnFormula>YEAR(A2)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02EBA7-1D30-4586-987C-B1968F09C5BB}" name="Table3" displayName="Table3" ref="A1:B4" totalsRowShown="0">
  <autoFilter ref="A1:B4" xr:uid="{7302EBA7-1D30-4586-987C-B1968F09C5BB}"/>
  <tableColumns count="2">
    <tableColumn id="1" xr3:uid="{F339F2ED-5E76-46DB-954E-6E9D1E067750}" name="Year"/>
    <tableColumn id="2" xr3:uid="{48B69E14-A15F-4FDE-B087-2521A1F8CD38}" name="Layoff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AC296-C7B3-4A4B-8039-93667B9E70B6}" name="Table1" displayName="Table1" ref="A1:C149" totalsRowShown="0">
  <autoFilter ref="A1:C149" xr:uid="{AC9EE260-31F2-400C-92E0-38CC22CF3166}"/>
  <sortState xmlns:xlrd2="http://schemas.microsoft.com/office/spreadsheetml/2017/richdata2" ref="A2:B149">
    <sortCondition descending="1" ref="A1:A149"/>
  </sortState>
  <tableColumns count="3">
    <tableColumn id="1" xr3:uid="{28915BAE-6A5E-49CC-B3DE-78A690D3578E}" name="Date" dataDxfId="9"/>
    <tableColumn id="2" xr3:uid="{996D02C3-331F-477F-AFC4-CF7FDBD3365F}" name="Close" dataDxfId="8"/>
    <tableColumn id="3" xr3:uid="{6B239BE4-E7A1-4786-BF30-27B34B37DF4D}" name="Year" dataDxfId="7">
      <calculatedColumnFormula>YEAR(A2)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9C5B24-63EC-4B54-A95C-38CAC883BECB}" name="Table6" displayName="Table6" ref="A1:D9" totalsRowShown="0">
  <autoFilter ref="A1:D9" xr:uid="{3A9C5B24-63EC-4B54-A95C-38CAC883BECB}"/>
  <tableColumns count="4">
    <tableColumn id="1" xr3:uid="{4F64A812-B05D-4C11-9215-F85B6A2A9E03}" name="Lawsuit" dataDxfId="6"/>
    <tableColumn id="4" xr3:uid="{A06CFE10-E0CB-49D3-B311-FFE8B27677CC}" name="Filed by" dataDxfId="0"/>
    <tableColumn id="2" xr3:uid="{ABA85316-3BF1-42E5-9E2C-BF98B330A711}" name="Date" dataDxfId="5"/>
    <tableColumn id="3" xr3:uid="{BAF585A4-275C-49C0-8850-6C534E38BBAB}" name="Year" dataDxfId="4">
      <calculatedColumnFormula>VALUE(YEAR(C2))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E8E816-6782-47EE-AE95-00CDBEFFDA40}" name="Table5" displayName="Table5" ref="A1:C18" totalsRowCount="1">
  <autoFilter ref="A1:C17" xr:uid="{AFE8E816-6782-47EE-AE95-00CDBEFFDA40}"/>
  <tableColumns count="3">
    <tableColumn id="1" xr3:uid="{943F6D7A-357B-4A24-B16E-E25411C88A01}" name=" Location      "/>
    <tableColumn id="2" xr3:uid="{FF248740-A1F8-4DF4-AAA4-0C598848F2DE}" name="No. of Offices" totalsRowFunction="custom">
      <totalsRowFormula>SUM(B2:B17)</totalsRowFormula>
    </tableColumn>
    <tableColumn id="3" xr3:uid="{23D5208F-0AAC-48A0-AA91-2E5E6A18711F}" name="Yea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B19C9A-1F8A-4AD7-A3CA-4F1F185F1CB5}" name="Table2" displayName="Table2" ref="A1:C46" totalsRowShown="0" tableBorderDxfId="3">
  <autoFilter ref="A1:C46" xr:uid="{ECB19C9A-1F8A-4AD7-A3CA-4F1F185F1CB5}"/>
  <tableColumns count="3">
    <tableColumn id="1" xr3:uid="{1F94D12B-6D27-44CA-899E-9ABE5DEB761F}" name="Country" dataDxfId="2"/>
    <tableColumn id="2" xr3:uid="{1E69EA76-489B-4FD8-A8CD-C231D7825002}" name="Number of Offices" dataDxfId="1"/>
    <tableColumn id="3" xr3:uid="{C9DE71EA-695B-4965-89C5-2F424A6CD98B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95"/>
  <sheetViews>
    <sheetView workbookViewId="0">
      <selection activeCell="C3" sqref="C3"/>
    </sheetView>
  </sheetViews>
  <sheetFormatPr defaultColWidth="12.6640625" defaultRowHeight="15.75" customHeight="1" x14ac:dyDescent="0.25"/>
  <cols>
    <col min="1" max="1" width="10.33203125" style="2" bestFit="1" customWidth="1"/>
  </cols>
  <sheetData>
    <row r="1" spans="1:3" x14ac:dyDescent="0.25">
      <c r="A1" s="3" t="s">
        <v>66</v>
      </c>
      <c r="B1" s="1" t="s">
        <v>80</v>
      </c>
      <c r="C1" t="s">
        <v>22</v>
      </c>
    </row>
    <row r="2" spans="1:3" x14ac:dyDescent="0.25">
      <c r="A2" s="3">
        <f ca="1">IFERROR(__xludf.DUMMYFUNCTION("""COMPUTED_VALUE"""),45289.6666666666)</f>
        <v>45289.666666666599</v>
      </c>
      <c r="B2" s="1">
        <f ca="1">IFERROR(__xludf.DUMMYFUNCTION("""COMPUTED_VALUE"""),0.28)</f>
        <v>0.28000000000000003</v>
      </c>
      <c r="C2">
        <f t="shared" ref="C2:C65" ca="1" si="0">YEAR(A2)</f>
        <v>2023</v>
      </c>
    </row>
    <row r="3" spans="1:3" x14ac:dyDescent="0.25">
      <c r="A3" s="3">
        <f ca="1">IFERROR(__xludf.DUMMYFUNCTION("""COMPUTED_VALUE"""),45288.6666666666)</f>
        <v>45288.666666666599</v>
      </c>
      <c r="B3" s="1">
        <f ca="1">IFERROR(__xludf.DUMMYFUNCTION("""COMPUTED_VALUE"""),0.35)</f>
        <v>0.35</v>
      </c>
      <c r="C3">
        <f t="shared" ca="1" si="0"/>
        <v>2023</v>
      </c>
    </row>
    <row r="4" spans="1:3" x14ac:dyDescent="0.25">
      <c r="A4" s="3">
        <f ca="1">IFERROR(__xludf.DUMMYFUNCTION("""COMPUTED_VALUE"""),45287.6666666666)</f>
        <v>45287.666666666599</v>
      </c>
      <c r="B4" s="1">
        <f ca="1">IFERROR(__xludf.DUMMYFUNCTION("""COMPUTED_VALUE"""),0.37)</f>
        <v>0.37</v>
      </c>
      <c r="C4">
        <f t="shared" ca="1" si="0"/>
        <v>2023</v>
      </c>
    </row>
    <row r="5" spans="1:3" x14ac:dyDescent="0.25">
      <c r="A5" s="3">
        <f ca="1">IFERROR(__xludf.DUMMYFUNCTION("""COMPUTED_VALUE"""),45286.6666666666)</f>
        <v>45286.666666666599</v>
      </c>
      <c r="B5" s="1">
        <f ca="1">IFERROR(__xludf.DUMMYFUNCTION("""COMPUTED_VALUE"""),0.4)</f>
        <v>0.4</v>
      </c>
      <c r="C5">
        <f t="shared" ca="1" si="0"/>
        <v>2023</v>
      </c>
    </row>
    <row r="6" spans="1:3" x14ac:dyDescent="0.25">
      <c r="A6" s="3">
        <f ca="1">IFERROR(__xludf.DUMMYFUNCTION("""COMPUTED_VALUE"""),45282.6666666666)</f>
        <v>45282.666666666599</v>
      </c>
      <c r="B6" s="1">
        <f ca="1">IFERROR(__xludf.DUMMYFUNCTION("""COMPUTED_VALUE"""),0.5)</f>
        <v>0.5</v>
      </c>
      <c r="C6">
        <f t="shared" ca="1" si="0"/>
        <v>2023</v>
      </c>
    </row>
    <row r="7" spans="1:3" x14ac:dyDescent="0.25">
      <c r="A7" s="3">
        <f ca="1">IFERROR(__xludf.DUMMYFUNCTION("""COMPUTED_VALUE"""),45281.6666666666)</f>
        <v>45281.666666666599</v>
      </c>
      <c r="B7" s="1">
        <f ca="1">IFERROR(__xludf.DUMMYFUNCTION("""COMPUTED_VALUE"""),0.35)</f>
        <v>0.35</v>
      </c>
      <c r="C7">
        <f t="shared" ca="1" si="0"/>
        <v>2023</v>
      </c>
    </row>
    <row r="8" spans="1:3" x14ac:dyDescent="0.25">
      <c r="A8" s="3">
        <f ca="1">IFERROR(__xludf.DUMMYFUNCTION("""COMPUTED_VALUE"""),45280.6666666666)</f>
        <v>45280.666666666599</v>
      </c>
      <c r="B8" s="1">
        <f ca="1">IFERROR(__xludf.DUMMYFUNCTION("""COMPUTED_VALUE"""),0.5)</f>
        <v>0.5</v>
      </c>
      <c r="C8">
        <f t="shared" ca="1" si="0"/>
        <v>2023</v>
      </c>
    </row>
    <row r="9" spans="1:3" x14ac:dyDescent="0.25">
      <c r="A9" s="3">
        <f ca="1">IFERROR(__xludf.DUMMYFUNCTION("""COMPUTED_VALUE"""),45279.6666666666)</f>
        <v>45279.666666666599</v>
      </c>
      <c r="B9" s="1">
        <f ca="1">IFERROR(__xludf.DUMMYFUNCTION("""COMPUTED_VALUE"""),0.35)</f>
        <v>0.35</v>
      </c>
      <c r="C9">
        <f t="shared" ca="1" si="0"/>
        <v>2023</v>
      </c>
    </row>
    <row r="10" spans="1:3" x14ac:dyDescent="0.25">
      <c r="A10" s="3">
        <f ca="1">IFERROR(__xludf.DUMMYFUNCTION("""COMPUTED_VALUE"""),45278.6666666666)</f>
        <v>45278.666666666599</v>
      </c>
      <c r="B10" s="1">
        <f ca="1">IFERROR(__xludf.DUMMYFUNCTION("""COMPUTED_VALUE"""),0.32)</f>
        <v>0.32</v>
      </c>
      <c r="C10">
        <f t="shared" ca="1" si="0"/>
        <v>2023</v>
      </c>
    </row>
    <row r="11" spans="1:3" x14ac:dyDescent="0.25">
      <c r="A11" s="3">
        <f ca="1">IFERROR(__xludf.DUMMYFUNCTION("""COMPUTED_VALUE"""),45275.6666666666)</f>
        <v>45275.666666666599</v>
      </c>
      <c r="B11" s="1">
        <f ca="1">IFERROR(__xludf.DUMMYFUNCTION("""COMPUTED_VALUE"""),0.74)</f>
        <v>0.74</v>
      </c>
      <c r="C11">
        <f t="shared" ca="1" si="0"/>
        <v>2023</v>
      </c>
    </row>
    <row r="12" spans="1:3" x14ac:dyDescent="0.25">
      <c r="A12" s="3">
        <f ca="1">IFERROR(__xludf.DUMMYFUNCTION("""COMPUTED_VALUE"""),45274.6666666666)</f>
        <v>45274.666666666599</v>
      </c>
      <c r="B12" s="1">
        <f ca="1">IFERROR(__xludf.DUMMYFUNCTION("""COMPUTED_VALUE"""),0.29)</f>
        <v>0.28999999999999998</v>
      </c>
      <c r="C12">
        <f t="shared" ca="1" si="0"/>
        <v>2023</v>
      </c>
    </row>
    <row r="13" spans="1:3" x14ac:dyDescent="0.25">
      <c r="A13" s="3">
        <f ca="1">IFERROR(__xludf.DUMMYFUNCTION("""COMPUTED_VALUE"""),45273.6666666666)</f>
        <v>45273.666666666599</v>
      </c>
      <c r="B13" s="1">
        <f ca="1">IFERROR(__xludf.DUMMYFUNCTION("""COMPUTED_VALUE"""),0.26)</f>
        <v>0.26</v>
      </c>
      <c r="C13">
        <f t="shared" ca="1" si="0"/>
        <v>2023</v>
      </c>
    </row>
    <row r="14" spans="1:3" x14ac:dyDescent="0.25">
      <c r="A14" s="3">
        <f ca="1">IFERROR(__xludf.DUMMYFUNCTION("""COMPUTED_VALUE"""),45272.6666666666)</f>
        <v>45272.666666666599</v>
      </c>
      <c r="B14" s="1">
        <f ca="1">IFERROR(__xludf.DUMMYFUNCTION("""COMPUTED_VALUE"""),0.27)</f>
        <v>0.27</v>
      </c>
      <c r="C14">
        <f t="shared" ca="1" si="0"/>
        <v>2023</v>
      </c>
    </row>
    <row r="15" spans="1:3" x14ac:dyDescent="0.25">
      <c r="A15" s="3">
        <f ca="1">IFERROR(__xludf.DUMMYFUNCTION("""COMPUTED_VALUE"""),45271.6666666666)</f>
        <v>45271.666666666599</v>
      </c>
      <c r="B15" s="1">
        <f ca="1">IFERROR(__xludf.DUMMYFUNCTION("""COMPUTED_VALUE"""),0.31)</f>
        <v>0.31</v>
      </c>
      <c r="C15">
        <f t="shared" ca="1" si="0"/>
        <v>2023</v>
      </c>
    </row>
    <row r="16" spans="1:3" x14ac:dyDescent="0.25">
      <c r="A16" s="3">
        <f ca="1">IFERROR(__xludf.DUMMYFUNCTION("""COMPUTED_VALUE"""),45268.6666666666)</f>
        <v>45268.666666666599</v>
      </c>
      <c r="B16" s="1">
        <f ca="1">IFERROR(__xludf.DUMMYFUNCTION("""COMPUTED_VALUE"""),0.35)</f>
        <v>0.35</v>
      </c>
      <c r="C16">
        <f t="shared" ca="1" si="0"/>
        <v>2023</v>
      </c>
    </row>
    <row r="17" spans="1:3" x14ac:dyDescent="0.25">
      <c r="A17" s="3">
        <f ca="1">IFERROR(__xludf.DUMMYFUNCTION("""COMPUTED_VALUE"""),45267.6666666666)</f>
        <v>45267.666666666599</v>
      </c>
      <c r="B17" s="1">
        <f ca="1">IFERROR(__xludf.DUMMYFUNCTION("""COMPUTED_VALUE"""),0.34)</f>
        <v>0.34</v>
      </c>
      <c r="C17">
        <f t="shared" ca="1" si="0"/>
        <v>2023</v>
      </c>
    </row>
    <row r="18" spans="1:3" x14ac:dyDescent="0.25">
      <c r="A18" s="3">
        <f ca="1">IFERROR(__xludf.DUMMYFUNCTION("""COMPUTED_VALUE"""),45266.6666666666)</f>
        <v>45266.666666666599</v>
      </c>
      <c r="B18" s="1">
        <f ca="1">IFERROR(__xludf.DUMMYFUNCTION("""COMPUTED_VALUE"""),0.25)</f>
        <v>0.25</v>
      </c>
      <c r="C18">
        <f t="shared" ca="1" si="0"/>
        <v>2023</v>
      </c>
    </row>
    <row r="19" spans="1:3" x14ac:dyDescent="0.25">
      <c r="A19" s="3">
        <f ca="1">IFERROR(__xludf.DUMMYFUNCTION("""COMPUTED_VALUE"""),45265.6666666666)</f>
        <v>45265.666666666599</v>
      </c>
      <c r="B19" s="1">
        <f ca="1">IFERROR(__xludf.DUMMYFUNCTION("""COMPUTED_VALUE"""),0.38)</f>
        <v>0.38</v>
      </c>
      <c r="C19">
        <f t="shared" ca="1" si="0"/>
        <v>2023</v>
      </c>
    </row>
    <row r="20" spans="1:3" x14ac:dyDescent="0.25">
      <c r="A20" s="3">
        <f ca="1">IFERROR(__xludf.DUMMYFUNCTION("""COMPUTED_VALUE"""),45264.6666666666)</f>
        <v>45264.666666666599</v>
      </c>
      <c r="B20" s="1">
        <f ca="1">IFERROR(__xludf.DUMMYFUNCTION("""COMPUTED_VALUE"""),0.41)</f>
        <v>0.41</v>
      </c>
      <c r="C20">
        <f t="shared" ca="1" si="0"/>
        <v>2023</v>
      </c>
    </row>
    <row r="21" spans="1:3" x14ac:dyDescent="0.25">
      <c r="A21" s="3">
        <f ca="1">IFERROR(__xludf.DUMMYFUNCTION("""COMPUTED_VALUE"""),45261.6666666666)</f>
        <v>45261.666666666599</v>
      </c>
      <c r="B21" s="1">
        <f ca="1">IFERROR(__xludf.DUMMYFUNCTION("""COMPUTED_VALUE"""),0.55)</f>
        <v>0.55000000000000004</v>
      </c>
      <c r="C21">
        <f t="shared" ca="1" si="0"/>
        <v>2023</v>
      </c>
    </row>
    <row r="22" spans="1:3" x14ac:dyDescent="0.25">
      <c r="A22" s="3">
        <f ca="1">IFERROR(__xludf.DUMMYFUNCTION("""COMPUTED_VALUE"""),45260.6666666666)</f>
        <v>45260.666666666599</v>
      </c>
      <c r="B22" s="1">
        <f ca="1">IFERROR(__xludf.DUMMYFUNCTION("""COMPUTED_VALUE"""),0.65)</f>
        <v>0.65</v>
      </c>
      <c r="C22">
        <f t="shared" ca="1" si="0"/>
        <v>2023</v>
      </c>
    </row>
    <row r="23" spans="1:3" x14ac:dyDescent="0.25">
      <c r="A23" s="3">
        <f ca="1">IFERROR(__xludf.DUMMYFUNCTION("""COMPUTED_VALUE"""),45259.6666666666)</f>
        <v>45259.666666666599</v>
      </c>
      <c r="B23" s="1">
        <f ca="1">IFERROR(__xludf.DUMMYFUNCTION("""COMPUTED_VALUE"""),1)</f>
        <v>1</v>
      </c>
      <c r="C23">
        <f t="shared" ca="1" si="0"/>
        <v>2023</v>
      </c>
    </row>
    <row r="24" spans="1:3" x14ac:dyDescent="0.25">
      <c r="A24" s="3">
        <f ca="1">IFERROR(__xludf.DUMMYFUNCTION("""COMPUTED_VALUE"""),45258.6666666666)</f>
        <v>45258.666666666599</v>
      </c>
      <c r="B24" s="1">
        <f ca="1">IFERROR(__xludf.DUMMYFUNCTION("""COMPUTED_VALUE"""),1.01)</f>
        <v>1.01</v>
      </c>
      <c r="C24">
        <f t="shared" ca="1" si="0"/>
        <v>2023</v>
      </c>
    </row>
    <row r="25" spans="1:3" x14ac:dyDescent="0.25">
      <c r="A25" s="3">
        <f ca="1">IFERROR(__xludf.DUMMYFUNCTION("""COMPUTED_VALUE"""),45257.6666666666)</f>
        <v>45257.666666666599</v>
      </c>
      <c r="B25" s="1">
        <f ca="1">IFERROR(__xludf.DUMMYFUNCTION("""COMPUTED_VALUE"""),1.4)</f>
        <v>1.4</v>
      </c>
      <c r="C25">
        <f t="shared" ca="1" si="0"/>
        <v>2023</v>
      </c>
    </row>
    <row r="26" spans="1:3" x14ac:dyDescent="0.25">
      <c r="A26" s="3">
        <f ca="1">IFERROR(__xludf.DUMMYFUNCTION("""COMPUTED_VALUE"""),45254.5451388888)</f>
        <v>45254.545138888803</v>
      </c>
      <c r="B26" s="1">
        <f ca="1">IFERROR(__xludf.DUMMYFUNCTION("""COMPUTED_VALUE"""),1.25)</f>
        <v>1.25</v>
      </c>
      <c r="C26">
        <f t="shared" ca="1" si="0"/>
        <v>2023</v>
      </c>
    </row>
    <row r="27" spans="1:3" x14ac:dyDescent="0.25">
      <c r="A27" s="3">
        <f ca="1">IFERROR(__xludf.DUMMYFUNCTION("""COMPUTED_VALUE"""),45252.6666666666)</f>
        <v>45252.666666666599</v>
      </c>
      <c r="B27" s="1">
        <f ca="1">IFERROR(__xludf.DUMMYFUNCTION("""COMPUTED_VALUE"""),1.37)</f>
        <v>1.37</v>
      </c>
      <c r="C27">
        <f t="shared" ca="1" si="0"/>
        <v>2023</v>
      </c>
    </row>
    <row r="28" spans="1:3" x14ac:dyDescent="0.25">
      <c r="A28" s="3">
        <f ca="1">IFERROR(__xludf.DUMMYFUNCTION("""COMPUTED_VALUE"""),45251.6666666666)</f>
        <v>45251.666666666599</v>
      </c>
      <c r="B28" s="1">
        <f ca="1">IFERROR(__xludf.DUMMYFUNCTION("""COMPUTED_VALUE"""),1.96)</f>
        <v>1.96</v>
      </c>
      <c r="C28">
        <f t="shared" ca="1" si="0"/>
        <v>2023</v>
      </c>
    </row>
    <row r="29" spans="1:3" x14ac:dyDescent="0.25">
      <c r="A29" s="3">
        <f ca="1">IFERROR(__xludf.DUMMYFUNCTION("""COMPUTED_VALUE"""),45250.6666666666)</f>
        <v>45250.666666666599</v>
      </c>
      <c r="B29" s="1">
        <f ca="1">IFERROR(__xludf.DUMMYFUNCTION("""COMPUTED_VALUE"""),1.85)</f>
        <v>1.85</v>
      </c>
      <c r="C29">
        <f t="shared" ca="1" si="0"/>
        <v>2023</v>
      </c>
    </row>
    <row r="30" spans="1:3" x14ac:dyDescent="0.25">
      <c r="A30" s="3">
        <f ca="1">IFERROR(__xludf.DUMMYFUNCTION("""COMPUTED_VALUE"""),45247.6666666666)</f>
        <v>45247.666666666599</v>
      </c>
      <c r="B30" s="1">
        <f ca="1">IFERROR(__xludf.DUMMYFUNCTION("""COMPUTED_VALUE"""),1.73)</f>
        <v>1.73</v>
      </c>
      <c r="C30">
        <f t="shared" ca="1" si="0"/>
        <v>2023</v>
      </c>
    </row>
    <row r="31" spans="1:3" x14ac:dyDescent="0.25">
      <c r="A31" s="3">
        <f ca="1">IFERROR(__xludf.DUMMYFUNCTION("""COMPUTED_VALUE"""),45246.6666666666)</f>
        <v>45246.666666666599</v>
      </c>
      <c r="B31" s="1">
        <f ca="1">IFERROR(__xludf.DUMMYFUNCTION("""COMPUTED_VALUE"""),1.45)</f>
        <v>1.45</v>
      </c>
      <c r="C31">
        <f t="shared" ca="1" si="0"/>
        <v>2023</v>
      </c>
    </row>
    <row r="32" spans="1:3" x14ac:dyDescent="0.25">
      <c r="A32" s="3">
        <f ca="1">IFERROR(__xludf.DUMMYFUNCTION("""COMPUTED_VALUE"""),45245.6666666666)</f>
        <v>45245.666666666599</v>
      </c>
      <c r="B32" s="1">
        <f ca="1">IFERROR(__xludf.DUMMYFUNCTION("""COMPUTED_VALUE"""),2.18)</f>
        <v>2.1800000000000002</v>
      </c>
      <c r="C32">
        <f t="shared" ca="1" si="0"/>
        <v>2023</v>
      </c>
    </row>
    <row r="33" spans="1:3" x14ac:dyDescent="0.25">
      <c r="A33" s="3">
        <f ca="1">IFERROR(__xludf.DUMMYFUNCTION("""COMPUTED_VALUE"""),45244.6666666666)</f>
        <v>45244.666666666599</v>
      </c>
      <c r="B33" s="1">
        <f ca="1">IFERROR(__xludf.DUMMYFUNCTION("""COMPUTED_VALUE"""),2.01)</f>
        <v>2.0099999999999998</v>
      </c>
      <c r="C33">
        <f t="shared" ca="1" si="0"/>
        <v>2023</v>
      </c>
    </row>
    <row r="34" spans="1:3" x14ac:dyDescent="0.25">
      <c r="A34" s="3">
        <f ca="1">IFERROR(__xludf.DUMMYFUNCTION("""COMPUTED_VALUE"""),45243.6666666666)</f>
        <v>45243.666666666599</v>
      </c>
      <c r="B34" s="1">
        <f ca="1">IFERROR(__xludf.DUMMYFUNCTION("""COMPUTED_VALUE"""),1.64)</f>
        <v>1.64</v>
      </c>
      <c r="C34">
        <f t="shared" ca="1" si="0"/>
        <v>2023</v>
      </c>
    </row>
    <row r="35" spans="1:3" x14ac:dyDescent="0.25">
      <c r="A35" s="3">
        <f ca="1">IFERROR(__xludf.DUMMYFUNCTION("""COMPUTED_VALUE"""),45240.6666666666)</f>
        <v>45240.666666666599</v>
      </c>
      <c r="B35" s="1">
        <f ca="1">IFERROR(__xludf.DUMMYFUNCTION("""COMPUTED_VALUE"""),1.55)</f>
        <v>1.55</v>
      </c>
      <c r="C35">
        <f t="shared" ca="1" si="0"/>
        <v>2023</v>
      </c>
    </row>
    <row r="36" spans="1:3" x14ac:dyDescent="0.25">
      <c r="A36" s="3">
        <f ca="1">IFERROR(__xludf.DUMMYFUNCTION("""COMPUTED_VALUE"""),45239.6666666666)</f>
        <v>45239.666666666599</v>
      </c>
      <c r="B36" s="1">
        <f ca="1">IFERROR(__xludf.DUMMYFUNCTION("""COMPUTED_VALUE"""),1.26)</f>
        <v>1.26</v>
      </c>
      <c r="C36">
        <f t="shared" ca="1" si="0"/>
        <v>2023</v>
      </c>
    </row>
    <row r="37" spans="1:3" x14ac:dyDescent="0.25">
      <c r="A37" s="3">
        <f ca="1">IFERROR(__xludf.DUMMYFUNCTION("""COMPUTED_VALUE"""),45238.6666666666)</f>
        <v>45238.666666666599</v>
      </c>
      <c r="B37" s="1">
        <f ca="1">IFERROR(__xludf.DUMMYFUNCTION("""COMPUTED_VALUE"""),1.6)</f>
        <v>1.6</v>
      </c>
      <c r="C37">
        <f t="shared" ca="1" si="0"/>
        <v>2023</v>
      </c>
    </row>
    <row r="38" spans="1:3" x14ac:dyDescent="0.25">
      <c r="A38" s="3">
        <f ca="1">IFERROR(__xludf.DUMMYFUNCTION("""COMPUTED_VALUE"""),45233.6666666666)</f>
        <v>45233.666666666599</v>
      </c>
      <c r="B38" s="1">
        <f ca="1">IFERROR(__xludf.DUMMYFUNCTION("""COMPUTED_VALUE"""),0.84)</f>
        <v>0.84</v>
      </c>
      <c r="C38">
        <f t="shared" ca="1" si="0"/>
        <v>2023</v>
      </c>
    </row>
    <row r="39" spans="1:3" x14ac:dyDescent="0.25">
      <c r="A39" s="3">
        <f ca="1">IFERROR(__xludf.DUMMYFUNCTION("""COMPUTED_VALUE"""),45232.6666666666)</f>
        <v>45232.666666666599</v>
      </c>
      <c r="B39" s="1">
        <f ca="1">IFERROR(__xludf.DUMMYFUNCTION("""COMPUTED_VALUE"""),1.11)</f>
        <v>1.1100000000000001</v>
      </c>
      <c r="C39">
        <f t="shared" ca="1" si="0"/>
        <v>2023</v>
      </c>
    </row>
    <row r="40" spans="1:3" x14ac:dyDescent="0.25">
      <c r="A40" s="3">
        <f ca="1">IFERROR(__xludf.DUMMYFUNCTION("""COMPUTED_VALUE"""),45231.6666666666)</f>
        <v>45231.666666666599</v>
      </c>
      <c r="B40" s="1">
        <f ca="1">IFERROR(__xludf.DUMMYFUNCTION("""COMPUTED_VALUE"""),1.22)</f>
        <v>1.22</v>
      </c>
      <c r="C40">
        <f t="shared" ca="1" si="0"/>
        <v>2023</v>
      </c>
    </row>
    <row r="41" spans="1:3" x14ac:dyDescent="0.25">
      <c r="A41" s="3">
        <f ca="1">IFERROR(__xludf.DUMMYFUNCTION("""COMPUTED_VALUE"""),45230.6666666666)</f>
        <v>45230.666666666599</v>
      </c>
      <c r="B41" s="1">
        <f ca="1">IFERROR(__xludf.DUMMYFUNCTION("""COMPUTED_VALUE"""),2.28)</f>
        <v>2.2799999999999998</v>
      </c>
      <c r="C41">
        <f t="shared" ca="1" si="0"/>
        <v>2023</v>
      </c>
    </row>
    <row r="42" spans="1:3" x14ac:dyDescent="0.25">
      <c r="A42" s="3">
        <f ca="1">IFERROR(__xludf.DUMMYFUNCTION("""COMPUTED_VALUE"""),45229.6666666666)</f>
        <v>45229.666666666599</v>
      </c>
      <c r="B42" s="1">
        <f ca="1">IFERROR(__xludf.DUMMYFUNCTION("""COMPUTED_VALUE"""),2.58)</f>
        <v>2.58</v>
      </c>
      <c r="C42">
        <f t="shared" ca="1" si="0"/>
        <v>2023</v>
      </c>
    </row>
    <row r="43" spans="1:3" x14ac:dyDescent="0.25">
      <c r="A43" s="3">
        <f ca="1">IFERROR(__xludf.DUMMYFUNCTION("""COMPUTED_VALUE"""),45226.6666666666)</f>
        <v>45226.666666666599</v>
      </c>
      <c r="B43" s="1">
        <f ca="1">IFERROR(__xludf.DUMMYFUNCTION("""COMPUTED_VALUE"""),2.44)</f>
        <v>2.44</v>
      </c>
      <c r="C43">
        <f t="shared" ca="1" si="0"/>
        <v>2023</v>
      </c>
    </row>
    <row r="44" spans="1:3" x14ac:dyDescent="0.25">
      <c r="A44" s="3">
        <f ca="1">IFERROR(__xludf.DUMMYFUNCTION("""COMPUTED_VALUE"""),45225.6666666666)</f>
        <v>45225.666666666599</v>
      </c>
      <c r="B44" s="1">
        <f ca="1">IFERROR(__xludf.DUMMYFUNCTION("""COMPUTED_VALUE"""),2.36)</f>
        <v>2.36</v>
      </c>
      <c r="C44">
        <f t="shared" ca="1" si="0"/>
        <v>2023</v>
      </c>
    </row>
    <row r="45" spans="1:3" x14ac:dyDescent="0.25">
      <c r="A45" s="3">
        <f ca="1">IFERROR(__xludf.DUMMYFUNCTION("""COMPUTED_VALUE"""),45224.6666666666)</f>
        <v>45224.666666666599</v>
      </c>
      <c r="B45" s="1">
        <f ca="1">IFERROR(__xludf.DUMMYFUNCTION("""COMPUTED_VALUE"""),2.2)</f>
        <v>2.2000000000000002</v>
      </c>
      <c r="C45">
        <f t="shared" ca="1" si="0"/>
        <v>2023</v>
      </c>
    </row>
    <row r="46" spans="1:3" x14ac:dyDescent="0.25">
      <c r="A46" s="3">
        <f ca="1">IFERROR(__xludf.DUMMYFUNCTION("""COMPUTED_VALUE"""),45223.6666666666)</f>
        <v>45223.666666666599</v>
      </c>
      <c r="B46" s="1">
        <f ca="1">IFERROR(__xludf.DUMMYFUNCTION("""COMPUTED_VALUE"""),2)</f>
        <v>2</v>
      </c>
      <c r="C46">
        <f t="shared" ca="1" si="0"/>
        <v>2023</v>
      </c>
    </row>
    <row r="47" spans="1:3" x14ac:dyDescent="0.25">
      <c r="A47" s="3">
        <f ca="1">IFERROR(__xludf.DUMMYFUNCTION("""COMPUTED_VALUE"""),45222.6666666666)</f>
        <v>45222.666666666599</v>
      </c>
      <c r="B47" s="1">
        <f ca="1">IFERROR(__xludf.DUMMYFUNCTION("""COMPUTED_VALUE"""),1.95)</f>
        <v>1.95</v>
      </c>
      <c r="C47">
        <f t="shared" ca="1" si="0"/>
        <v>2023</v>
      </c>
    </row>
    <row r="48" spans="1:3" x14ac:dyDescent="0.25">
      <c r="A48" s="3">
        <f ca="1">IFERROR(__xludf.DUMMYFUNCTION("""COMPUTED_VALUE"""),45219.6666666666)</f>
        <v>45219.666666666599</v>
      </c>
      <c r="B48" s="1">
        <f ca="1">IFERROR(__xludf.DUMMYFUNCTION("""COMPUTED_VALUE"""),2.05)</f>
        <v>2.0499999999999998</v>
      </c>
      <c r="C48">
        <f t="shared" ca="1" si="0"/>
        <v>2023</v>
      </c>
    </row>
    <row r="49" spans="1:3" x14ac:dyDescent="0.25">
      <c r="A49" s="3">
        <f ca="1">IFERROR(__xludf.DUMMYFUNCTION("""COMPUTED_VALUE"""),45218.6666666666)</f>
        <v>45218.666666666599</v>
      </c>
      <c r="B49" s="1">
        <f ca="1">IFERROR(__xludf.DUMMYFUNCTION("""COMPUTED_VALUE"""),2.07)</f>
        <v>2.0699999999999998</v>
      </c>
      <c r="C49">
        <f t="shared" ca="1" si="0"/>
        <v>2023</v>
      </c>
    </row>
    <row r="50" spans="1:3" x14ac:dyDescent="0.25">
      <c r="A50" s="3">
        <f ca="1">IFERROR(__xludf.DUMMYFUNCTION("""COMPUTED_VALUE"""),45217.6666666666)</f>
        <v>45217.666666666599</v>
      </c>
      <c r="B50" s="1">
        <f ca="1">IFERROR(__xludf.DUMMYFUNCTION("""COMPUTED_VALUE"""),2.26)</f>
        <v>2.2599999999999998</v>
      </c>
      <c r="C50">
        <f t="shared" ca="1" si="0"/>
        <v>2023</v>
      </c>
    </row>
    <row r="51" spans="1:3" x14ac:dyDescent="0.25">
      <c r="A51" s="3">
        <f ca="1">IFERROR(__xludf.DUMMYFUNCTION("""COMPUTED_VALUE"""),45216.6666666666)</f>
        <v>45216.666666666599</v>
      </c>
      <c r="B51" s="1">
        <f ca="1">IFERROR(__xludf.DUMMYFUNCTION("""COMPUTED_VALUE"""),2.21)</f>
        <v>2.21</v>
      </c>
      <c r="C51">
        <f t="shared" ca="1" si="0"/>
        <v>2023</v>
      </c>
    </row>
    <row r="52" spans="1:3" x14ac:dyDescent="0.25">
      <c r="A52" s="3">
        <f ca="1">IFERROR(__xludf.DUMMYFUNCTION("""COMPUTED_VALUE"""),45215.6666666666)</f>
        <v>45215.666666666599</v>
      </c>
      <c r="B52" s="1">
        <f ca="1">IFERROR(__xludf.DUMMYFUNCTION("""COMPUTED_VALUE"""),2.28)</f>
        <v>2.2799999999999998</v>
      </c>
      <c r="C52">
        <f t="shared" ca="1" si="0"/>
        <v>2023</v>
      </c>
    </row>
    <row r="53" spans="1:3" x14ac:dyDescent="0.25">
      <c r="A53" s="3">
        <f ca="1">IFERROR(__xludf.DUMMYFUNCTION("""COMPUTED_VALUE"""),45212.6666666666)</f>
        <v>45212.666666666599</v>
      </c>
      <c r="B53" s="1">
        <f ca="1">IFERROR(__xludf.DUMMYFUNCTION("""COMPUTED_VALUE"""),2.36)</f>
        <v>2.36</v>
      </c>
      <c r="C53">
        <f t="shared" ca="1" si="0"/>
        <v>2023</v>
      </c>
    </row>
    <row r="54" spans="1:3" x14ac:dyDescent="0.25">
      <c r="A54" s="3">
        <f ca="1">IFERROR(__xludf.DUMMYFUNCTION("""COMPUTED_VALUE"""),45211.6666666666)</f>
        <v>45211.666666666599</v>
      </c>
      <c r="B54" s="1">
        <f ca="1">IFERROR(__xludf.DUMMYFUNCTION("""COMPUTED_VALUE"""),2.27)</f>
        <v>2.27</v>
      </c>
      <c r="C54">
        <f t="shared" ca="1" si="0"/>
        <v>2023</v>
      </c>
    </row>
    <row r="55" spans="1:3" x14ac:dyDescent="0.25">
      <c r="A55" s="3">
        <f ca="1">IFERROR(__xludf.DUMMYFUNCTION("""COMPUTED_VALUE"""),45210.6666666666)</f>
        <v>45210.666666666599</v>
      </c>
      <c r="B55" s="1">
        <f ca="1">IFERROR(__xludf.DUMMYFUNCTION("""COMPUTED_VALUE"""),2.48)</f>
        <v>2.48</v>
      </c>
      <c r="C55">
        <f t="shared" ca="1" si="0"/>
        <v>2023</v>
      </c>
    </row>
    <row r="56" spans="1:3" x14ac:dyDescent="0.25">
      <c r="A56" s="3">
        <f ca="1">IFERROR(__xludf.DUMMYFUNCTION("""COMPUTED_VALUE"""),45209.6666666666)</f>
        <v>45209.666666666599</v>
      </c>
      <c r="B56" s="1">
        <f ca="1">IFERROR(__xludf.DUMMYFUNCTION("""COMPUTED_VALUE"""),2.2)</f>
        <v>2.2000000000000002</v>
      </c>
      <c r="C56">
        <f t="shared" ca="1" si="0"/>
        <v>2023</v>
      </c>
    </row>
    <row r="57" spans="1:3" x14ac:dyDescent="0.25">
      <c r="A57" s="3">
        <f ca="1">IFERROR(__xludf.DUMMYFUNCTION("""COMPUTED_VALUE"""),45208.6666666666)</f>
        <v>45208.666666666599</v>
      </c>
      <c r="B57" s="1">
        <f ca="1">IFERROR(__xludf.DUMMYFUNCTION("""COMPUTED_VALUE"""),2.09)</f>
        <v>2.09</v>
      </c>
      <c r="C57">
        <f t="shared" ca="1" si="0"/>
        <v>2023</v>
      </c>
    </row>
    <row r="58" spans="1:3" x14ac:dyDescent="0.25">
      <c r="A58" s="3">
        <f ca="1">IFERROR(__xludf.DUMMYFUNCTION("""COMPUTED_VALUE"""),45205.6666666666)</f>
        <v>45205.666666666599</v>
      </c>
      <c r="B58" s="1">
        <f ca="1">IFERROR(__xludf.DUMMYFUNCTION("""COMPUTED_VALUE"""),2.21)</f>
        <v>2.21</v>
      </c>
      <c r="C58">
        <f t="shared" ca="1" si="0"/>
        <v>2023</v>
      </c>
    </row>
    <row r="59" spans="1:3" x14ac:dyDescent="0.25">
      <c r="A59" s="3">
        <f ca="1">IFERROR(__xludf.DUMMYFUNCTION("""COMPUTED_VALUE"""),45204.6666666666)</f>
        <v>45204.666666666599</v>
      </c>
      <c r="B59" s="1">
        <f ca="1">IFERROR(__xludf.DUMMYFUNCTION("""COMPUTED_VALUE"""),2.31)</f>
        <v>2.31</v>
      </c>
      <c r="C59">
        <f t="shared" ca="1" si="0"/>
        <v>2023</v>
      </c>
    </row>
    <row r="60" spans="1:3" x14ac:dyDescent="0.25">
      <c r="A60" s="3">
        <f ca="1">IFERROR(__xludf.DUMMYFUNCTION("""COMPUTED_VALUE"""),45203.6666666666)</f>
        <v>45203.666666666599</v>
      </c>
      <c r="B60" s="1">
        <f ca="1">IFERROR(__xludf.DUMMYFUNCTION("""COMPUTED_VALUE"""),2.25)</f>
        <v>2.25</v>
      </c>
      <c r="C60">
        <f t="shared" ca="1" si="0"/>
        <v>2023</v>
      </c>
    </row>
    <row r="61" spans="1:3" x14ac:dyDescent="0.25">
      <c r="A61" s="3">
        <f ca="1">IFERROR(__xludf.DUMMYFUNCTION("""COMPUTED_VALUE"""),45202.6666666666)</f>
        <v>45202.666666666599</v>
      </c>
      <c r="B61" s="1">
        <f ca="1">IFERROR(__xludf.DUMMYFUNCTION("""COMPUTED_VALUE"""),2.54)</f>
        <v>2.54</v>
      </c>
      <c r="C61">
        <f t="shared" ca="1" si="0"/>
        <v>2023</v>
      </c>
    </row>
    <row r="62" spans="1:3" x14ac:dyDescent="0.25">
      <c r="A62" s="3">
        <f ca="1">IFERROR(__xludf.DUMMYFUNCTION("""COMPUTED_VALUE"""),45201.6666666666)</f>
        <v>45201.666666666599</v>
      </c>
      <c r="B62" s="1">
        <f ca="1">IFERROR(__xludf.DUMMYFUNCTION("""COMPUTED_VALUE"""),2.95)</f>
        <v>2.95</v>
      </c>
      <c r="C62">
        <f t="shared" ca="1" si="0"/>
        <v>2023</v>
      </c>
    </row>
    <row r="63" spans="1:3" x14ac:dyDescent="0.25">
      <c r="A63" s="3">
        <f ca="1">IFERROR(__xludf.DUMMYFUNCTION("""COMPUTED_VALUE"""),45198.6666666666)</f>
        <v>45198.666666666599</v>
      </c>
      <c r="B63" s="1">
        <f ca="1">IFERROR(__xludf.DUMMYFUNCTION("""COMPUTED_VALUE"""),3.01)</f>
        <v>3.01</v>
      </c>
      <c r="C63">
        <f t="shared" ca="1" si="0"/>
        <v>2023</v>
      </c>
    </row>
    <row r="64" spans="1:3" x14ac:dyDescent="0.25">
      <c r="A64" s="3">
        <f ca="1">IFERROR(__xludf.DUMMYFUNCTION("""COMPUTED_VALUE"""),45197.6666666666)</f>
        <v>45197.666666666599</v>
      </c>
      <c r="B64" s="1">
        <f ca="1">IFERROR(__xludf.DUMMYFUNCTION("""COMPUTED_VALUE"""),3.05)</f>
        <v>3.05</v>
      </c>
      <c r="C64">
        <f t="shared" ca="1" si="0"/>
        <v>2023</v>
      </c>
    </row>
    <row r="65" spans="1:3" x14ac:dyDescent="0.25">
      <c r="A65" s="3">
        <f ca="1">IFERROR(__xludf.DUMMYFUNCTION("""COMPUTED_VALUE"""),45196.6666666666)</f>
        <v>45196.666666666599</v>
      </c>
      <c r="B65" s="1">
        <f ca="1">IFERROR(__xludf.DUMMYFUNCTION("""COMPUTED_VALUE"""),2.92)</f>
        <v>2.92</v>
      </c>
      <c r="C65">
        <f t="shared" ca="1" si="0"/>
        <v>2023</v>
      </c>
    </row>
    <row r="66" spans="1:3" x14ac:dyDescent="0.25">
      <c r="A66" s="3">
        <f ca="1">IFERROR(__xludf.DUMMYFUNCTION("""COMPUTED_VALUE"""),45195.6666666666)</f>
        <v>45195.666666666599</v>
      </c>
      <c r="B66" s="1">
        <f ca="1">IFERROR(__xludf.DUMMYFUNCTION("""COMPUTED_VALUE"""),2.96)</f>
        <v>2.96</v>
      </c>
      <c r="C66">
        <f t="shared" ref="C66:C129" ca="1" si="1">YEAR(A66)</f>
        <v>2023</v>
      </c>
    </row>
    <row r="67" spans="1:3" x14ac:dyDescent="0.25">
      <c r="A67" s="3">
        <f ca="1">IFERROR(__xludf.DUMMYFUNCTION("""COMPUTED_VALUE"""),45194.6666666666)</f>
        <v>45194.666666666599</v>
      </c>
      <c r="B67" s="1">
        <f ca="1">IFERROR(__xludf.DUMMYFUNCTION("""COMPUTED_VALUE"""),2.92)</f>
        <v>2.92</v>
      </c>
      <c r="C67">
        <f t="shared" ca="1" si="1"/>
        <v>2023</v>
      </c>
    </row>
    <row r="68" spans="1:3" x14ac:dyDescent="0.25">
      <c r="A68" s="3">
        <f ca="1">IFERROR(__xludf.DUMMYFUNCTION("""COMPUTED_VALUE"""),45191.6666666666)</f>
        <v>45191.666666666599</v>
      </c>
      <c r="B68" s="1">
        <f ca="1">IFERROR(__xludf.DUMMYFUNCTION("""COMPUTED_VALUE"""),3.1)</f>
        <v>3.1</v>
      </c>
      <c r="C68">
        <f t="shared" ca="1" si="1"/>
        <v>2023</v>
      </c>
    </row>
    <row r="69" spans="1:3" x14ac:dyDescent="0.25">
      <c r="A69" s="3">
        <f ca="1">IFERROR(__xludf.DUMMYFUNCTION("""COMPUTED_VALUE"""),45190.6666666666)</f>
        <v>45190.666666666599</v>
      </c>
      <c r="B69" s="1">
        <f ca="1">IFERROR(__xludf.DUMMYFUNCTION("""COMPUTED_VALUE"""),3.57)</f>
        <v>3.57</v>
      </c>
      <c r="C69">
        <f t="shared" ca="1" si="1"/>
        <v>2023</v>
      </c>
    </row>
    <row r="70" spans="1:3" x14ac:dyDescent="0.25">
      <c r="A70" s="3">
        <f ca="1">IFERROR(__xludf.DUMMYFUNCTION("""COMPUTED_VALUE"""),45189.6666666666)</f>
        <v>45189.666666666599</v>
      </c>
      <c r="B70" s="1">
        <f ca="1">IFERROR(__xludf.DUMMYFUNCTION("""COMPUTED_VALUE"""),3.77)</f>
        <v>3.77</v>
      </c>
      <c r="C70">
        <f t="shared" ca="1" si="1"/>
        <v>2023</v>
      </c>
    </row>
    <row r="71" spans="1:3" x14ac:dyDescent="0.25">
      <c r="A71" s="3">
        <f ca="1">IFERROR(__xludf.DUMMYFUNCTION("""COMPUTED_VALUE"""),45188.6666666666)</f>
        <v>45188.666666666599</v>
      </c>
      <c r="B71" s="1">
        <f ca="1">IFERROR(__xludf.DUMMYFUNCTION("""COMPUTED_VALUE"""),4.04)</f>
        <v>4.04</v>
      </c>
      <c r="C71">
        <f t="shared" ca="1" si="1"/>
        <v>2023</v>
      </c>
    </row>
    <row r="72" spans="1:3" x14ac:dyDescent="0.25">
      <c r="A72" s="3">
        <f ca="1">IFERROR(__xludf.DUMMYFUNCTION("""COMPUTED_VALUE"""),45187.6666666666)</f>
        <v>45187.666666666599</v>
      </c>
      <c r="B72" s="1">
        <f ca="1">IFERROR(__xludf.DUMMYFUNCTION("""COMPUTED_VALUE"""),4.05)</f>
        <v>4.05</v>
      </c>
      <c r="C72">
        <f t="shared" ca="1" si="1"/>
        <v>2023</v>
      </c>
    </row>
    <row r="73" spans="1:3" x14ac:dyDescent="0.25">
      <c r="A73" s="3">
        <f ca="1">IFERROR(__xludf.DUMMYFUNCTION("""COMPUTED_VALUE"""),45184.6666666666)</f>
        <v>45184.666666666599</v>
      </c>
      <c r="B73" s="1">
        <f ca="1">IFERROR(__xludf.DUMMYFUNCTION("""COMPUTED_VALUE"""),4.31)</f>
        <v>4.3099999999999996</v>
      </c>
      <c r="C73">
        <f t="shared" ca="1" si="1"/>
        <v>2023</v>
      </c>
    </row>
    <row r="74" spans="1:3" x14ac:dyDescent="0.25">
      <c r="A74" s="3">
        <f ca="1">IFERROR(__xludf.DUMMYFUNCTION("""COMPUTED_VALUE"""),45183.6666666666)</f>
        <v>45183.666666666599</v>
      </c>
      <c r="B74" s="1">
        <f ca="1">IFERROR(__xludf.DUMMYFUNCTION("""COMPUTED_VALUE"""),4.54)</f>
        <v>4.54</v>
      </c>
      <c r="C74">
        <f t="shared" ca="1" si="1"/>
        <v>2023</v>
      </c>
    </row>
    <row r="75" spans="1:3" x14ac:dyDescent="0.25">
      <c r="A75" s="3">
        <f ca="1">IFERROR(__xludf.DUMMYFUNCTION("""COMPUTED_VALUE"""),45182.6666666666)</f>
        <v>45182.666666666599</v>
      </c>
      <c r="B75" s="1">
        <f ca="1">IFERROR(__xludf.DUMMYFUNCTION("""COMPUTED_VALUE"""),5.14)</f>
        <v>5.14</v>
      </c>
      <c r="C75">
        <f t="shared" ca="1" si="1"/>
        <v>2023</v>
      </c>
    </row>
    <row r="76" spans="1:3" x14ac:dyDescent="0.25">
      <c r="A76" s="3">
        <f ca="1">IFERROR(__xludf.DUMMYFUNCTION("""COMPUTED_VALUE"""),45181.6666666666)</f>
        <v>45181.666666666599</v>
      </c>
      <c r="B76" s="1">
        <f ca="1">IFERROR(__xludf.DUMMYFUNCTION("""COMPUTED_VALUE"""),5.74)</f>
        <v>5.74</v>
      </c>
      <c r="C76">
        <f t="shared" ca="1" si="1"/>
        <v>2023</v>
      </c>
    </row>
    <row r="77" spans="1:3" x14ac:dyDescent="0.25">
      <c r="A77" s="3">
        <f ca="1">IFERROR(__xludf.DUMMYFUNCTION("""COMPUTED_VALUE"""),45180.6666666666)</f>
        <v>45180.666666666599</v>
      </c>
      <c r="B77" s="1">
        <f ca="1">IFERROR(__xludf.DUMMYFUNCTION("""COMPUTED_VALUE"""),3.07)</f>
        <v>3.07</v>
      </c>
      <c r="C77">
        <f t="shared" ca="1" si="1"/>
        <v>2023</v>
      </c>
    </row>
    <row r="78" spans="1:3" x14ac:dyDescent="0.25">
      <c r="A78" s="3">
        <f ca="1">IFERROR(__xludf.DUMMYFUNCTION("""COMPUTED_VALUE"""),45177.6666666666)</f>
        <v>45177.666666666599</v>
      </c>
      <c r="B78" s="1">
        <f ca="1">IFERROR(__xludf.DUMMYFUNCTION("""COMPUTED_VALUE"""),2.65)</f>
        <v>2.65</v>
      </c>
      <c r="C78">
        <f t="shared" ca="1" si="1"/>
        <v>2023</v>
      </c>
    </row>
    <row r="79" spans="1:3" x14ac:dyDescent="0.25">
      <c r="A79" s="3">
        <f ca="1">IFERROR(__xludf.DUMMYFUNCTION("""COMPUTED_VALUE"""),45176.6666666666)</f>
        <v>45176.666666666599</v>
      </c>
      <c r="B79" s="1">
        <f ca="1">IFERROR(__xludf.DUMMYFUNCTION("""COMPUTED_VALUE"""),3.16)</f>
        <v>3.16</v>
      </c>
      <c r="C79">
        <f t="shared" ca="1" si="1"/>
        <v>2023</v>
      </c>
    </row>
    <row r="80" spans="1:3" x14ac:dyDescent="0.25">
      <c r="A80" s="3">
        <f ca="1">IFERROR(__xludf.DUMMYFUNCTION("""COMPUTED_VALUE"""),45175.6666666666)</f>
        <v>45175.666666666599</v>
      </c>
      <c r="B80" s="1">
        <f ca="1">IFERROR(__xludf.DUMMYFUNCTION("""COMPUTED_VALUE"""),3.42)</f>
        <v>3.42</v>
      </c>
      <c r="C80">
        <f t="shared" ca="1" si="1"/>
        <v>2023</v>
      </c>
    </row>
    <row r="81" spans="1:3" x14ac:dyDescent="0.25">
      <c r="A81" s="3">
        <f ca="1">IFERROR(__xludf.DUMMYFUNCTION("""COMPUTED_VALUE"""),45174.6666666666)</f>
        <v>45174.666666666599</v>
      </c>
      <c r="B81" s="1">
        <f ca="1">IFERROR(__xludf.DUMMYFUNCTION("""COMPUTED_VALUE"""),3.54)</f>
        <v>3.54</v>
      </c>
      <c r="C81">
        <f t="shared" ca="1" si="1"/>
        <v>2023</v>
      </c>
    </row>
    <row r="82" spans="1:3" x14ac:dyDescent="0.25">
      <c r="A82" s="3">
        <f ca="1">IFERROR(__xludf.DUMMYFUNCTION("""COMPUTED_VALUE"""),45170.6666666666)</f>
        <v>45170.666666666599</v>
      </c>
      <c r="B82" s="1">
        <f ca="1">IFERROR(__xludf.DUMMYFUNCTION("""COMPUTED_VALUE"""),4.4)</f>
        <v>4.4000000000000004</v>
      </c>
      <c r="C82">
        <f t="shared" ca="1" si="1"/>
        <v>2023</v>
      </c>
    </row>
    <row r="83" spans="1:3" x14ac:dyDescent="0.25">
      <c r="A83" s="3">
        <f ca="1">IFERROR(__xludf.DUMMYFUNCTION("""COMPUTED_VALUE"""),45169.6666666666)</f>
        <v>45169.666666666599</v>
      </c>
      <c r="B83" s="1">
        <f ca="1">IFERROR(__xludf.DUMMYFUNCTION("""COMPUTED_VALUE"""),4.72)</f>
        <v>4.72</v>
      </c>
      <c r="C83">
        <f t="shared" ca="1" si="1"/>
        <v>2023</v>
      </c>
    </row>
    <row r="84" spans="1:3" x14ac:dyDescent="0.25">
      <c r="A84" s="3">
        <f ca="1">IFERROR(__xludf.DUMMYFUNCTION("""COMPUTED_VALUE"""),45168.6666666666)</f>
        <v>45168.666666666599</v>
      </c>
      <c r="B84" s="1">
        <f ca="1">IFERROR(__xludf.DUMMYFUNCTION("""COMPUTED_VALUE"""),4.65)</f>
        <v>4.6500000000000004</v>
      </c>
      <c r="C84">
        <f t="shared" ca="1" si="1"/>
        <v>2023</v>
      </c>
    </row>
    <row r="85" spans="1:3" x14ac:dyDescent="0.25">
      <c r="A85" s="3">
        <f ca="1">IFERROR(__xludf.DUMMYFUNCTION("""COMPUTED_VALUE"""),45167.6666666666)</f>
        <v>45167.666666666599</v>
      </c>
      <c r="B85" s="1">
        <f ca="1">IFERROR(__xludf.DUMMYFUNCTION("""COMPUTED_VALUE"""),4.64)</f>
        <v>4.6399999999999997</v>
      </c>
      <c r="C85">
        <f t="shared" ca="1" si="1"/>
        <v>2023</v>
      </c>
    </row>
    <row r="86" spans="1:3" x14ac:dyDescent="0.25">
      <c r="A86" s="3">
        <f ca="1">IFERROR(__xludf.DUMMYFUNCTION("""COMPUTED_VALUE"""),45166.6666666666)</f>
        <v>45166.666666666599</v>
      </c>
      <c r="B86" s="1">
        <f ca="1">IFERROR(__xludf.DUMMYFUNCTION("""COMPUTED_VALUE"""),5.07)</f>
        <v>5.07</v>
      </c>
      <c r="C86">
        <f t="shared" ca="1" si="1"/>
        <v>2023</v>
      </c>
    </row>
    <row r="87" spans="1:3" x14ac:dyDescent="0.25">
      <c r="A87" s="3">
        <f ca="1">IFERROR(__xludf.DUMMYFUNCTION("""COMPUTED_VALUE"""),45163.6666666666)</f>
        <v>45163.666666666599</v>
      </c>
      <c r="B87" s="1">
        <f ca="1">IFERROR(__xludf.DUMMYFUNCTION("""COMPUTED_VALUE"""),5.01)</f>
        <v>5.01</v>
      </c>
      <c r="C87">
        <f t="shared" ca="1" si="1"/>
        <v>2023</v>
      </c>
    </row>
    <row r="88" spans="1:3" x14ac:dyDescent="0.25">
      <c r="A88" s="3">
        <f ca="1">IFERROR(__xludf.DUMMYFUNCTION("""COMPUTED_VALUE"""),45162.6666666666)</f>
        <v>45162.666666666599</v>
      </c>
      <c r="B88" s="1">
        <f ca="1">IFERROR(__xludf.DUMMYFUNCTION("""COMPUTED_VALUE"""),5.5)</f>
        <v>5.5</v>
      </c>
      <c r="C88">
        <f t="shared" ca="1" si="1"/>
        <v>2023</v>
      </c>
    </row>
    <row r="89" spans="1:3" x14ac:dyDescent="0.25">
      <c r="A89" s="3">
        <f ca="1">IFERROR(__xludf.DUMMYFUNCTION("""COMPUTED_VALUE"""),45161.6666666666)</f>
        <v>45161.666666666599</v>
      </c>
      <c r="B89" s="1">
        <f ca="1">IFERROR(__xludf.DUMMYFUNCTION("""COMPUTED_VALUE"""),4.88)</f>
        <v>4.88</v>
      </c>
      <c r="C89">
        <f t="shared" ca="1" si="1"/>
        <v>2023</v>
      </c>
    </row>
    <row r="90" spans="1:3" x14ac:dyDescent="0.25">
      <c r="A90" s="3">
        <f ca="1">IFERROR(__xludf.DUMMYFUNCTION("""COMPUTED_VALUE"""),45160.6666666666)</f>
        <v>45160.666666666599</v>
      </c>
      <c r="B90" s="1">
        <f ca="1">IFERROR(__xludf.DUMMYFUNCTION("""COMPUTED_VALUE"""),5.19)</f>
        <v>5.19</v>
      </c>
      <c r="C90">
        <f t="shared" ca="1" si="1"/>
        <v>2023</v>
      </c>
    </row>
    <row r="91" spans="1:3" x14ac:dyDescent="0.25">
      <c r="A91" s="3">
        <f ca="1">IFERROR(__xludf.DUMMYFUNCTION("""COMPUTED_VALUE"""),45159.6666666666)</f>
        <v>45159.666666666599</v>
      </c>
      <c r="B91" s="1">
        <f ca="1">IFERROR(__xludf.DUMMYFUNCTION("""COMPUTED_VALUE"""),5.36)</f>
        <v>5.36</v>
      </c>
      <c r="C91">
        <f t="shared" ca="1" si="1"/>
        <v>2023</v>
      </c>
    </row>
    <row r="92" spans="1:3" x14ac:dyDescent="0.25">
      <c r="A92" s="3">
        <f ca="1">IFERROR(__xludf.DUMMYFUNCTION("""COMPUTED_VALUE"""),45156.6666666666)</f>
        <v>45156.666666666599</v>
      </c>
      <c r="B92" s="1">
        <f ca="1">IFERROR(__xludf.DUMMYFUNCTION("""COMPUTED_VALUE"""),5.6)</f>
        <v>5.6</v>
      </c>
      <c r="C92">
        <f t="shared" ca="1" si="1"/>
        <v>2023</v>
      </c>
    </row>
    <row r="93" spans="1:3" x14ac:dyDescent="0.25">
      <c r="A93" s="3">
        <f ca="1">IFERROR(__xludf.DUMMYFUNCTION("""COMPUTED_VALUE"""),45155.6666666666)</f>
        <v>45155.666666666599</v>
      </c>
      <c r="B93" s="1">
        <f ca="1">IFERROR(__xludf.DUMMYFUNCTION("""COMPUTED_VALUE"""),6.32)</f>
        <v>6.32</v>
      </c>
      <c r="C93">
        <f t="shared" ca="1" si="1"/>
        <v>2023</v>
      </c>
    </row>
    <row r="94" spans="1:3" x14ac:dyDescent="0.25">
      <c r="A94" s="3">
        <f ca="1">IFERROR(__xludf.DUMMYFUNCTION("""COMPUTED_VALUE"""),45154.6666666666)</f>
        <v>45154.666666666599</v>
      </c>
      <c r="B94" s="1">
        <f ca="1">IFERROR(__xludf.DUMMYFUNCTION("""COMPUTED_VALUE"""),6)</f>
        <v>6</v>
      </c>
      <c r="C94">
        <f t="shared" ca="1" si="1"/>
        <v>2023</v>
      </c>
    </row>
    <row r="95" spans="1:3" x14ac:dyDescent="0.25">
      <c r="A95" s="3">
        <f ca="1">IFERROR(__xludf.DUMMYFUNCTION("""COMPUTED_VALUE"""),45153.6666666666)</f>
        <v>45153.666666666599</v>
      </c>
      <c r="B95" s="1">
        <f ca="1">IFERROR(__xludf.DUMMYFUNCTION("""COMPUTED_VALUE"""),7.69)</f>
        <v>7.69</v>
      </c>
      <c r="C95">
        <f t="shared" ca="1" si="1"/>
        <v>2023</v>
      </c>
    </row>
    <row r="96" spans="1:3" x14ac:dyDescent="0.25">
      <c r="A96" s="3">
        <f ca="1">IFERROR(__xludf.DUMMYFUNCTION("""COMPUTED_VALUE"""),45152.6666666666)</f>
        <v>45152.666666666599</v>
      </c>
      <c r="B96" s="1">
        <f ca="1">IFERROR(__xludf.DUMMYFUNCTION("""COMPUTED_VALUE"""),8.9)</f>
        <v>8.9</v>
      </c>
      <c r="C96">
        <f t="shared" ca="1" si="1"/>
        <v>2023</v>
      </c>
    </row>
    <row r="97" spans="1:3" x14ac:dyDescent="0.25">
      <c r="A97" s="3">
        <f ca="1">IFERROR(__xludf.DUMMYFUNCTION("""COMPUTED_VALUE"""),45149.6666666666)</f>
        <v>45149.666666666599</v>
      </c>
      <c r="B97" s="1">
        <f ca="1">IFERROR(__xludf.DUMMYFUNCTION("""COMPUTED_VALUE"""),8.16)</f>
        <v>8.16</v>
      </c>
      <c r="C97">
        <f t="shared" ca="1" si="1"/>
        <v>2023</v>
      </c>
    </row>
    <row r="98" spans="1:3" x14ac:dyDescent="0.25">
      <c r="A98" s="3">
        <f ca="1">IFERROR(__xludf.DUMMYFUNCTION("""COMPUTED_VALUE"""),45148.6666666666)</f>
        <v>45148.666666666599</v>
      </c>
      <c r="B98" s="1">
        <f ca="1">IFERROR(__xludf.DUMMYFUNCTION("""COMPUTED_VALUE"""),7.4)</f>
        <v>7.4</v>
      </c>
      <c r="C98">
        <f t="shared" ca="1" si="1"/>
        <v>2023</v>
      </c>
    </row>
    <row r="99" spans="1:3" x14ac:dyDescent="0.25">
      <c r="A99" s="3">
        <f ca="1">IFERROR(__xludf.DUMMYFUNCTION("""COMPUTED_VALUE"""),45147.6666666666)</f>
        <v>45147.666666666599</v>
      </c>
      <c r="B99" s="1">
        <f ca="1">IFERROR(__xludf.DUMMYFUNCTION("""COMPUTED_VALUE"""),5.16)</f>
        <v>5.16</v>
      </c>
      <c r="C99">
        <f t="shared" ca="1" si="1"/>
        <v>2023</v>
      </c>
    </row>
    <row r="100" spans="1:3" x14ac:dyDescent="0.25">
      <c r="A100" s="3">
        <f ca="1">IFERROR(__xludf.DUMMYFUNCTION("""COMPUTED_VALUE"""),45146.6666666666)</f>
        <v>45146.666666666599</v>
      </c>
      <c r="B100" s="1">
        <f ca="1">IFERROR(__xludf.DUMMYFUNCTION("""COMPUTED_VALUE"""),8.39)</f>
        <v>8.39</v>
      </c>
      <c r="C100">
        <f t="shared" ca="1" si="1"/>
        <v>2023</v>
      </c>
    </row>
    <row r="101" spans="1:3" x14ac:dyDescent="0.25">
      <c r="A101" s="3">
        <f ca="1">IFERROR(__xludf.DUMMYFUNCTION("""COMPUTED_VALUE"""),45145.6666666666)</f>
        <v>45145.666666666599</v>
      </c>
      <c r="B101" s="1">
        <f ca="1">IFERROR(__xludf.DUMMYFUNCTION("""COMPUTED_VALUE"""),8.88)</f>
        <v>8.8800000000000008</v>
      </c>
      <c r="C101">
        <f t="shared" ca="1" si="1"/>
        <v>2023</v>
      </c>
    </row>
    <row r="102" spans="1:3" x14ac:dyDescent="0.25">
      <c r="A102" s="3">
        <f ca="1">IFERROR(__xludf.DUMMYFUNCTION("""COMPUTED_VALUE"""),45142.6666666666)</f>
        <v>45142.666666666599</v>
      </c>
      <c r="B102" s="1">
        <f ca="1">IFERROR(__xludf.DUMMYFUNCTION("""COMPUTED_VALUE"""),8.96)</f>
        <v>8.9600000000000009</v>
      </c>
      <c r="C102">
        <f t="shared" ca="1" si="1"/>
        <v>2023</v>
      </c>
    </row>
    <row r="103" spans="1:3" x14ac:dyDescent="0.25">
      <c r="A103" s="3">
        <f ca="1">IFERROR(__xludf.DUMMYFUNCTION("""COMPUTED_VALUE"""),45141.6666666666)</f>
        <v>45141.666666666599</v>
      </c>
      <c r="B103" s="1">
        <f ca="1">IFERROR(__xludf.DUMMYFUNCTION("""COMPUTED_VALUE"""),9.48)</f>
        <v>9.48</v>
      </c>
      <c r="C103">
        <f t="shared" ca="1" si="1"/>
        <v>2023</v>
      </c>
    </row>
    <row r="104" spans="1:3" x14ac:dyDescent="0.25">
      <c r="A104" s="3">
        <f ca="1">IFERROR(__xludf.DUMMYFUNCTION("""COMPUTED_VALUE"""),45140.6666666666)</f>
        <v>45140.666666666599</v>
      </c>
      <c r="B104" s="1">
        <f ca="1">IFERROR(__xludf.DUMMYFUNCTION("""COMPUTED_VALUE"""),8.4)</f>
        <v>8.4</v>
      </c>
      <c r="C104">
        <f t="shared" ca="1" si="1"/>
        <v>2023</v>
      </c>
    </row>
    <row r="105" spans="1:3" x14ac:dyDescent="0.25">
      <c r="A105" s="3">
        <f ca="1">IFERROR(__xludf.DUMMYFUNCTION("""COMPUTED_VALUE"""),45139.6666666666)</f>
        <v>45139.666666666599</v>
      </c>
      <c r="B105" s="1">
        <f ca="1">IFERROR(__xludf.DUMMYFUNCTION("""COMPUTED_VALUE"""),8.7)</f>
        <v>8.6999999999999993</v>
      </c>
      <c r="C105">
        <f t="shared" ca="1" si="1"/>
        <v>2023</v>
      </c>
    </row>
    <row r="106" spans="1:3" x14ac:dyDescent="0.25">
      <c r="A106" s="3">
        <f ca="1">IFERROR(__xludf.DUMMYFUNCTION("""COMPUTED_VALUE"""),45138.6666666666)</f>
        <v>45138.666666666599</v>
      </c>
      <c r="B106" s="1">
        <f ca="1">IFERROR(__xludf.DUMMYFUNCTION("""COMPUTED_VALUE"""),8.66)</f>
        <v>8.66</v>
      </c>
      <c r="C106">
        <f t="shared" ca="1" si="1"/>
        <v>2023</v>
      </c>
    </row>
    <row r="107" spans="1:3" x14ac:dyDescent="0.25">
      <c r="A107" s="3">
        <f ca="1">IFERROR(__xludf.DUMMYFUNCTION("""COMPUTED_VALUE"""),45135.6666666666)</f>
        <v>45135.666666666599</v>
      </c>
      <c r="B107" s="1">
        <f ca="1">IFERROR(__xludf.DUMMYFUNCTION("""COMPUTED_VALUE"""),9.6)</f>
        <v>9.6</v>
      </c>
      <c r="C107">
        <f t="shared" ca="1" si="1"/>
        <v>2023</v>
      </c>
    </row>
    <row r="108" spans="1:3" x14ac:dyDescent="0.25">
      <c r="A108" s="3">
        <f ca="1">IFERROR(__xludf.DUMMYFUNCTION("""COMPUTED_VALUE"""),45134.6666666666)</f>
        <v>45134.666666666599</v>
      </c>
      <c r="B108" s="1">
        <f ca="1">IFERROR(__xludf.DUMMYFUNCTION("""COMPUTED_VALUE"""),8.64)</f>
        <v>8.64</v>
      </c>
      <c r="C108">
        <f t="shared" ca="1" si="1"/>
        <v>2023</v>
      </c>
    </row>
    <row r="109" spans="1:3" x14ac:dyDescent="0.25">
      <c r="A109" s="3">
        <f ca="1">IFERROR(__xludf.DUMMYFUNCTION("""COMPUTED_VALUE"""),45133.6666666666)</f>
        <v>45133.666666666599</v>
      </c>
      <c r="B109" s="1">
        <f ca="1">IFERROR(__xludf.DUMMYFUNCTION("""COMPUTED_VALUE"""),9.25)</f>
        <v>9.25</v>
      </c>
      <c r="C109">
        <f t="shared" ca="1" si="1"/>
        <v>2023</v>
      </c>
    </row>
    <row r="110" spans="1:3" x14ac:dyDescent="0.25">
      <c r="A110" s="3">
        <f ca="1">IFERROR(__xludf.DUMMYFUNCTION("""COMPUTED_VALUE"""),45132.6666666666)</f>
        <v>45132.666666666599</v>
      </c>
      <c r="B110" s="1">
        <f ca="1">IFERROR(__xludf.DUMMYFUNCTION("""COMPUTED_VALUE"""),9.64)</f>
        <v>9.64</v>
      </c>
      <c r="C110">
        <f t="shared" ca="1" si="1"/>
        <v>2023</v>
      </c>
    </row>
    <row r="111" spans="1:3" x14ac:dyDescent="0.25">
      <c r="A111" s="3">
        <f ca="1">IFERROR(__xludf.DUMMYFUNCTION("""COMPUTED_VALUE"""),45131.6666666666)</f>
        <v>45131.666666666599</v>
      </c>
      <c r="B111" s="1">
        <f ca="1">IFERROR(__xludf.DUMMYFUNCTION("""COMPUTED_VALUE"""),10.43)</f>
        <v>10.43</v>
      </c>
      <c r="C111">
        <f t="shared" ca="1" si="1"/>
        <v>2023</v>
      </c>
    </row>
    <row r="112" spans="1:3" x14ac:dyDescent="0.25">
      <c r="A112" s="3">
        <f ca="1">IFERROR(__xludf.DUMMYFUNCTION("""COMPUTED_VALUE"""),45128.6666666666)</f>
        <v>45128.666666666599</v>
      </c>
      <c r="B112" s="1">
        <f ca="1">IFERROR(__xludf.DUMMYFUNCTION("""COMPUTED_VALUE"""),10.68)</f>
        <v>10.68</v>
      </c>
      <c r="C112">
        <f t="shared" ca="1" si="1"/>
        <v>2023</v>
      </c>
    </row>
    <row r="113" spans="1:3" x14ac:dyDescent="0.25">
      <c r="A113" s="3">
        <f ca="1">IFERROR(__xludf.DUMMYFUNCTION("""COMPUTED_VALUE"""),45127.6666666666)</f>
        <v>45127.666666666599</v>
      </c>
      <c r="B113" s="1">
        <f ca="1">IFERROR(__xludf.DUMMYFUNCTION("""COMPUTED_VALUE"""),10.86)</f>
        <v>10.86</v>
      </c>
      <c r="C113">
        <f t="shared" ca="1" si="1"/>
        <v>2023</v>
      </c>
    </row>
    <row r="114" spans="1:3" x14ac:dyDescent="0.25">
      <c r="A114" s="3">
        <f ca="1">IFERROR(__xludf.DUMMYFUNCTION("""COMPUTED_VALUE"""),45126.6666666666)</f>
        <v>45126.666666666599</v>
      </c>
      <c r="B114" s="1">
        <f ca="1">IFERROR(__xludf.DUMMYFUNCTION("""COMPUTED_VALUE"""),11.44)</f>
        <v>11.44</v>
      </c>
      <c r="C114">
        <f t="shared" ca="1" si="1"/>
        <v>2023</v>
      </c>
    </row>
    <row r="115" spans="1:3" x14ac:dyDescent="0.25">
      <c r="A115" s="3">
        <f ca="1">IFERROR(__xludf.DUMMYFUNCTION("""COMPUTED_VALUE"""),45125.6666666666)</f>
        <v>45125.666666666599</v>
      </c>
      <c r="B115" s="1">
        <f ca="1">IFERROR(__xludf.DUMMYFUNCTION("""COMPUTED_VALUE"""),11.28)</f>
        <v>11.28</v>
      </c>
      <c r="C115">
        <f t="shared" ca="1" si="1"/>
        <v>2023</v>
      </c>
    </row>
    <row r="116" spans="1:3" x14ac:dyDescent="0.25">
      <c r="A116" s="3">
        <f ca="1">IFERROR(__xludf.DUMMYFUNCTION("""COMPUTED_VALUE"""),45124.6666666666)</f>
        <v>45124.666666666599</v>
      </c>
      <c r="B116" s="1">
        <f ca="1">IFERROR(__xludf.DUMMYFUNCTION("""COMPUTED_VALUE"""),11.73)</f>
        <v>11.73</v>
      </c>
      <c r="C116">
        <f t="shared" ca="1" si="1"/>
        <v>2023</v>
      </c>
    </row>
    <row r="117" spans="1:3" x14ac:dyDescent="0.25">
      <c r="A117" s="3">
        <f ca="1">IFERROR(__xludf.DUMMYFUNCTION("""COMPUTED_VALUE"""),45121.6666666666)</f>
        <v>45121.666666666599</v>
      </c>
      <c r="B117" s="1">
        <f ca="1">IFERROR(__xludf.DUMMYFUNCTION("""COMPUTED_VALUE"""),11.22)</f>
        <v>11.22</v>
      </c>
      <c r="C117">
        <f t="shared" ca="1" si="1"/>
        <v>2023</v>
      </c>
    </row>
    <row r="118" spans="1:3" x14ac:dyDescent="0.25">
      <c r="A118" s="3">
        <f ca="1">IFERROR(__xludf.DUMMYFUNCTION("""COMPUTED_VALUE"""),45120.6666666666)</f>
        <v>45120.666666666599</v>
      </c>
      <c r="B118" s="1">
        <f ca="1">IFERROR(__xludf.DUMMYFUNCTION("""COMPUTED_VALUE"""),11.87)</f>
        <v>11.87</v>
      </c>
      <c r="C118">
        <f t="shared" ca="1" si="1"/>
        <v>2023</v>
      </c>
    </row>
    <row r="119" spans="1:3" x14ac:dyDescent="0.25">
      <c r="A119" s="3">
        <f ca="1">IFERROR(__xludf.DUMMYFUNCTION("""COMPUTED_VALUE"""),45119.6666666666)</f>
        <v>45119.666666666599</v>
      </c>
      <c r="B119" s="1">
        <f ca="1">IFERROR(__xludf.DUMMYFUNCTION("""COMPUTED_VALUE"""),10.71)</f>
        <v>10.71</v>
      </c>
      <c r="C119">
        <f t="shared" ca="1" si="1"/>
        <v>2023</v>
      </c>
    </row>
    <row r="120" spans="1:3" x14ac:dyDescent="0.25">
      <c r="A120" s="3">
        <f ca="1">IFERROR(__xludf.DUMMYFUNCTION("""COMPUTED_VALUE"""),45118.6666666666)</f>
        <v>45118.666666666599</v>
      </c>
      <c r="B120" s="1">
        <f ca="1">IFERROR(__xludf.DUMMYFUNCTION("""COMPUTED_VALUE"""),10.2)</f>
        <v>10.199999999999999</v>
      </c>
      <c r="C120">
        <f t="shared" ca="1" si="1"/>
        <v>2023</v>
      </c>
    </row>
    <row r="121" spans="1:3" x14ac:dyDescent="0.25">
      <c r="A121" s="3">
        <f ca="1">IFERROR(__xludf.DUMMYFUNCTION("""COMPUTED_VALUE"""),45117.6666666666)</f>
        <v>45117.666666666599</v>
      </c>
      <c r="B121" s="1">
        <f ca="1">IFERROR(__xludf.DUMMYFUNCTION("""COMPUTED_VALUE"""),10.1)</f>
        <v>10.1</v>
      </c>
      <c r="C121">
        <f t="shared" ca="1" si="1"/>
        <v>2023</v>
      </c>
    </row>
    <row r="122" spans="1:3" x14ac:dyDescent="0.25">
      <c r="A122" s="3">
        <f ca="1">IFERROR(__xludf.DUMMYFUNCTION("""COMPUTED_VALUE"""),45114.6666666666)</f>
        <v>45114.666666666599</v>
      </c>
      <c r="B122" s="1">
        <f ca="1">IFERROR(__xludf.DUMMYFUNCTION("""COMPUTED_VALUE"""),9.8)</f>
        <v>9.8000000000000007</v>
      </c>
      <c r="C122">
        <f t="shared" ca="1" si="1"/>
        <v>2023</v>
      </c>
    </row>
    <row r="123" spans="1:3" x14ac:dyDescent="0.25">
      <c r="A123" s="3">
        <f ca="1">IFERROR(__xludf.DUMMYFUNCTION("""COMPUTED_VALUE"""),45113.6666666666)</f>
        <v>45113.666666666599</v>
      </c>
      <c r="B123" s="1">
        <f ca="1">IFERROR(__xludf.DUMMYFUNCTION("""COMPUTED_VALUE"""),9.58)</f>
        <v>9.58</v>
      </c>
      <c r="C123">
        <f t="shared" ca="1" si="1"/>
        <v>2023</v>
      </c>
    </row>
    <row r="124" spans="1:3" x14ac:dyDescent="0.25">
      <c r="A124" s="3">
        <f ca="1">IFERROR(__xludf.DUMMYFUNCTION("""COMPUTED_VALUE"""),45112.6666666666)</f>
        <v>45112.666666666599</v>
      </c>
      <c r="B124" s="1">
        <f ca="1">IFERROR(__xludf.DUMMYFUNCTION("""COMPUTED_VALUE"""),10.02)</f>
        <v>10.02</v>
      </c>
      <c r="C124">
        <f t="shared" ca="1" si="1"/>
        <v>2023</v>
      </c>
    </row>
    <row r="125" spans="1:3" x14ac:dyDescent="0.25">
      <c r="A125" s="3">
        <f ca="1">IFERROR(__xludf.DUMMYFUNCTION("""COMPUTED_VALUE"""),45110.5451388888)</f>
        <v>45110.545138888803</v>
      </c>
      <c r="B125" s="1">
        <f ca="1">IFERROR(__xludf.DUMMYFUNCTION("""COMPUTED_VALUE"""),10.4)</f>
        <v>10.4</v>
      </c>
      <c r="C125">
        <f t="shared" ca="1" si="1"/>
        <v>2023</v>
      </c>
    </row>
    <row r="126" spans="1:3" x14ac:dyDescent="0.25">
      <c r="A126" s="3">
        <f ca="1">IFERROR(__xludf.DUMMYFUNCTION("""COMPUTED_VALUE"""),45107.6666666666)</f>
        <v>45107.666666666599</v>
      </c>
      <c r="B126" s="1">
        <f ca="1">IFERROR(__xludf.DUMMYFUNCTION("""COMPUTED_VALUE"""),10.22)</f>
        <v>10.220000000000001</v>
      </c>
      <c r="C126">
        <f t="shared" ca="1" si="1"/>
        <v>2023</v>
      </c>
    </row>
    <row r="127" spans="1:3" x14ac:dyDescent="0.25">
      <c r="A127" s="3">
        <f ca="1">IFERROR(__xludf.DUMMYFUNCTION("""COMPUTED_VALUE"""),45106.6666666666)</f>
        <v>45106.666666666599</v>
      </c>
      <c r="B127" s="1">
        <f ca="1">IFERROR(__xludf.DUMMYFUNCTION("""COMPUTED_VALUE"""),10.4)</f>
        <v>10.4</v>
      </c>
      <c r="C127">
        <f t="shared" ca="1" si="1"/>
        <v>2023</v>
      </c>
    </row>
    <row r="128" spans="1:3" x14ac:dyDescent="0.25">
      <c r="A128" s="3">
        <f ca="1">IFERROR(__xludf.DUMMYFUNCTION("""COMPUTED_VALUE"""),45105.6666666666)</f>
        <v>45105.666666666599</v>
      </c>
      <c r="B128" s="1">
        <f ca="1">IFERROR(__xludf.DUMMYFUNCTION("""COMPUTED_VALUE"""),10.37)</f>
        <v>10.37</v>
      </c>
      <c r="C128">
        <f t="shared" ca="1" si="1"/>
        <v>2023</v>
      </c>
    </row>
    <row r="129" spans="1:3" x14ac:dyDescent="0.25">
      <c r="A129" s="3">
        <f ca="1">IFERROR(__xludf.DUMMYFUNCTION("""COMPUTED_VALUE"""),45104.6666666666)</f>
        <v>45104.666666666599</v>
      </c>
      <c r="B129" s="1">
        <f ca="1">IFERROR(__xludf.DUMMYFUNCTION("""COMPUTED_VALUE"""),10.4)</f>
        <v>10.4</v>
      </c>
      <c r="C129">
        <f t="shared" ca="1" si="1"/>
        <v>2023</v>
      </c>
    </row>
    <row r="130" spans="1:3" x14ac:dyDescent="0.25">
      <c r="A130" s="3">
        <f ca="1">IFERROR(__xludf.DUMMYFUNCTION("""COMPUTED_VALUE"""),45103.6666666666)</f>
        <v>45103.666666666599</v>
      </c>
      <c r="B130" s="1">
        <f ca="1">IFERROR(__xludf.DUMMYFUNCTION("""COMPUTED_VALUE"""),9.36)</f>
        <v>9.36</v>
      </c>
      <c r="C130">
        <f t="shared" ref="C130:C193" ca="1" si="2">YEAR(A130)</f>
        <v>2023</v>
      </c>
    </row>
    <row r="131" spans="1:3" x14ac:dyDescent="0.25">
      <c r="A131" s="3">
        <f ca="1">IFERROR(__xludf.DUMMYFUNCTION("""COMPUTED_VALUE"""),45100.6666666666)</f>
        <v>45100.666666666599</v>
      </c>
      <c r="B131" s="1">
        <f ca="1">IFERROR(__xludf.DUMMYFUNCTION("""COMPUTED_VALUE"""),8.29)</f>
        <v>8.2899999999999991</v>
      </c>
      <c r="C131">
        <f t="shared" ca="1" si="2"/>
        <v>2023</v>
      </c>
    </row>
    <row r="132" spans="1:3" x14ac:dyDescent="0.25">
      <c r="A132" s="3">
        <f ca="1">IFERROR(__xludf.DUMMYFUNCTION("""COMPUTED_VALUE"""),45099.6666666666)</f>
        <v>45099.666666666599</v>
      </c>
      <c r="B132" s="1">
        <f ca="1">IFERROR(__xludf.DUMMYFUNCTION("""COMPUTED_VALUE"""),8.51)</f>
        <v>8.51</v>
      </c>
      <c r="C132">
        <f t="shared" ca="1" si="2"/>
        <v>2023</v>
      </c>
    </row>
    <row r="133" spans="1:3" x14ac:dyDescent="0.25">
      <c r="A133" s="3">
        <f ca="1">IFERROR(__xludf.DUMMYFUNCTION("""COMPUTED_VALUE"""),45098.6666666666)</f>
        <v>45098.666666666599</v>
      </c>
      <c r="B133" s="1">
        <f ca="1">IFERROR(__xludf.DUMMYFUNCTION("""COMPUTED_VALUE"""),8.44)</f>
        <v>8.44</v>
      </c>
      <c r="C133">
        <f t="shared" ca="1" si="2"/>
        <v>2023</v>
      </c>
    </row>
    <row r="134" spans="1:3" x14ac:dyDescent="0.25">
      <c r="A134" s="3">
        <f ca="1">IFERROR(__xludf.DUMMYFUNCTION("""COMPUTED_VALUE"""),45097.6666666666)</f>
        <v>45097.666666666599</v>
      </c>
      <c r="B134" s="1">
        <f ca="1">IFERROR(__xludf.DUMMYFUNCTION("""COMPUTED_VALUE"""),8.94)</f>
        <v>8.94</v>
      </c>
      <c r="C134">
        <f t="shared" ca="1" si="2"/>
        <v>2023</v>
      </c>
    </row>
    <row r="135" spans="1:3" x14ac:dyDescent="0.25">
      <c r="A135" s="3">
        <f ca="1">IFERROR(__xludf.DUMMYFUNCTION("""COMPUTED_VALUE"""),45093.6666666666)</f>
        <v>45093.666666666599</v>
      </c>
      <c r="B135" s="1">
        <f ca="1">IFERROR(__xludf.DUMMYFUNCTION("""COMPUTED_VALUE"""),9.84)</f>
        <v>9.84</v>
      </c>
      <c r="C135">
        <f t="shared" ca="1" si="2"/>
        <v>2023</v>
      </c>
    </row>
    <row r="136" spans="1:3" x14ac:dyDescent="0.25">
      <c r="A136" s="3">
        <f ca="1">IFERROR(__xludf.DUMMYFUNCTION("""COMPUTED_VALUE"""),45092.6666666666)</f>
        <v>45092.666666666599</v>
      </c>
      <c r="B136" s="1">
        <f ca="1">IFERROR(__xludf.DUMMYFUNCTION("""COMPUTED_VALUE"""),8.7)</f>
        <v>8.6999999999999993</v>
      </c>
      <c r="C136">
        <f t="shared" ca="1" si="2"/>
        <v>2023</v>
      </c>
    </row>
    <row r="137" spans="1:3" x14ac:dyDescent="0.25">
      <c r="A137" s="3">
        <f ca="1">IFERROR(__xludf.DUMMYFUNCTION("""COMPUTED_VALUE"""),45091.6666666666)</f>
        <v>45091.666666666599</v>
      </c>
      <c r="B137" s="1">
        <f ca="1">IFERROR(__xludf.DUMMYFUNCTION("""COMPUTED_VALUE"""),8.4)</f>
        <v>8.4</v>
      </c>
      <c r="C137">
        <f t="shared" ca="1" si="2"/>
        <v>2023</v>
      </c>
    </row>
    <row r="138" spans="1:3" x14ac:dyDescent="0.25">
      <c r="A138" s="3">
        <f ca="1">IFERROR(__xludf.DUMMYFUNCTION("""COMPUTED_VALUE"""),45090.6666666666)</f>
        <v>45090.666666666599</v>
      </c>
      <c r="B138" s="1">
        <f ca="1">IFERROR(__xludf.DUMMYFUNCTION("""COMPUTED_VALUE"""),7.83)</f>
        <v>7.83</v>
      </c>
      <c r="C138">
        <f t="shared" ca="1" si="2"/>
        <v>2023</v>
      </c>
    </row>
    <row r="139" spans="1:3" x14ac:dyDescent="0.25">
      <c r="A139" s="3">
        <f ca="1">IFERROR(__xludf.DUMMYFUNCTION("""COMPUTED_VALUE"""),45089.6666666666)</f>
        <v>45089.666666666599</v>
      </c>
      <c r="B139" s="1">
        <f ca="1">IFERROR(__xludf.DUMMYFUNCTION("""COMPUTED_VALUE"""),7)</f>
        <v>7</v>
      </c>
      <c r="C139">
        <f t="shared" ca="1" si="2"/>
        <v>2023</v>
      </c>
    </row>
    <row r="140" spans="1:3" x14ac:dyDescent="0.25">
      <c r="A140" s="3">
        <f ca="1">IFERROR(__xludf.DUMMYFUNCTION("""COMPUTED_VALUE"""),45086.6666666666)</f>
        <v>45086.666666666599</v>
      </c>
      <c r="B140" s="1">
        <f ca="1">IFERROR(__xludf.DUMMYFUNCTION("""COMPUTED_VALUE"""),7.37)</f>
        <v>7.37</v>
      </c>
      <c r="C140">
        <f t="shared" ca="1" si="2"/>
        <v>2023</v>
      </c>
    </row>
    <row r="141" spans="1:3" x14ac:dyDescent="0.25">
      <c r="A141" s="3">
        <f ca="1">IFERROR(__xludf.DUMMYFUNCTION("""COMPUTED_VALUE"""),45085.6666666666)</f>
        <v>45085.666666666599</v>
      </c>
      <c r="B141" s="1">
        <f ca="1">IFERROR(__xludf.DUMMYFUNCTION("""COMPUTED_VALUE"""),7.44)</f>
        <v>7.44</v>
      </c>
      <c r="C141">
        <f t="shared" ca="1" si="2"/>
        <v>2023</v>
      </c>
    </row>
    <row r="142" spans="1:3" x14ac:dyDescent="0.25">
      <c r="A142" s="3">
        <f ca="1">IFERROR(__xludf.DUMMYFUNCTION("""COMPUTED_VALUE"""),45084.6666666666)</f>
        <v>45084.666666666599</v>
      </c>
      <c r="B142" s="1">
        <f ca="1">IFERROR(__xludf.DUMMYFUNCTION("""COMPUTED_VALUE"""),8)</f>
        <v>8</v>
      </c>
      <c r="C142">
        <f t="shared" ca="1" si="2"/>
        <v>2023</v>
      </c>
    </row>
    <row r="143" spans="1:3" x14ac:dyDescent="0.25">
      <c r="A143" s="3">
        <f ca="1">IFERROR(__xludf.DUMMYFUNCTION("""COMPUTED_VALUE"""),45083.6666666666)</f>
        <v>45083.666666666599</v>
      </c>
      <c r="B143" s="1">
        <f ca="1">IFERROR(__xludf.DUMMYFUNCTION("""COMPUTED_VALUE"""),8.01)</f>
        <v>8.01</v>
      </c>
      <c r="C143">
        <f t="shared" ca="1" si="2"/>
        <v>2023</v>
      </c>
    </row>
    <row r="144" spans="1:3" x14ac:dyDescent="0.25">
      <c r="A144" s="3">
        <f ca="1">IFERROR(__xludf.DUMMYFUNCTION("""COMPUTED_VALUE"""),45082.6666666666)</f>
        <v>45082.666666666599</v>
      </c>
      <c r="B144" s="1">
        <f ca="1">IFERROR(__xludf.DUMMYFUNCTION("""COMPUTED_VALUE"""),9.2)</f>
        <v>9.1999999999999993</v>
      </c>
      <c r="C144">
        <f t="shared" ca="1" si="2"/>
        <v>2023</v>
      </c>
    </row>
    <row r="145" spans="1:3" x14ac:dyDescent="0.25">
      <c r="A145" s="3">
        <f ca="1">IFERROR(__xludf.DUMMYFUNCTION("""COMPUTED_VALUE"""),45079.6666666666)</f>
        <v>45079.666666666599</v>
      </c>
      <c r="B145" s="1">
        <f ca="1">IFERROR(__xludf.DUMMYFUNCTION("""COMPUTED_VALUE"""),7.4)</f>
        <v>7.4</v>
      </c>
      <c r="C145">
        <f t="shared" ca="1" si="2"/>
        <v>2023</v>
      </c>
    </row>
    <row r="146" spans="1:3" x14ac:dyDescent="0.25">
      <c r="A146" s="3">
        <f ca="1">IFERROR(__xludf.DUMMYFUNCTION("""COMPUTED_VALUE"""),45078.6666666666)</f>
        <v>45078.666666666599</v>
      </c>
      <c r="B146" s="1">
        <f ca="1">IFERROR(__xludf.DUMMYFUNCTION("""COMPUTED_VALUE"""),6.68)</f>
        <v>6.68</v>
      </c>
      <c r="C146">
        <f t="shared" ca="1" si="2"/>
        <v>2023</v>
      </c>
    </row>
    <row r="147" spans="1:3" x14ac:dyDescent="0.25">
      <c r="A147" s="3">
        <f ca="1">IFERROR(__xludf.DUMMYFUNCTION("""COMPUTED_VALUE"""),45077.6666666666)</f>
        <v>45077.666666666599</v>
      </c>
      <c r="B147" s="1">
        <f ca="1">IFERROR(__xludf.DUMMYFUNCTION("""COMPUTED_VALUE"""),6.85)</f>
        <v>6.85</v>
      </c>
      <c r="C147">
        <f t="shared" ca="1" si="2"/>
        <v>2023</v>
      </c>
    </row>
    <row r="148" spans="1:3" x14ac:dyDescent="0.25">
      <c r="A148" s="3">
        <f ca="1">IFERROR(__xludf.DUMMYFUNCTION("""COMPUTED_VALUE"""),45076.6666666666)</f>
        <v>45076.666666666599</v>
      </c>
      <c r="B148" s="1">
        <f ca="1">IFERROR(__xludf.DUMMYFUNCTION("""COMPUTED_VALUE"""),7.89)</f>
        <v>7.89</v>
      </c>
      <c r="C148">
        <f t="shared" ca="1" si="2"/>
        <v>2023</v>
      </c>
    </row>
    <row r="149" spans="1:3" x14ac:dyDescent="0.25">
      <c r="A149" s="3">
        <f ca="1">IFERROR(__xludf.DUMMYFUNCTION("""COMPUTED_VALUE"""),45072.6666666666)</f>
        <v>45072.666666666599</v>
      </c>
      <c r="B149" s="1">
        <f ca="1">IFERROR(__xludf.DUMMYFUNCTION("""COMPUTED_VALUE"""),7.5)</f>
        <v>7.5</v>
      </c>
      <c r="C149">
        <f t="shared" ca="1" si="2"/>
        <v>2023</v>
      </c>
    </row>
    <row r="150" spans="1:3" x14ac:dyDescent="0.25">
      <c r="A150" s="3">
        <f ca="1">IFERROR(__xludf.DUMMYFUNCTION("""COMPUTED_VALUE"""),45071.6666666666)</f>
        <v>45071.666666666599</v>
      </c>
      <c r="B150" s="1">
        <f ca="1">IFERROR(__xludf.DUMMYFUNCTION("""COMPUTED_VALUE"""),7.46)</f>
        <v>7.46</v>
      </c>
      <c r="C150">
        <f t="shared" ca="1" si="2"/>
        <v>2023</v>
      </c>
    </row>
    <row r="151" spans="1:3" x14ac:dyDescent="0.25">
      <c r="A151" s="3">
        <f ca="1">IFERROR(__xludf.DUMMYFUNCTION("""COMPUTED_VALUE"""),45070.6666666666)</f>
        <v>45070.666666666599</v>
      </c>
      <c r="B151" s="1">
        <f ca="1">IFERROR(__xludf.DUMMYFUNCTION("""COMPUTED_VALUE"""),7.93)</f>
        <v>7.93</v>
      </c>
      <c r="C151">
        <f t="shared" ca="1" si="2"/>
        <v>2023</v>
      </c>
    </row>
    <row r="152" spans="1:3" x14ac:dyDescent="0.25">
      <c r="A152" s="3">
        <f ca="1">IFERROR(__xludf.DUMMYFUNCTION("""COMPUTED_VALUE"""),45069.6666666666)</f>
        <v>45069.666666666599</v>
      </c>
      <c r="B152" s="1">
        <f ca="1">IFERROR(__xludf.DUMMYFUNCTION("""COMPUTED_VALUE"""),8.14)</f>
        <v>8.14</v>
      </c>
      <c r="C152">
        <f t="shared" ca="1" si="2"/>
        <v>2023</v>
      </c>
    </row>
    <row r="153" spans="1:3" x14ac:dyDescent="0.25">
      <c r="A153" s="3">
        <f ca="1">IFERROR(__xludf.DUMMYFUNCTION("""COMPUTED_VALUE"""),45068.6666666666)</f>
        <v>45068.666666666599</v>
      </c>
      <c r="B153" s="1">
        <f ca="1">IFERROR(__xludf.DUMMYFUNCTION("""COMPUTED_VALUE"""),8.37)</f>
        <v>8.3699999999999992</v>
      </c>
      <c r="C153">
        <f t="shared" ca="1" si="2"/>
        <v>2023</v>
      </c>
    </row>
    <row r="154" spans="1:3" x14ac:dyDescent="0.25">
      <c r="A154" s="3">
        <f ca="1">IFERROR(__xludf.DUMMYFUNCTION("""COMPUTED_VALUE"""),45065.6666666666)</f>
        <v>45065.666666666599</v>
      </c>
      <c r="B154" s="1">
        <f ca="1">IFERROR(__xludf.DUMMYFUNCTION("""COMPUTED_VALUE"""),8.4)</f>
        <v>8.4</v>
      </c>
      <c r="C154">
        <f t="shared" ca="1" si="2"/>
        <v>2023</v>
      </c>
    </row>
    <row r="155" spans="1:3" x14ac:dyDescent="0.25">
      <c r="A155" s="3">
        <f ca="1">IFERROR(__xludf.DUMMYFUNCTION("""COMPUTED_VALUE"""),45064.6666666666)</f>
        <v>45064.666666666599</v>
      </c>
      <c r="B155" s="1">
        <f ca="1">IFERROR(__xludf.DUMMYFUNCTION("""COMPUTED_VALUE"""),10.52)</f>
        <v>10.52</v>
      </c>
      <c r="C155">
        <f t="shared" ca="1" si="2"/>
        <v>2023</v>
      </c>
    </row>
    <row r="156" spans="1:3" x14ac:dyDescent="0.25">
      <c r="A156" s="3">
        <f ca="1">IFERROR(__xludf.DUMMYFUNCTION("""COMPUTED_VALUE"""),45063.6666666666)</f>
        <v>45063.666666666599</v>
      </c>
      <c r="B156" s="1">
        <f ca="1">IFERROR(__xludf.DUMMYFUNCTION("""COMPUTED_VALUE"""),10.54)</f>
        <v>10.54</v>
      </c>
      <c r="C156">
        <f t="shared" ca="1" si="2"/>
        <v>2023</v>
      </c>
    </row>
    <row r="157" spans="1:3" x14ac:dyDescent="0.25">
      <c r="A157" s="3">
        <f ca="1">IFERROR(__xludf.DUMMYFUNCTION("""COMPUTED_VALUE"""),45062.6666666666)</f>
        <v>45062.666666666599</v>
      </c>
      <c r="B157" s="1">
        <f ca="1">IFERROR(__xludf.DUMMYFUNCTION("""COMPUTED_VALUE"""),14)</f>
        <v>14</v>
      </c>
      <c r="C157">
        <f t="shared" ca="1" si="2"/>
        <v>2023</v>
      </c>
    </row>
    <row r="158" spans="1:3" x14ac:dyDescent="0.25">
      <c r="A158" s="3">
        <f ca="1">IFERROR(__xludf.DUMMYFUNCTION("""COMPUTED_VALUE"""),45061.6666666666)</f>
        <v>45061.666666666599</v>
      </c>
      <c r="B158" s="1">
        <f ca="1">IFERROR(__xludf.DUMMYFUNCTION("""COMPUTED_VALUE"""),15.13)</f>
        <v>15.13</v>
      </c>
      <c r="C158">
        <f t="shared" ca="1" si="2"/>
        <v>2023</v>
      </c>
    </row>
    <row r="159" spans="1:3" x14ac:dyDescent="0.25">
      <c r="A159" s="3">
        <f ca="1">IFERROR(__xludf.DUMMYFUNCTION("""COMPUTED_VALUE"""),45058.6666666666)</f>
        <v>45058.666666666599</v>
      </c>
      <c r="B159" s="1">
        <f ca="1">IFERROR(__xludf.DUMMYFUNCTION("""COMPUTED_VALUE"""),15)</f>
        <v>15</v>
      </c>
      <c r="C159">
        <f t="shared" ca="1" si="2"/>
        <v>2023</v>
      </c>
    </row>
    <row r="160" spans="1:3" x14ac:dyDescent="0.25">
      <c r="A160" s="3">
        <f ca="1">IFERROR(__xludf.DUMMYFUNCTION("""COMPUTED_VALUE"""),45057.6666666666)</f>
        <v>45057.666666666599</v>
      </c>
      <c r="B160" s="1">
        <f ca="1">IFERROR(__xludf.DUMMYFUNCTION("""COMPUTED_VALUE"""),16)</f>
        <v>16</v>
      </c>
      <c r="C160">
        <f t="shared" ca="1" si="2"/>
        <v>2023</v>
      </c>
    </row>
    <row r="161" spans="1:3" x14ac:dyDescent="0.25">
      <c r="A161" s="3">
        <f ca="1">IFERROR(__xludf.DUMMYFUNCTION("""COMPUTED_VALUE"""),45056.6666666666)</f>
        <v>45056.666666666599</v>
      </c>
      <c r="B161" s="1">
        <f ca="1">IFERROR(__xludf.DUMMYFUNCTION("""COMPUTED_VALUE"""),15.78)</f>
        <v>15.78</v>
      </c>
      <c r="C161">
        <f t="shared" ca="1" si="2"/>
        <v>2023</v>
      </c>
    </row>
    <row r="162" spans="1:3" x14ac:dyDescent="0.25">
      <c r="A162" s="3">
        <f ca="1">IFERROR(__xludf.DUMMYFUNCTION("""COMPUTED_VALUE"""),45055.6666666666)</f>
        <v>45055.666666666599</v>
      </c>
      <c r="B162" s="1">
        <f ca="1">IFERROR(__xludf.DUMMYFUNCTION("""COMPUTED_VALUE"""),17.33)</f>
        <v>17.329999999999998</v>
      </c>
      <c r="C162">
        <f t="shared" ca="1" si="2"/>
        <v>2023</v>
      </c>
    </row>
    <row r="163" spans="1:3" x14ac:dyDescent="0.25">
      <c r="A163" s="3">
        <f ca="1">IFERROR(__xludf.DUMMYFUNCTION("""COMPUTED_VALUE"""),45054.6666666666)</f>
        <v>45054.666666666599</v>
      </c>
      <c r="B163" s="1">
        <f ca="1">IFERROR(__xludf.DUMMYFUNCTION("""COMPUTED_VALUE"""),18.23)</f>
        <v>18.23</v>
      </c>
      <c r="C163">
        <f t="shared" ca="1" si="2"/>
        <v>2023</v>
      </c>
    </row>
    <row r="164" spans="1:3" x14ac:dyDescent="0.25">
      <c r="A164" s="3">
        <f ca="1">IFERROR(__xludf.DUMMYFUNCTION("""COMPUTED_VALUE"""),45051.6666666666)</f>
        <v>45051.666666666599</v>
      </c>
      <c r="B164" s="1">
        <f ca="1">IFERROR(__xludf.DUMMYFUNCTION("""COMPUTED_VALUE"""),17.75)</f>
        <v>17.75</v>
      </c>
      <c r="C164">
        <f t="shared" ca="1" si="2"/>
        <v>2023</v>
      </c>
    </row>
    <row r="165" spans="1:3" x14ac:dyDescent="0.25">
      <c r="A165" s="3">
        <f ca="1">IFERROR(__xludf.DUMMYFUNCTION("""COMPUTED_VALUE"""),45050.6666666666)</f>
        <v>45050.666666666599</v>
      </c>
      <c r="B165" s="1">
        <f ca="1">IFERROR(__xludf.DUMMYFUNCTION("""COMPUTED_VALUE"""),15.94)</f>
        <v>15.94</v>
      </c>
      <c r="C165">
        <f t="shared" ca="1" si="2"/>
        <v>2023</v>
      </c>
    </row>
    <row r="166" spans="1:3" x14ac:dyDescent="0.25">
      <c r="A166" s="3">
        <f ca="1">IFERROR(__xludf.DUMMYFUNCTION("""COMPUTED_VALUE"""),45049.6666666666)</f>
        <v>45049.666666666599</v>
      </c>
      <c r="B166" s="1">
        <f ca="1">IFERROR(__xludf.DUMMYFUNCTION("""COMPUTED_VALUE"""),16)</f>
        <v>16</v>
      </c>
      <c r="C166">
        <f t="shared" ca="1" si="2"/>
        <v>2023</v>
      </c>
    </row>
    <row r="167" spans="1:3" x14ac:dyDescent="0.25">
      <c r="A167" s="3">
        <f ca="1">IFERROR(__xludf.DUMMYFUNCTION("""COMPUTED_VALUE"""),45048.6666666666)</f>
        <v>45048.666666666599</v>
      </c>
      <c r="B167" s="1">
        <f ca="1">IFERROR(__xludf.DUMMYFUNCTION("""COMPUTED_VALUE"""),16.74)</f>
        <v>16.739999999999998</v>
      </c>
      <c r="C167">
        <f t="shared" ca="1" si="2"/>
        <v>2023</v>
      </c>
    </row>
    <row r="168" spans="1:3" x14ac:dyDescent="0.25">
      <c r="A168" s="3">
        <f ca="1">IFERROR(__xludf.DUMMYFUNCTION("""COMPUTED_VALUE"""),45047.6666666666)</f>
        <v>45047.666666666599</v>
      </c>
      <c r="B168" s="1">
        <f ca="1">IFERROR(__xludf.DUMMYFUNCTION("""COMPUTED_VALUE"""),16.01)</f>
        <v>16.010000000000002</v>
      </c>
      <c r="C168">
        <f t="shared" ca="1" si="2"/>
        <v>2023</v>
      </c>
    </row>
    <row r="169" spans="1:3" x14ac:dyDescent="0.25">
      <c r="A169" s="3">
        <f ca="1">IFERROR(__xludf.DUMMYFUNCTION("""COMPUTED_VALUE"""),45044.6666666666)</f>
        <v>45044.666666666599</v>
      </c>
      <c r="B169" s="1">
        <f ca="1">IFERROR(__xludf.DUMMYFUNCTION("""COMPUTED_VALUE"""),16.86)</f>
        <v>16.86</v>
      </c>
      <c r="C169">
        <f t="shared" ca="1" si="2"/>
        <v>2023</v>
      </c>
    </row>
    <row r="170" spans="1:3" x14ac:dyDescent="0.25">
      <c r="A170" s="3">
        <f ca="1">IFERROR(__xludf.DUMMYFUNCTION("""COMPUTED_VALUE"""),45043.6666666666)</f>
        <v>45043.666666666599</v>
      </c>
      <c r="B170" s="1">
        <f ca="1">IFERROR(__xludf.DUMMYFUNCTION("""COMPUTED_VALUE"""),17.55)</f>
        <v>17.55</v>
      </c>
      <c r="C170">
        <f t="shared" ca="1" si="2"/>
        <v>2023</v>
      </c>
    </row>
    <row r="171" spans="1:3" x14ac:dyDescent="0.25">
      <c r="A171" s="3">
        <f ca="1">IFERROR(__xludf.DUMMYFUNCTION("""COMPUTED_VALUE"""),45042.6666666666)</f>
        <v>45042.666666666599</v>
      </c>
      <c r="B171" s="1">
        <f ca="1">IFERROR(__xludf.DUMMYFUNCTION("""COMPUTED_VALUE"""),16.39)</f>
        <v>16.39</v>
      </c>
      <c r="C171">
        <f t="shared" ca="1" si="2"/>
        <v>2023</v>
      </c>
    </row>
    <row r="172" spans="1:3" x14ac:dyDescent="0.25">
      <c r="A172" s="3">
        <f ca="1">IFERROR(__xludf.DUMMYFUNCTION("""COMPUTED_VALUE"""),45041.6666666666)</f>
        <v>45041.666666666599</v>
      </c>
      <c r="B172" s="1">
        <f ca="1">IFERROR(__xludf.DUMMYFUNCTION("""COMPUTED_VALUE"""),17.6)</f>
        <v>17.600000000000001</v>
      </c>
      <c r="C172">
        <f t="shared" ca="1" si="2"/>
        <v>2023</v>
      </c>
    </row>
    <row r="173" spans="1:3" x14ac:dyDescent="0.25">
      <c r="A173" s="3">
        <f ca="1">IFERROR(__xludf.DUMMYFUNCTION("""COMPUTED_VALUE"""),45040.6666666666)</f>
        <v>45040.666666666599</v>
      </c>
      <c r="B173" s="1">
        <f ca="1">IFERROR(__xludf.DUMMYFUNCTION("""COMPUTED_VALUE"""),18.86)</f>
        <v>18.86</v>
      </c>
      <c r="C173">
        <f t="shared" ca="1" si="2"/>
        <v>2023</v>
      </c>
    </row>
    <row r="174" spans="1:3" x14ac:dyDescent="0.25">
      <c r="A174" s="3">
        <f ca="1">IFERROR(__xludf.DUMMYFUNCTION("""COMPUTED_VALUE"""),45037.6666666666)</f>
        <v>45037.666666666599</v>
      </c>
      <c r="B174" s="1">
        <f ca="1">IFERROR(__xludf.DUMMYFUNCTION("""COMPUTED_VALUE"""),18)</f>
        <v>18</v>
      </c>
      <c r="C174">
        <f t="shared" ca="1" si="2"/>
        <v>2023</v>
      </c>
    </row>
    <row r="175" spans="1:3" x14ac:dyDescent="0.25">
      <c r="A175" s="3">
        <f ca="1">IFERROR(__xludf.DUMMYFUNCTION("""COMPUTED_VALUE"""),45036.6666666666)</f>
        <v>45036.666666666599</v>
      </c>
      <c r="B175" s="1">
        <f ca="1">IFERROR(__xludf.DUMMYFUNCTION("""COMPUTED_VALUE"""),19.11)</f>
        <v>19.11</v>
      </c>
      <c r="C175">
        <f t="shared" ca="1" si="2"/>
        <v>2023</v>
      </c>
    </row>
    <row r="176" spans="1:3" x14ac:dyDescent="0.25">
      <c r="A176" s="3">
        <f ca="1">IFERROR(__xludf.DUMMYFUNCTION("""COMPUTED_VALUE"""),45035.6666666666)</f>
        <v>45035.666666666599</v>
      </c>
      <c r="B176" s="1">
        <f ca="1">IFERROR(__xludf.DUMMYFUNCTION("""COMPUTED_VALUE"""),18.4)</f>
        <v>18.399999999999999</v>
      </c>
      <c r="C176">
        <f t="shared" ca="1" si="2"/>
        <v>2023</v>
      </c>
    </row>
    <row r="177" spans="1:3" x14ac:dyDescent="0.25">
      <c r="A177" s="3">
        <f ca="1">IFERROR(__xludf.DUMMYFUNCTION("""COMPUTED_VALUE"""),45034.6666666666)</f>
        <v>45034.666666666599</v>
      </c>
      <c r="B177" s="1">
        <f ca="1">IFERROR(__xludf.DUMMYFUNCTION("""COMPUTED_VALUE"""),19.74)</f>
        <v>19.739999999999998</v>
      </c>
      <c r="C177">
        <f t="shared" ca="1" si="2"/>
        <v>2023</v>
      </c>
    </row>
    <row r="178" spans="1:3" x14ac:dyDescent="0.25">
      <c r="A178" s="3">
        <f ca="1">IFERROR(__xludf.DUMMYFUNCTION("""COMPUTED_VALUE"""),45033.6666666666)</f>
        <v>45033.666666666599</v>
      </c>
      <c r="B178" s="1">
        <f ca="1">IFERROR(__xludf.DUMMYFUNCTION("""COMPUTED_VALUE"""),19.48)</f>
        <v>19.48</v>
      </c>
      <c r="C178">
        <f t="shared" ca="1" si="2"/>
        <v>2023</v>
      </c>
    </row>
    <row r="179" spans="1:3" x14ac:dyDescent="0.25">
      <c r="A179" s="3">
        <f ca="1">IFERROR(__xludf.DUMMYFUNCTION("""COMPUTED_VALUE"""),45030.6666666666)</f>
        <v>45030.666666666599</v>
      </c>
      <c r="B179" s="1">
        <f ca="1">IFERROR(__xludf.DUMMYFUNCTION("""COMPUTED_VALUE"""),19.99)</f>
        <v>19.989999999999998</v>
      </c>
      <c r="C179">
        <f t="shared" ca="1" si="2"/>
        <v>2023</v>
      </c>
    </row>
    <row r="180" spans="1:3" x14ac:dyDescent="0.25">
      <c r="A180" s="3">
        <f ca="1">IFERROR(__xludf.DUMMYFUNCTION("""COMPUTED_VALUE"""),45029.6666666666)</f>
        <v>45029.666666666599</v>
      </c>
      <c r="B180" s="1">
        <f ca="1">IFERROR(__xludf.DUMMYFUNCTION("""COMPUTED_VALUE"""),21.04)</f>
        <v>21.04</v>
      </c>
      <c r="C180">
        <f t="shared" ca="1" si="2"/>
        <v>2023</v>
      </c>
    </row>
    <row r="181" spans="1:3" x14ac:dyDescent="0.25">
      <c r="A181" s="3">
        <f ca="1">IFERROR(__xludf.DUMMYFUNCTION("""COMPUTED_VALUE"""),45028.6666666666)</f>
        <v>45028.666666666599</v>
      </c>
      <c r="B181" s="1">
        <f ca="1">IFERROR(__xludf.DUMMYFUNCTION("""COMPUTED_VALUE"""),19.36)</f>
        <v>19.36</v>
      </c>
      <c r="C181">
        <f t="shared" ca="1" si="2"/>
        <v>2023</v>
      </c>
    </row>
    <row r="182" spans="1:3" x14ac:dyDescent="0.25">
      <c r="A182" s="3">
        <f ca="1">IFERROR(__xludf.DUMMYFUNCTION("""COMPUTED_VALUE"""),45027.6666666666)</f>
        <v>45027.666666666599</v>
      </c>
      <c r="B182" s="1">
        <f ca="1">IFERROR(__xludf.DUMMYFUNCTION("""COMPUTED_VALUE"""),22.36)</f>
        <v>22.36</v>
      </c>
      <c r="C182">
        <f t="shared" ca="1" si="2"/>
        <v>2023</v>
      </c>
    </row>
    <row r="183" spans="1:3" x14ac:dyDescent="0.25">
      <c r="A183" s="3">
        <f ca="1">IFERROR(__xludf.DUMMYFUNCTION("""COMPUTED_VALUE"""),45026.6666666666)</f>
        <v>45026.666666666599</v>
      </c>
      <c r="B183" s="1">
        <f ca="1">IFERROR(__xludf.DUMMYFUNCTION("""COMPUTED_VALUE"""),23.72)</f>
        <v>23.72</v>
      </c>
      <c r="C183">
        <f t="shared" ca="1" si="2"/>
        <v>2023</v>
      </c>
    </row>
    <row r="184" spans="1:3" x14ac:dyDescent="0.25">
      <c r="A184" s="3">
        <f ca="1">IFERROR(__xludf.DUMMYFUNCTION("""COMPUTED_VALUE"""),45022.6666666666)</f>
        <v>45022.666666666599</v>
      </c>
      <c r="B184" s="1">
        <f ca="1">IFERROR(__xludf.DUMMYFUNCTION("""COMPUTED_VALUE"""),26.1)</f>
        <v>26.1</v>
      </c>
      <c r="C184">
        <f t="shared" ca="1" si="2"/>
        <v>2023</v>
      </c>
    </row>
    <row r="185" spans="1:3" x14ac:dyDescent="0.25">
      <c r="A185" s="3">
        <f ca="1">IFERROR(__xludf.DUMMYFUNCTION("""COMPUTED_VALUE"""),45021.6666666666)</f>
        <v>45021.666666666599</v>
      </c>
      <c r="B185" s="1">
        <f ca="1">IFERROR(__xludf.DUMMYFUNCTION("""COMPUTED_VALUE"""),26.8)</f>
        <v>26.8</v>
      </c>
      <c r="C185">
        <f t="shared" ca="1" si="2"/>
        <v>2023</v>
      </c>
    </row>
    <row r="186" spans="1:3" x14ac:dyDescent="0.25">
      <c r="A186" s="3">
        <f ca="1">IFERROR(__xludf.DUMMYFUNCTION("""COMPUTED_VALUE"""),45020.6666666666)</f>
        <v>45020.666666666599</v>
      </c>
      <c r="B186" s="1">
        <f ca="1">IFERROR(__xludf.DUMMYFUNCTION("""COMPUTED_VALUE"""),27.49)</f>
        <v>27.49</v>
      </c>
      <c r="C186">
        <f t="shared" ca="1" si="2"/>
        <v>2023</v>
      </c>
    </row>
    <row r="187" spans="1:3" x14ac:dyDescent="0.25">
      <c r="A187" s="3">
        <f ca="1">IFERROR(__xludf.DUMMYFUNCTION("""COMPUTED_VALUE"""),45019.6666666666)</f>
        <v>45019.666666666599</v>
      </c>
      <c r="B187" s="1">
        <f ca="1">IFERROR(__xludf.DUMMYFUNCTION("""COMPUTED_VALUE"""),30.84)</f>
        <v>30.84</v>
      </c>
      <c r="C187">
        <f t="shared" ca="1" si="2"/>
        <v>2023</v>
      </c>
    </row>
    <row r="188" spans="1:3" x14ac:dyDescent="0.25">
      <c r="A188" s="3">
        <f ca="1">IFERROR(__xludf.DUMMYFUNCTION("""COMPUTED_VALUE"""),45016.6666666666)</f>
        <v>45016.666666666599</v>
      </c>
      <c r="B188" s="1">
        <f ca="1">IFERROR(__xludf.DUMMYFUNCTION("""COMPUTED_VALUE"""),31.09)</f>
        <v>31.09</v>
      </c>
      <c r="C188">
        <f t="shared" ca="1" si="2"/>
        <v>2023</v>
      </c>
    </row>
    <row r="189" spans="1:3" x14ac:dyDescent="0.25">
      <c r="A189" s="3">
        <f ca="1">IFERROR(__xludf.DUMMYFUNCTION("""COMPUTED_VALUE"""),45015.6666666666)</f>
        <v>45015.666666666599</v>
      </c>
      <c r="B189" s="1">
        <f ca="1">IFERROR(__xludf.DUMMYFUNCTION("""COMPUTED_VALUE"""),30.98)</f>
        <v>30.98</v>
      </c>
      <c r="C189">
        <f t="shared" ca="1" si="2"/>
        <v>2023</v>
      </c>
    </row>
    <row r="190" spans="1:3" x14ac:dyDescent="0.25">
      <c r="A190" s="3">
        <f ca="1">IFERROR(__xludf.DUMMYFUNCTION("""COMPUTED_VALUE"""),45014.6666666666)</f>
        <v>45014.666666666599</v>
      </c>
      <c r="B190" s="1">
        <f ca="1">IFERROR(__xludf.DUMMYFUNCTION("""COMPUTED_VALUE"""),30)</f>
        <v>30</v>
      </c>
      <c r="C190">
        <f t="shared" ca="1" si="2"/>
        <v>2023</v>
      </c>
    </row>
    <row r="191" spans="1:3" x14ac:dyDescent="0.25">
      <c r="A191" s="3">
        <f ca="1">IFERROR(__xludf.DUMMYFUNCTION("""COMPUTED_VALUE"""),45013.6666666666)</f>
        <v>45013.666666666599</v>
      </c>
      <c r="B191" s="1">
        <f ca="1">IFERROR(__xludf.DUMMYFUNCTION("""COMPUTED_VALUE"""),28)</f>
        <v>28</v>
      </c>
      <c r="C191">
        <f t="shared" ca="1" si="2"/>
        <v>2023</v>
      </c>
    </row>
    <row r="192" spans="1:3" x14ac:dyDescent="0.25">
      <c r="A192" s="3">
        <f ca="1">IFERROR(__xludf.DUMMYFUNCTION("""COMPUTED_VALUE"""),45012.6666666666)</f>
        <v>45012.666666666599</v>
      </c>
      <c r="B192" s="1">
        <f ca="1">IFERROR(__xludf.DUMMYFUNCTION("""COMPUTED_VALUE"""),30.58)</f>
        <v>30.58</v>
      </c>
      <c r="C192">
        <f t="shared" ca="1" si="2"/>
        <v>2023</v>
      </c>
    </row>
    <row r="193" spans="1:3" x14ac:dyDescent="0.25">
      <c r="A193" s="3">
        <f ca="1">IFERROR(__xludf.DUMMYFUNCTION("""COMPUTED_VALUE"""),45009.6666666666)</f>
        <v>45009.666666666599</v>
      </c>
      <c r="B193" s="1">
        <f ca="1">IFERROR(__xludf.DUMMYFUNCTION("""COMPUTED_VALUE"""),32.4)</f>
        <v>32.4</v>
      </c>
      <c r="C193">
        <f t="shared" ca="1" si="2"/>
        <v>2023</v>
      </c>
    </row>
    <row r="194" spans="1:3" x14ac:dyDescent="0.25">
      <c r="A194" s="3">
        <f ca="1">IFERROR(__xludf.DUMMYFUNCTION("""COMPUTED_VALUE"""),45008.6666666666)</f>
        <v>45008.666666666599</v>
      </c>
      <c r="B194" s="1">
        <f ca="1">IFERROR(__xludf.DUMMYFUNCTION("""COMPUTED_VALUE"""),34)</f>
        <v>34</v>
      </c>
      <c r="C194">
        <f t="shared" ref="C194:C257" ca="1" si="3">YEAR(A194)</f>
        <v>2023</v>
      </c>
    </row>
    <row r="195" spans="1:3" x14ac:dyDescent="0.25">
      <c r="A195" s="3">
        <f ca="1">IFERROR(__xludf.DUMMYFUNCTION("""COMPUTED_VALUE"""),45007.6666666666)</f>
        <v>45007.666666666599</v>
      </c>
      <c r="B195" s="1">
        <f ca="1">IFERROR(__xludf.DUMMYFUNCTION("""COMPUTED_VALUE"""),37.94)</f>
        <v>37.94</v>
      </c>
      <c r="C195">
        <f t="shared" ca="1" si="3"/>
        <v>2023</v>
      </c>
    </row>
    <row r="196" spans="1:3" x14ac:dyDescent="0.25">
      <c r="A196" s="3">
        <f ca="1">IFERROR(__xludf.DUMMYFUNCTION("""COMPUTED_VALUE"""),45006.6666666666)</f>
        <v>45006.666666666599</v>
      </c>
      <c r="B196" s="1">
        <f ca="1">IFERROR(__xludf.DUMMYFUNCTION("""COMPUTED_VALUE"""),42.8)</f>
        <v>42.8</v>
      </c>
      <c r="C196">
        <f t="shared" ca="1" si="3"/>
        <v>2023</v>
      </c>
    </row>
    <row r="197" spans="1:3" x14ac:dyDescent="0.25">
      <c r="A197" s="3">
        <f ca="1">IFERROR(__xludf.DUMMYFUNCTION("""COMPUTED_VALUE"""),45005.6666666666)</f>
        <v>45005.666666666599</v>
      </c>
      <c r="B197" s="1">
        <f ca="1">IFERROR(__xludf.DUMMYFUNCTION("""COMPUTED_VALUE"""),38.81)</f>
        <v>38.81</v>
      </c>
      <c r="C197">
        <f t="shared" ca="1" si="3"/>
        <v>2023</v>
      </c>
    </row>
    <row r="198" spans="1:3" x14ac:dyDescent="0.25">
      <c r="A198" s="3">
        <f ca="1">IFERROR(__xludf.DUMMYFUNCTION("""COMPUTED_VALUE"""),45002.6666666666)</f>
        <v>45002.666666666599</v>
      </c>
      <c r="B198" s="1">
        <f ca="1">IFERROR(__xludf.DUMMYFUNCTION("""COMPUTED_VALUE"""),39.19)</f>
        <v>39.19</v>
      </c>
      <c r="C198">
        <f t="shared" ca="1" si="3"/>
        <v>2023</v>
      </c>
    </row>
    <row r="199" spans="1:3" x14ac:dyDescent="0.25">
      <c r="A199" s="3">
        <f ca="1">IFERROR(__xludf.DUMMYFUNCTION("""COMPUTED_VALUE"""),45001.6666666666)</f>
        <v>45001.666666666599</v>
      </c>
      <c r="B199" s="1">
        <f ca="1">IFERROR(__xludf.DUMMYFUNCTION("""COMPUTED_VALUE"""),39.1)</f>
        <v>39.1</v>
      </c>
      <c r="C199">
        <f t="shared" ca="1" si="3"/>
        <v>2023</v>
      </c>
    </row>
    <row r="200" spans="1:3" x14ac:dyDescent="0.25">
      <c r="A200" s="3">
        <f ca="1">IFERROR(__xludf.DUMMYFUNCTION("""COMPUTED_VALUE"""),45000.6666666666)</f>
        <v>45000.666666666599</v>
      </c>
      <c r="B200" s="1">
        <f ca="1">IFERROR(__xludf.DUMMYFUNCTION("""COMPUTED_VALUE"""),34.54)</f>
        <v>34.54</v>
      </c>
      <c r="C200">
        <f t="shared" ca="1" si="3"/>
        <v>2023</v>
      </c>
    </row>
    <row r="201" spans="1:3" x14ac:dyDescent="0.25">
      <c r="A201" s="3">
        <f ca="1">IFERROR(__xludf.DUMMYFUNCTION("""COMPUTED_VALUE"""),44999.6666666666)</f>
        <v>44999.666666666599</v>
      </c>
      <c r="B201" s="1">
        <f ca="1">IFERROR(__xludf.DUMMYFUNCTION("""COMPUTED_VALUE"""),36.38)</f>
        <v>36.380000000000003</v>
      </c>
      <c r="C201">
        <f t="shared" ca="1" si="3"/>
        <v>2023</v>
      </c>
    </row>
    <row r="202" spans="1:3" x14ac:dyDescent="0.25">
      <c r="A202" s="3">
        <f ca="1">IFERROR(__xludf.DUMMYFUNCTION("""COMPUTED_VALUE"""),44998.6666666666)</f>
        <v>44998.666666666599</v>
      </c>
      <c r="B202" s="1">
        <f ca="1">IFERROR(__xludf.DUMMYFUNCTION("""COMPUTED_VALUE"""),36.61)</f>
        <v>36.61</v>
      </c>
      <c r="C202">
        <f t="shared" ca="1" si="3"/>
        <v>2023</v>
      </c>
    </row>
    <row r="203" spans="1:3" x14ac:dyDescent="0.25">
      <c r="A203" s="3">
        <f ca="1">IFERROR(__xludf.DUMMYFUNCTION("""COMPUTED_VALUE"""),44995.6666666666)</f>
        <v>44995.666666666599</v>
      </c>
      <c r="B203" s="1">
        <f ca="1">IFERROR(__xludf.DUMMYFUNCTION("""COMPUTED_VALUE"""),37.52)</f>
        <v>37.520000000000003</v>
      </c>
      <c r="C203">
        <f t="shared" ca="1" si="3"/>
        <v>2023</v>
      </c>
    </row>
    <row r="204" spans="1:3" x14ac:dyDescent="0.25">
      <c r="A204" s="3">
        <f ca="1">IFERROR(__xludf.DUMMYFUNCTION("""COMPUTED_VALUE"""),44994.6666666666)</f>
        <v>44994.666666666599</v>
      </c>
      <c r="B204" s="1">
        <f ca="1">IFERROR(__xludf.DUMMYFUNCTION("""COMPUTED_VALUE"""),43.6)</f>
        <v>43.6</v>
      </c>
      <c r="C204">
        <f t="shared" ca="1" si="3"/>
        <v>2023</v>
      </c>
    </row>
    <row r="205" spans="1:3" x14ac:dyDescent="0.25">
      <c r="A205" s="3">
        <f ca="1">IFERROR(__xludf.DUMMYFUNCTION("""COMPUTED_VALUE"""),44993.6666666666)</f>
        <v>44993.666666666599</v>
      </c>
      <c r="B205" s="1">
        <f ca="1">IFERROR(__xludf.DUMMYFUNCTION("""COMPUTED_VALUE"""),47.6)</f>
        <v>47.6</v>
      </c>
      <c r="C205">
        <f t="shared" ca="1" si="3"/>
        <v>2023</v>
      </c>
    </row>
    <row r="206" spans="1:3" x14ac:dyDescent="0.25">
      <c r="A206" s="3">
        <f ca="1">IFERROR(__xludf.DUMMYFUNCTION("""COMPUTED_VALUE"""),44992.6666666666)</f>
        <v>44992.666666666599</v>
      </c>
      <c r="B206" s="1">
        <f ca="1">IFERROR(__xludf.DUMMYFUNCTION("""COMPUTED_VALUE"""),45.6)</f>
        <v>45.6</v>
      </c>
      <c r="C206">
        <f t="shared" ca="1" si="3"/>
        <v>2023</v>
      </c>
    </row>
    <row r="207" spans="1:3" x14ac:dyDescent="0.25">
      <c r="A207" s="3">
        <f ca="1">IFERROR(__xludf.DUMMYFUNCTION("""COMPUTED_VALUE"""),44991.6666666666)</f>
        <v>44991.666666666599</v>
      </c>
      <c r="B207" s="1">
        <f ca="1">IFERROR(__xludf.DUMMYFUNCTION("""COMPUTED_VALUE"""),46)</f>
        <v>46</v>
      </c>
      <c r="C207">
        <f t="shared" ca="1" si="3"/>
        <v>2023</v>
      </c>
    </row>
    <row r="208" spans="1:3" x14ac:dyDescent="0.25">
      <c r="A208" s="3">
        <f ca="1">IFERROR(__xludf.DUMMYFUNCTION("""COMPUTED_VALUE"""),44988.6666666666)</f>
        <v>44988.666666666599</v>
      </c>
      <c r="B208" s="1">
        <f ca="1">IFERROR(__xludf.DUMMYFUNCTION("""COMPUTED_VALUE"""),46.4)</f>
        <v>46.4</v>
      </c>
      <c r="C208">
        <f t="shared" ca="1" si="3"/>
        <v>2023</v>
      </c>
    </row>
    <row r="209" spans="1:3" x14ac:dyDescent="0.25">
      <c r="A209" s="3">
        <f ca="1">IFERROR(__xludf.DUMMYFUNCTION("""COMPUTED_VALUE"""),44987.6666666666)</f>
        <v>44987.666666666599</v>
      </c>
      <c r="B209" s="1">
        <f ca="1">IFERROR(__xludf.DUMMYFUNCTION("""COMPUTED_VALUE"""),43.6)</f>
        <v>43.6</v>
      </c>
      <c r="C209">
        <f t="shared" ca="1" si="3"/>
        <v>2023</v>
      </c>
    </row>
    <row r="210" spans="1:3" x14ac:dyDescent="0.25">
      <c r="A210" s="3">
        <f ca="1">IFERROR(__xludf.DUMMYFUNCTION("""COMPUTED_VALUE"""),44986.6666666666)</f>
        <v>44986.666666666599</v>
      </c>
      <c r="B210" s="1">
        <f ca="1">IFERROR(__xludf.DUMMYFUNCTION("""COMPUTED_VALUE"""),43.2)</f>
        <v>43.2</v>
      </c>
      <c r="C210">
        <f t="shared" ca="1" si="3"/>
        <v>2023</v>
      </c>
    </row>
    <row r="211" spans="1:3" x14ac:dyDescent="0.25">
      <c r="A211" s="3">
        <f ca="1">IFERROR(__xludf.DUMMYFUNCTION("""COMPUTED_VALUE"""),44985.6666666666)</f>
        <v>44985.666666666599</v>
      </c>
      <c r="B211" s="1">
        <f ca="1">IFERROR(__xludf.DUMMYFUNCTION("""COMPUTED_VALUE"""),46.4)</f>
        <v>46.4</v>
      </c>
      <c r="C211">
        <f t="shared" ca="1" si="3"/>
        <v>2023</v>
      </c>
    </row>
    <row r="212" spans="1:3" x14ac:dyDescent="0.25">
      <c r="A212" s="3">
        <f ca="1">IFERROR(__xludf.DUMMYFUNCTION("""COMPUTED_VALUE"""),44984.6666666666)</f>
        <v>44984.666666666599</v>
      </c>
      <c r="B212" s="1">
        <f ca="1">IFERROR(__xludf.DUMMYFUNCTION("""COMPUTED_VALUE"""),49.2)</f>
        <v>49.2</v>
      </c>
      <c r="C212">
        <f t="shared" ca="1" si="3"/>
        <v>2023</v>
      </c>
    </row>
    <row r="213" spans="1:3" x14ac:dyDescent="0.25">
      <c r="A213" s="3">
        <f ca="1">IFERROR(__xludf.DUMMYFUNCTION("""COMPUTED_VALUE"""),44981.6666666666)</f>
        <v>44981.666666666599</v>
      </c>
      <c r="B213" s="1">
        <f ca="1">IFERROR(__xludf.DUMMYFUNCTION("""COMPUTED_VALUE"""),49.6)</f>
        <v>49.6</v>
      </c>
      <c r="C213">
        <f t="shared" ca="1" si="3"/>
        <v>2023</v>
      </c>
    </row>
    <row r="214" spans="1:3" x14ac:dyDescent="0.25">
      <c r="A214" s="3">
        <f ca="1">IFERROR(__xludf.DUMMYFUNCTION("""COMPUTED_VALUE"""),44980.6666666666)</f>
        <v>44980.666666666599</v>
      </c>
      <c r="B214" s="1">
        <f ca="1">IFERROR(__xludf.DUMMYFUNCTION("""COMPUTED_VALUE"""),56.4)</f>
        <v>56.4</v>
      </c>
      <c r="C214">
        <f t="shared" ca="1" si="3"/>
        <v>2023</v>
      </c>
    </row>
    <row r="215" spans="1:3" x14ac:dyDescent="0.25">
      <c r="A215" s="3">
        <f ca="1">IFERROR(__xludf.DUMMYFUNCTION("""COMPUTED_VALUE"""),44979.6666666666)</f>
        <v>44979.666666666599</v>
      </c>
      <c r="B215" s="1">
        <f ca="1">IFERROR(__xludf.DUMMYFUNCTION("""COMPUTED_VALUE"""),57.2)</f>
        <v>57.2</v>
      </c>
      <c r="C215">
        <f t="shared" ca="1" si="3"/>
        <v>2023</v>
      </c>
    </row>
    <row r="216" spans="1:3" x14ac:dyDescent="0.25">
      <c r="A216" s="3">
        <f ca="1">IFERROR(__xludf.DUMMYFUNCTION("""COMPUTED_VALUE"""),44978.6666666666)</f>
        <v>44978.666666666599</v>
      </c>
      <c r="B216" s="1">
        <f ca="1">IFERROR(__xludf.DUMMYFUNCTION("""COMPUTED_VALUE"""),59.2)</f>
        <v>59.2</v>
      </c>
      <c r="C216">
        <f t="shared" ca="1" si="3"/>
        <v>2023</v>
      </c>
    </row>
    <row r="217" spans="1:3" x14ac:dyDescent="0.25">
      <c r="A217" s="3">
        <f ca="1">IFERROR(__xludf.DUMMYFUNCTION("""COMPUTED_VALUE"""),44974.6666666666)</f>
        <v>44974.666666666599</v>
      </c>
      <c r="B217" s="1">
        <f ca="1">IFERROR(__xludf.DUMMYFUNCTION("""COMPUTED_VALUE"""),62)</f>
        <v>62</v>
      </c>
      <c r="C217">
        <f t="shared" ca="1" si="3"/>
        <v>2023</v>
      </c>
    </row>
    <row r="218" spans="1:3" x14ac:dyDescent="0.25">
      <c r="A218" s="3">
        <f ca="1">IFERROR(__xludf.DUMMYFUNCTION("""COMPUTED_VALUE"""),44973.6666666666)</f>
        <v>44973.666666666599</v>
      </c>
      <c r="B218" s="1">
        <f ca="1">IFERROR(__xludf.DUMMYFUNCTION("""COMPUTED_VALUE"""),67.6)</f>
        <v>67.599999999999994</v>
      </c>
      <c r="C218">
        <f t="shared" ca="1" si="3"/>
        <v>2023</v>
      </c>
    </row>
    <row r="219" spans="1:3" x14ac:dyDescent="0.25">
      <c r="A219" s="3">
        <f ca="1">IFERROR(__xludf.DUMMYFUNCTION("""COMPUTED_VALUE"""),44972.6666666666)</f>
        <v>44972.666666666599</v>
      </c>
      <c r="B219" s="1">
        <f ca="1">IFERROR(__xludf.DUMMYFUNCTION("""COMPUTED_VALUE"""),69.2)</f>
        <v>69.2</v>
      </c>
      <c r="C219">
        <f t="shared" ca="1" si="3"/>
        <v>2023</v>
      </c>
    </row>
    <row r="220" spans="1:3" x14ac:dyDescent="0.25">
      <c r="A220" s="3">
        <f ca="1">IFERROR(__xludf.DUMMYFUNCTION("""COMPUTED_VALUE"""),44971.6666666666)</f>
        <v>44971.666666666599</v>
      </c>
      <c r="B220" s="1">
        <f ca="1">IFERROR(__xludf.DUMMYFUNCTION("""COMPUTED_VALUE"""),62)</f>
        <v>62</v>
      </c>
      <c r="C220">
        <f t="shared" ca="1" si="3"/>
        <v>2023</v>
      </c>
    </row>
    <row r="221" spans="1:3" x14ac:dyDescent="0.25">
      <c r="A221" s="3">
        <f ca="1">IFERROR(__xludf.DUMMYFUNCTION("""COMPUTED_VALUE"""),44970.6666666666)</f>
        <v>44970.666666666599</v>
      </c>
      <c r="B221" s="1">
        <f ca="1">IFERROR(__xludf.DUMMYFUNCTION("""COMPUTED_VALUE"""),63.6)</f>
        <v>63.6</v>
      </c>
      <c r="C221">
        <f t="shared" ca="1" si="3"/>
        <v>2023</v>
      </c>
    </row>
    <row r="222" spans="1:3" x14ac:dyDescent="0.25">
      <c r="A222" s="3">
        <f ca="1">IFERROR(__xludf.DUMMYFUNCTION("""COMPUTED_VALUE"""),44967.6666666666)</f>
        <v>44967.666666666599</v>
      </c>
      <c r="B222" s="1">
        <f ca="1">IFERROR(__xludf.DUMMYFUNCTION("""COMPUTED_VALUE"""),64.4)</f>
        <v>64.400000000000006</v>
      </c>
      <c r="C222">
        <f t="shared" ca="1" si="3"/>
        <v>2023</v>
      </c>
    </row>
    <row r="223" spans="1:3" x14ac:dyDescent="0.25">
      <c r="A223" s="3">
        <f ca="1">IFERROR(__xludf.DUMMYFUNCTION("""COMPUTED_VALUE"""),44966.6666666666)</f>
        <v>44966.666666666599</v>
      </c>
      <c r="B223" s="1">
        <f ca="1">IFERROR(__xludf.DUMMYFUNCTION("""COMPUTED_VALUE"""),65.2)</f>
        <v>65.2</v>
      </c>
      <c r="C223">
        <f t="shared" ca="1" si="3"/>
        <v>2023</v>
      </c>
    </row>
    <row r="224" spans="1:3" x14ac:dyDescent="0.25">
      <c r="A224" s="3">
        <f ca="1">IFERROR(__xludf.DUMMYFUNCTION("""COMPUTED_VALUE"""),44965.6666666666)</f>
        <v>44965.666666666599</v>
      </c>
      <c r="B224" s="1">
        <f ca="1">IFERROR(__xludf.DUMMYFUNCTION("""COMPUTED_VALUE"""),68)</f>
        <v>68</v>
      </c>
      <c r="C224">
        <f t="shared" ca="1" si="3"/>
        <v>2023</v>
      </c>
    </row>
    <row r="225" spans="1:3" x14ac:dyDescent="0.25">
      <c r="A225" s="3">
        <f ca="1">IFERROR(__xludf.DUMMYFUNCTION("""COMPUTED_VALUE"""),44964.6666666666)</f>
        <v>44964.666666666599</v>
      </c>
      <c r="B225" s="1">
        <f ca="1">IFERROR(__xludf.DUMMYFUNCTION("""COMPUTED_VALUE"""),74.8)</f>
        <v>74.8</v>
      </c>
      <c r="C225">
        <f t="shared" ca="1" si="3"/>
        <v>2023</v>
      </c>
    </row>
    <row r="226" spans="1:3" x14ac:dyDescent="0.25">
      <c r="A226" s="3">
        <f ca="1">IFERROR(__xludf.DUMMYFUNCTION("""COMPUTED_VALUE"""),44963.6666666666)</f>
        <v>44963.666666666599</v>
      </c>
      <c r="B226" s="1">
        <f ca="1">IFERROR(__xludf.DUMMYFUNCTION("""COMPUTED_VALUE"""),77.2)</f>
        <v>77.2</v>
      </c>
      <c r="C226">
        <f t="shared" ca="1" si="3"/>
        <v>2023</v>
      </c>
    </row>
    <row r="227" spans="1:3" x14ac:dyDescent="0.25">
      <c r="A227" s="3">
        <f ca="1">IFERROR(__xludf.DUMMYFUNCTION("""COMPUTED_VALUE"""),44960.6666666666)</f>
        <v>44960.666666666599</v>
      </c>
      <c r="B227" s="1">
        <f ca="1">IFERROR(__xludf.DUMMYFUNCTION("""COMPUTED_VALUE"""),83.2)</f>
        <v>83.2</v>
      </c>
      <c r="C227">
        <f t="shared" ca="1" si="3"/>
        <v>2023</v>
      </c>
    </row>
    <row r="228" spans="1:3" x14ac:dyDescent="0.25">
      <c r="A228" s="3">
        <f ca="1">IFERROR(__xludf.DUMMYFUNCTION("""COMPUTED_VALUE"""),44959.6666666666)</f>
        <v>44959.666666666599</v>
      </c>
      <c r="B228" s="1">
        <f ca="1">IFERROR(__xludf.DUMMYFUNCTION("""COMPUTED_VALUE"""),88.8)</f>
        <v>88.8</v>
      </c>
      <c r="C228">
        <f t="shared" ca="1" si="3"/>
        <v>2023</v>
      </c>
    </row>
    <row r="229" spans="1:3" x14ac:dyDescent="0.25">
      <c r="A229" s="3">
        <f ca="1">IFERROR(__xludf.DUMMYFUNCTION("""COMPUTED_VALUE"""),44958.6666666666)</f>
        <v>44958.666666666599</v>
      </c>
      <c r="B229" s="1">
        <f ca="1">IFERROR(__xludf.DUMMYFUNCTION("""COMPUTED_VALUE"""),72)</f>
        <v>72</v>
      </c>
      <c r="C229">
        <f t="shared" ca="1" si="3"/>
        <v>2023</v>
      </c>
    </row>
    <row r="230" spans="1:3" x14ac:dyDescent="0.25">
      <c r="A230" s="3">
        <f ca="1">IFERROR(__xludf.DUMMYFUNCTION("""COMPUTED_VALUE"""),44957.6666666666)</f>
        <v>44957.666666666599</v>
      </c>
      <c r="B230" s="1">
        <f ca="1">IFERROR(__xludf.DUMMYFUNCTION("""COMPUTED_VALUE"""),63.6)</f>
        <v>63.6</v>
      </c>
      <c r="C230">
        <f t="shared" ca="1" si="3"/>
        <v>2023</v>
      </c>
    </row>
    <row r="231" spans="1:3" x14ac:dyDescent="0.25">
      <c r="A231" s="3">
        <f ca="1">IFERROR(__xludf.DUMMYFUNCTION("""COMPUTED_VALUE"""),44956.6666666666)</f>
        <v>44956.666666666599</v>
      </c>
      <c r="B231" s="1">
        <f ca="1">IFERROR(__xludf.DUMMYFUNCTION("""COMPUTED_VALUE"""),62.4)</f>
        <v>62.4</v>
      </c>
      <c r="C231">
        <f t="shared" ca="1" si="3"/>
        <v>2023</v>
      </c>
    </row>
    <row r="232" spans="1:3" x14ac:dyDescent="0.25">
      <c r="A232" s="3">
        <f ca="1">IFERROR(__xludf.DUMMYFUNCTION("""COMPUTED_VALUE"""),44953.6666666666)</f>
        <v>44953.666666666599</v>
      </c>
      <c r="B232" s="1">
        <f ca="1">IFERROR(__xludf.DUMMYFUNCTION("""COMPUTED_VALUE"""),66)</f>
        <v>66</v>
      </c>
      <c r="C232">
        <f t="shared" ca="1" si="3"/>
        <v>2023</v>
      </c>
    </row>
    <row r="233" spans="1:3" x14ac:dyDescent="0.25">
      <c r="A233" s="3">
        <f ca="1">IFERROR(__xludf.DUMMYFUNCTION("""COMPUTED_VALUE"""),44952.6666666666)</f>
        <v>44952.666666666599</v>
      </c>
      <c r="B233" s="1">
        <f ca="1">IFERROR(__xludf.DUMMYFUNCTION("""COMPUTED_VALUE"""),60.4)</f>
        <v>60.4</v>
      </c>
      <c r="C233">
        <f t="shared" ca="1" si="3"/>
        <v>2023</v>
      </c>
    </row>
    <row r="234" spans="1:3" x14ac:dyDescent="0.25">
      <c r="A234" s="3">
        <f ca="1">IFERROR(__xludf.DUMMYFUNCTION("""COMPUTED_VALUE"""),44951.6666666666)</f>
        <v>44951.666666666599</v>
      </c>
      <c r="B234" s="1">
        <f ca="1">IFERROR(__xludf.DUMMYFUNCTION("""COMPUTED_VALUE"""),61.2)</f>
        <v>61.2</v>
      </c>
      <c r="C234">
        <f t="shared" ca="1" si="3"/>
        <v>2023</v>
      </c>
    </row>
    <row r="235" spans="1:3" x14ac:dyDescent="0.25">
      <c r="A235" s="3">
        <f ca="1">IFERROR(__xludf.DUMMYFUNCTION("""COMPUTED_VALUE"""),44950.6666666666)</f>
        <v>44950.666666666599</v>
      </c>
      <c r="B235" s="1">
        <f ca="1">IFERROR(__xludf.DUMMYFUNCTION("""COMPUTED_VALUE"""),63.2)</f>
        <v>63.2</v>
      </c>
      <c r="C235">
        <f t="shared" ca="1" si="3"/>
        <v>2023</v>
      </c>
    </row>
    <row r="236" spans="1:3" x14ac:dyDescent="0.25">
      <c r="A236" s="3">
        <f ca="1">IFERROR(__xludf.DUMMYFUNCTION("""COMPUTED_VALUE"""),44949.6666666666)</f>
        <v>44949.666666666599</v>
      </c>
      <c r="B236" s="1">
        <f ca="1">IFERROR(__xludf.DUMMYFUNCTION("""COMPUTED_VALUE"""),67.2)</f>
        <v>67.2</v>
      </c>
      <c r="C236">
        <f t="shared" ca="1" si="3"/>
        <v>2023</v>
      </c>
    </row>
    <row r="237" spans="1:3" x14ac:dyDescent="0.25">
      <c r="A237" s="3">
        <f ca="1">IFERROR(__xludf.DUMMYFUNCTION("""COMPUTED_VALUE"""),44946.6666666666)</f>
        <v>44946.666666666599</v>
      </c>
      <c r="B237" s="1">
        <f ca="1">IFERROR(__xludf.DUMMYFUNCTION("""COMPUTED_VALUE"""),68)</f>
        <v>68</v>
      </c>
      <c r="C237">
        <f t="shared" ca="1" si="3"/>
        <v>2023</v>
      </c>
    </row>
    <row r="238" spans="1:3" x14ac:dyDescent="0.25">
      <c r="A238" s="3">
        <f ca="1">IFERROR(__xludf.DUMMYFUNCTION("""COMPUTED_VALUE"""),44945.6666666666)</f>
        <v>44945.666666666599</v>
      </c>
      <c r="B238" s="1">
        <f ca="1">IFERROR(__xludf.DUMMYFUNCTION("""COMPUTED_VALUE"""),61.6)</f>
        <v>61.6</v>
      </c>
      <c r="C238">
        <f t="shared" ca="1" si="3"/>
        <v>2023</v>
      </c>
    </row>
    <row r="239" spans="1:3" x14ac:dyDescent="0.25">
      <c r="A239" s="3">
        <f ca="1">IFERROR(__xludf.DUMMYFUNCTION("""COMPUTED_VALUE"""),44944.6666666666)</f>
        <v>44944.666666666599</v>
      </c>
      <c r="B239" s="1">
        <f ca="1">IFERROR(__xludf.DUMMYFUNCTION("""COMPUTED_VALUE"""),63.6)</f>
        <v>63.6</v>
      </c>
      <c r="C239">
        <f t="shared" ca="1" si="3"/>
        <v>2023</v>
      </c>
    </row>
    <row r="240" spans="1:3" x14ac:dyDescent="0.25">
      <c r="A240" s="3">
        <f ca="1">IFERROR(__xludf.DUMMYFUNCTION("""COMPUTED_VALUE"""),44943.6666666666)</f>
        <v>44943.666666666599</v>
      </c>
      <c r="B240" s="1">
        <f ca="1">IFERROR(__xludf.DUMMYFUNCTION("""COMPUTED_VALUE"""),67.2)</f>
        <v>67.2</v>
      </c>
      <c r="C240">
        <f t="shared" ca="1" si="3"/>
        <v>2023</v>
      </c>
    </row>
    <row r="241" spans="1:3" x14ac:dyDescent="0.25">
      <c r="A241" s="3">
        <f ca="1">IFERROR(__xludf.DUMMYFUNCTION("""COMPUTED_VALUE"""),44939.6666666666)</f>
        <v>44939.666666666599</v>
      </c>
      <c r="B241" s="1">
        <f ca="1">IFERROR(__xludf.DUMMYFUNCTION("""COMPUTED_VALUE"""),72)</f>
        <v>72</v>
      </c>
      <c r="C241">
        <f t="shared" ca="1" si="3"/>
        <v>2023</v>
      </c>
    </row>
    <row r="242" spans="1:3" x14ac:dyDescent="0.25">
      <c r="A242" s="3">
        <f ca="1">IFERROR(__xludf.DUMMYFUNCTION("""COMPUTED_VALUE"""),44938.6666666666)</f>
        <v>44938.666666666599</v>
      </c>
      <c r="B242" s="1">
        <f ca="1">IFERROR(__xludf.DUMMYFUNCTION("""COMPUTED_VALUE"""),68.8)</f>
        <v>68.8</v>
      </c>
      <c r="C242">
        <f t="shared" ca="1" si="3"/>
        <v>2023</v>
      </c>
    </row>
    <row r="243" spans="1:3" x14ac:dyDescent="0.25">
      <c r="A243" s="3">
        <f ca="1">IFERROR(__xludf.DUMMYFUNCTION("""COMPUTED_VALUE"""),44937.6666666666)</f>
        <v>44937.666666666599</v>
      </c>
      <c r="B243" s="1">
        <f ca="1">IFERROR(__xludf.DUMMYFUNCTION("""COMPUTED_VALUE"""),69.6)</f>
        <v>69.599999999999994</v>
      </c>
      <c r="C243">
        <f t="shared" ca="1" si="3"/>
        <v>2023</v>
      </c>
    </row>
    <row r="244" spans="1:3" x14ac:dyDescent="0.25">
      <c r="A244" s="3">
        <f ca="1">IFERROR(__xludf.DUMMYFUNCTION("""COMPUTED_VALUE"""),44936.6666666666)</f>
        <v>44936.666666666599</v>
      </c>
      <c r="B244" s="1">
        <f ca="1">IFERROR(__xludf.DUMMYFUNCTION("""COMPUTED_VALUE"""),56)</f>
        <v>56</v>
      </c>
      <c r="C244">
        <f t="shared" ca="1" si="3"/>
        <v>2023</v>
      </c>
    </row>
    <row r="245" spans="1:3" x14ac:dyDescent="0.25">
      <c r="A245" s="3">
        <f ca="1">IFERROR(__xludf.DUMMYFUNCTION("""COMPUTED_VALUE"""),44935.6666666666)</f>
        <v>44935.666666666599</v>
      </c>
      <c r="B245" s="1">
        <f ca="1">IFERROR(__xludf.DUMMYFUNCTION("""COMPUTED_VALUE"""),50.4)</f>
        <v>50.4</v>
      </c>
      <c r="C245">
        <f t="shared" ca="1" si="3"/>
        <v>2023</v>
      </c>
    </row>
    <row r="246" spans="1:3" x14ac:dyDescent="0.25">
      <c r="A246" s="3">
        <f ca="1">IFERROR(__xludf.DUMMYFUNCTION("""COMPUTED_VALUE"""),44932.6666666666)</f>
        <v>44932.666666666599</v>
      </c>
      <c r="B246" s="1">
        <f ca="1">IFERROR(__xludf.DUMMYFUNCTION("""COMPUTED_VALUE"""),55.2)</f>
        <v>55.2</v>
      </c>
      <c r="C246">
        <f t="shared" ca="1" si="3"/>
        <v>2023</v>
      </c>
    </row>
    <row r="247" spans="1:3" x14ac:dyDescent="0.25">
      <c r="A247" s="3">
        <f ca="1">IFERROR(__xludf.DUMMYFUNCTION("""COMPUTED_VALUE"""),44931.6666666666)</f>
        <v>44931.666666666599</v>
      </c>
      <c r="B247" s="1">
        <f ca="1">IFERROR(__xludf.DUMMYFUNCTION("""COMPUTED_VALUE"""),71.2)</f>
        <v>71.2</v>
      </c>
      <c r="C247">
        <f t="shared" ca="1" si="3"/>
        <v>2023</v>
      </c>
    </row>
    <row r="248" spans="1:3" x14ac:dyDescent="0.25">
      <c r="A248" s="3">
        <f ca="1">IFERROR(__xludf.DUMMYFUNCTION("""COMPUTED_VALUE"""),44930.6666666666)</f>
        <v>44930.666666666599</v>
      </c>
      <c r="B248" s="1">
        <f ca="1">IFERROR(__xludf.DUMMYFUNCTION("""COMPUTED_VALUE"""),70.8)</f>
        <v>70.8</v>
      </c>
      <c r="C248">
        <f t="shared" ca="1" si="3"/>
        <v>2023</v>
      </c>
    </row>
    <row r="249" spans="1:3" x14ac:dyDescent="0.25">
      <c r="A249" s="3">
        <f ca="1">IFERROR(__xludf.DUMMYFUNCTION("""COMPUTED_VALUE"""),44929.6666666666)</f>
        <v>44929.666666666599</v>
      </c>
      <c r="B249" s="1">
        <f ca="1">IFERROR(__xludf.DUMMYFUNCTION("""COMPUTED_VALUE"""),56)</f>
        <v>56</v>
      </c>
      <c r="C249">
        <f t="shared" ca="1" si="3"/>
        <v>2023</v>
      </c>
    </row>
    <row r="250" spans="1:3" x14ac:dyDescent="0.25">
      <c r="A250" s="3">
        <f ca="1">IFERROR(__xludf.DUMMYFUNCTION("""COMPUTED_VALUE"""),44925.6666666666)</f>
        <v>44925.666666666599</v>
      </c>
      <c r="B250" s="1">
        <f ca="1">IFERROR(__xludf.DUMMYFUNCTION("""COMPUTED_VALUE"""),57.2)</f>
        <v>57.2</v>
      </c>
      <c r="C250">
        <f t="shared" ca="1" si="3"/>
        <v>2022</v>
      </c>
    </row>
    <row r="251" spans="1:3" x14ac:dyDescent="0.25">
      <c r="A251" s="3">
        <f ca="1">IFERROR(__xludf.DUMMYFUNCTION("""COMPUTED_VALUE"""),44924.6666666666)</f>
        <v>44924.666666666599</v>
      </c>
      <c r="B251" s="1">
        <f ca="1">IFERROR(__xludf.DUMMYFUNCTION("""COMPUTED_VALUE"""),48)</f>
        <v>48</v>
      </c>
      <c r="C251">
        <f t="shared" ca="1" si="3"/>
        <v>2022</v>
      </c>
    </row>
    <row r="252" spans="1:3" x14ac:dyDescent="0.25">
      <c r="A252" s="3">
        <f ca="1">IFERROR(__xludf.DUMMYFUNCTION("""COMPUTED_VALUE"""),44923.6666666666)</f>
        <v>44923.666666666599</v>
      </c>
      <c r="B252" s="1">
        <f ca="1">IFERROR(__xludf.DUMMYFUNCTION("""COMPUTED_VALUE"""),43.2)</f>
        <v>43.2</v>
      </c>
      <c r="C252">
        <f t="shared" ca="1" si="3"/>
        <v>2022</v>
      </c>
    </row>
    <row r="253" spans="1:3" x14ac:dyDescent="0.25">
      <c r="A253" s="3">
        <f ca="1">IFERROR(__xludf.DUMMYFUNCTION("""COMPUTED_VALUE"""),44922.6666666666)</f>
        <v>44922.666666666599</v>
      </c>
      <c r="B253" s="1">
        <f ca="1">IFERROR(__xludf.DUMMYFUNCTION("""COMPUTED_VALUE"""),42.4)</f>
        <v>42.4</v>
      </c>
      <c r="C253">
        <f t="shared" ca="1" si="3"/>
        <v>2022</v>
      </c>
    </row>
    <row r="254" spans="1:3" x14ac:dyDescent="0.25">
      <c r="A254" s="3">
        <f ca="1">IFERROR(__xludf.DUMMYFUNCTION("""COMPUTED_VALUE"""),44918.6666666666)</f>
        <v>44918.666666666599</v>
      </c>
      <c r="B254" s="1">
        <f ca="1">IFERROR(__xludf.DUMMYFUNCTION("""COMPUTED_VALUE"""),52.4)</f>
        <v>52.4</v>
      </c>
      <c r="C254">
        <f t="shared" ca="1" si="3"/>
        <v>2022</v>
      </c>
    </row>
    <row r="255" spans="1:3" x14ac:dyDescent="0.25">
      <c r="A255" s="3">
        <f ca="1">IFERROR(__xludf.DUMMYFUNCTION("""COMPUTED_VALUE"""),44917.6666666666)</f>
        <v>44917.666666666599</v>
      </c>
      <c r="B255" s="1">
        <f ca="1">IFERROR(__xludf.DUMMYFUNCTION("""COMPUTED_VALUE"""),56.4)</f>
        <v>56.4</v>
      </c>
      <c r="C255">
        <f t="shared" ca="1" si="3"/>
        <v>2022</v>
      </c>
    </row>
    <row r="256" spans="1:3" x14ac:dyDescent="0.25">
      <c r="A256" s="3">
        <f ca="1">IFERROR(__xludf.DUMMYFUNCTION("""COMPUTED_VALUE"""),44916.6666666666)</f>
        <v>44916.666666666599</v>
      </c>
      <c r="B256" s="1">
        <f ca="1">IFERROR(__xludf.DUMMYFUNCTION("""COMPUTED_VALUE"""),58.4)</f>
        <v>58.4</v>
      </c>
      <c r="C256">
        <f t="shared" ca="1" si="3"/>
        <v>2022</v>
      </c>
    </row>
    <row r="257" spans="1:3" x14ac:dyDescent="0.25">
      <c r="A257" s="3">
        <f ca="1">IFERROR(__xludf.DUMMYFUNCTION("""COMPUTED_VALUE"""),44915.6666666666)</f>
        <v>44915.666666666599</v>
      </c>
      <c r="B257" s="1">
        <f ca="1">IFERROR(__xludf.DUMMYFUNCTION("""COMPUTED_VALUE"""),57.6)</f>
        <v>57.6</v>
      </c>
      <c r="C257">
        <f t="shared" ca="1" si="3"/>
        <v>2022</v>
      </c>
    </row>
    <row r="258" spans="1:3" x14ac:dyDescent="0.25">
      <c r="A258" s="3">
        <f ca="1">IFERROR(__xludf.DUMMYFUNCTION("""COMPUTED_VALUE"""),44914.6666666666)</f>
        <v>44914.666666666599</v>
      </c>
      <c r="B258" s="1">
        <f ca="1">IFERROR(__xludf.DUMMYFUNCTION("""COMPUTED_VALUE"""),56.8)</f>
        <v>56.8</v>
      </c>
      <c r="C258">
        <f t="shared" ref="C258:C321" ca="1" si="4">YEAR(A258)</f>
        <v>2022</v>
      </c>
    </row>
    <row r="259" spans="1:3" x14ac:dyDescent="0.25">
      <c r="A259" s="3">
        <f ca="1">IFERROR(__xludf.DUMMYFUNCTION("""COMPUTED_VALUE"""),44911.6666666666)</f>
        <v>44911.666666666599</v>
      </c>
      <c r="B259" s="1">
        <f ca="1">IFERROR(__xludf.DUMMYFUNCTION("""COMPUTED_VALUE"""),62.8)</f>
        <v>62.8</v>
      </c>
      <c r="C259">
        <f t="shared" ca="1" si="4"/>
        <v>2022</v>
      </c>
    </row>
    <row r="260" spans="1:3" x14ac:dyDescent="0.25">
      <c r="A260" s="3">
        <f ca="1">IFERROR(__xludf.DUMMYFUNCTION("""COMPUTED_VALUE"""),44910.6666666666)</f>
        <v>44910.666666666599</v>
      </c>
      <c r="B260" s="1">
        <f ca="1">IFERROR(__xludf.DUMMYFUNCTION("""COMPUTED_VALUE"""),67.6)</f>
        <v>67.599999999999994</v>
      </c>
      <c r="C260">
        <f t="shared" ca="1" si="4"/>
        <v>2022</v>
      </c>
    </row>
    <row r="261" spans="1:3" x14ac:dyDescent="0.25">
      <c r="A261" s="3">
        <f ca="1">IFERROR(__xludf.DUMMYFUNCTION("""COMPUTED_VALUE"""),44909.6666666666)</f>
        <v>44909.666666666599</v>
      </c>
      <c r="B261" s="1">
        <f ca="1">IFERROR(__xludf.DUMMYFUNCTION("""COMPUTED_VALUE"""),74)</f>
        <v>74</v>
      </c>
      <c r="C261">
        <f t="shared" ca="1" si="4"/>
        <v>2022</v>
      </c>
    </row>
    <row r="262" spans="1:3" x14ac:dyDescent="0.25">
      <c r="A262" s="3">
        <f ca="1">IFERROR(__xludf.DUMMYFUNCTION("""COMPUTED_VALUE"""),44908.6666666666)</f>
        <v>44908.666666666599</v>
      </c>
      <c r="B262" s="1">
        <f ca="1">IFERROR(__xludf.DUMMYFUNCTION("""COMPUTED_VALUE"""),76.4)</f>
        <v>76.400000000000006</v>
      </c>
      <c r="C262">
        <f t="shared" ca="1" si="4"/>
        <v>2022</v>
      </c>
    </row>
    <row r="263" spans="1:3" x14ac:dyDescent="0.25">
      <c r="A263" s="3">
        <f ca="1">IFERROR(__xludf.DUMMYFUNCTION("""COMPUTED_VALUE"""),44907.6666666666)</f>
        <v>44907.666666666599</v>
      </c>
      <c r="B263" s="1">
        <f ca="1">IFERROR(__xludf.DUMMYFUNCTION("""COMPUTED_VALUE"""),78)</f>
        <v>78</v>
      </c>
      <c r="C263">
        <f t="shared" ca="1" si="4"/>
        <v>2022</v>
      </c>
    </row>
    <row r="264" spans="1:3" x14ac:dyDescent="0.25">
      <c r="A264" s="3">
        <f ca="1">IFERROR(__xludf.DUMMYFUNCTION("""COMPUTED_VALUE"""),44904.6666666666)</f>
        <v>44904.666666666599</v>
      </c>
      <c r="B264" s="1">
        <f ca="1">IFERROR(__xludf.DUMMYFUNCTION("""COMPUTED_VALUE"""),76.8)</f>
        <v>76.8</v>
      </c>
      <c r="C264">
        <f t="shared" ca="1" si="4"/>
        <v>2022</v>
      </c>
    </row>
    <row r="265" spans="1:3" x14ac:dyDescent="0.25">
      <c r="A265" s="3">
        <f ca="1">IFERROR(__xludf.DUMMYFUNCTION("""COMPUTED_VALUE"""),44903.6666666666)</f>
        <v>44903.666666666599</v>
      </c>
      <c r="B265" s="1">
        <f ca="1">IFERROR(__xludf.DUMMYFUNCTION("""COMPUTED_VALUE"""),79.2)</f>
        <v>79.2</v>
      </c>
      <c r="C265">
        <f t="shared" ca="1" si="4"/>
        <v>2022</v>
      </c>
    </row>
    <row r="266" spans="1:3" x14ac:dyDescent="0.25">
      <c r="A266" s="3">
        <f ca="1">IFERROR(__xludf.DUMMYFUNCTION("""COMPUTED_VALUE"""),44902.6666666666)</f>
        <v>44902.666666666599</v>
      </c>
      <c r="B266" s="1">
        <f ca="1">IFERROR(__xludf.DUMMYFUNCTION("""COMPUTED_VALUE"""),85.6)</f>
        <v>85.6</v>
      </c>
      <c r="C266">
        <f t="shared" ca="1" si="4"/>
        <v>2022</v>
      </c>
    </row>
    <row r="267" spans="1:3" x14ac:dyDescent="0.25">
      <c r="A267" s="3">
        <f ca="1">IFERROR(__xludf.DUMMYFUNCTION("""COMPUTED_VALUE"""),44901.6666666666)</f>
        <v>44901.666666666599</v>
      </c>
      <c r="B267" s="1">
        <f ca="1">IFERROR(__xludf.DUMMYFUNCTION("""COMPUTED_VALUE"""),94.8)</f>
        <v>94.8</v>
      </c>
      <c r="C267">
        <f t="shared" ca="1" si="4"/>
        <v>2022</v>
      </c>
    </row>
    <row r="268" spans="1:3" x14ac:dyDescent="0.25">
      <c r="A268" s="3">
        <f ca="1">IFERROR(__xludf.DUMMYFUNCTION("""COMPUTED_VALUE"""),44900.6666666666)</f>
        <v>44900.666666666599</v>
      </c>
      <c r="B268" s="1">
        <f ca="1">IFERROR(__xludf.DUMMYFUNCTION("""COMPUTED_VALUE"""),101.6)</f>
        <v>101.6</v>
      </c>
      <c r="C268">
        <f t="shared" ca="1" si="4"/>
        <v>2022</v>
      </c>
    </row>
    <row r="269" spans="1:3" x14ac:dyDescent="0.25">
      <c r="A269" s="3">
        <f ca="1">IFERROR(__xludf.DUMMYFUNCTION("""COMPUTED_VALUE"""),44897.6666666666)</f>
        <v>44897.666666666599</v>
      </c>
      <c r="B269" s="1">
        <f ca="1">IFERROR(__xludf.DUMMYFUNCTION("""COMPUTED_VALUE"""),116)</f>
        <v>116</v>
      </c>
      <c r="C269">
        <f t="shared" ca="1" si="4"/>
        <v>2022</v>
      </c>
    </row>
    <row r="270" spans="1:3" x14ac:dyDescent="0.25">
      <c r="A270" s="3">
        <f ca="1">IFERROR(__xludf.DUMMYFUNCTION("""COMPUTED_VALUE"""),44896.6666666666)</f>
        <v>44896.666666666599</v>
      </c>
      <c r="B270" s="1">
        <f ca="1">IFERROR(__xludf.DUMMYFUNCTION("""COMPUTED_VALUE"""),113.2)</f>
        <v>113.2</v>
      </c>
      <c r="C270">
        <f t="shared" ca="1" si="4"/>
        <v>2022</v>
      </c>
    </row>
    <row r="271" spans="1:3" x14ac:dyDescent="0.25">
      <c r="A271" s="3">
        <f ca="1">IFERROR(__xludf.DUMMYFUNCTION("""COMPUTED_VALUE"""),44895.6666666666)</f>
        <v>44895.666666666599</v>
      </c>
      <c r="B271" s="1">
        <f ca="1">IFERROR(__xludf.DUMMYFUNCTION("""COMPUTED_VALUE"""),110.4)</f>
        <v>110.4</v>
      </c>
      <c r="C271">
        <f t="shared" ca="1" si="4"/>
        <v>2022</v>
      </c>
    </row>
    <row r="272" spans="1:3" x14ac:dyDescent="0.25">
      <c r="A272" s="3">
        <f ca="1">IFERROR(__xludf.DUMMYFUNCTION("""COMPUTED_VALUE"""),44894.6666666666)</f>
        <v>44894.666666666599</v>
      </c>
      <c r="B272" s="1">
        <f ca="1">IFERROR(__xludf.DUMMYFUNCTION("""COMPUTED_VALUE"""),107.6)</f>
        <v>107.6</v>
      </c>
      <c r="C272">
        <f t="shared" ca="1" si="4"/>
        <v>2022</v>
      </c>
    </row>
    <row r="273" spans="1:3" x14ac:dyDescent="0.25">
      <c r="A273" s="3">
        <f ca="1">IFERROR(__xludf.DUMMYFUNCTION("""COMPUTED_VALUE"""),44893.6666666666)</f>
        <v>44893.666666666599</v>
      </c>
      <c r="B273" s="1">
        <f ca="1">IFERROR(__xludf.DUMMYFUNCTION("""COMPUTED_VALUE"""),108.4)</f>
        <v>108.4</v>
      </c>
      <c r="C273">
        <f t="shared" ca="1" si="4"/>
        <v>2022</v>
      </c>
    </row>
    <row r="274" spans="1:3" x14ac:dyDescent="0.25">
      <c r="A274" s="3">
        <f ca="1">IFERROR(__xludf.DUMMYFUNCTION("""COMPUTED_VALUE"""),44890.5451388888)</f>
        <v>44890.545138888803</v>
      </c>
      <c r="B274" s="1">
        <f ca="1">IFERROR(__xludf.DUMMYFUNCTION("""COMPUTED_VALUE"""),114)</f>
        <v>114</v>
      </c>
      <c r="C274">
        <f t="shared" ca="1" si="4"/>
        <v>2022</v>
      </c>
    </row>
    <row r="275" spans="1:3" x14ac:dyDescent="0.25">
      <c r="A275" s="3">
        <f ca="1">IFERROR(__xludf.DUMMYFUNCTION("""COMPUTED_VALUE"""),44888.6666666666)</f>
        <v>44888.666666666599</v>
      </c>
      <c r="B275" s="1">
        <f ca="1">IFERROR(__xludf.DUMMYFUNCTION("""COMPUTED_VALUE"""),111.6)</f>
        <v>111.6</v>
      </c>
      <c r="C275">
        <f t="shared" ca="1" si="4"/>
        <v>2022</v>
      </c>
    </row>
    <row r="276" spans="1:3" x14ac:dyDescent="0.25">
      <c r="A276" s="3">
        <f ca="1">IFERROR(__xludf.DUMMYFUNCTION("""COMPUTED_VALUE"""),44887.6666666666)</f>
        <v>44887.666666666599</v>
      </c>
      <c r="B276" s="1">
        <f ca="1">IFERROR(__xludf.DUMMYFUNCTION("""COMPUTED_VALUE"""),106.8)</f>
        <v>106.8</v>
      </c>
      <c r="C276">
        <f t="shared" ca="1" si="4"/>
        <v>2022</v>
      </c>
    </row>
    <row r="277" spans="1:3" x14ac:dyDescent="0.25">
      <c r="A277" s="3">
        <f ca="1">IFERROR(__xludf.DUMMYFUNCTION("""COMPUTED_VALUE"""),44886.6666666666)</f>
        <v>44886.666666666599</v>
      </c>
      <c r="B277" s="1">
        <f ca="1">IFERROR(__xludf.DUMMYFUNCTION("""COMPUTED_VALUE"""),111.6)</f>
        <v>111.6</v>
      </c>
      <c r="C277">
        <f t="shared" ca="1" si="4"/>
        <v>2022</v>
      </c>
    </row>
    <row r="278" spans="1:3" x14ac:dyDescent="0.25">
      <c r="A278" s="3">
        <f ca="1">IFERROR(__xludf.DUMMYFUNCTION("""COMPUTED_VALUE"""),44883.6666666666)</f>
        <v>44883.666666666599</v>
      </c>
      <c r="B278" s="1">
        <f ca="1">IFERROR(__xludf.DUMMYFUNCTION("""COMPUTED_VALUE"""),108.4)</f>
        <v>108.4</v>
      </c>
      <c r="C278">
        <f t="shared" ca="1" si="4"/>
        <v>2022</v>
      </c>
    </row>
    <row r="279" spans="1:3" x14ac:dyDescent="0.25">
      <c r="A279" s="3">
        <f ca="1">IFERROR(__xludf.DUMMYFUNCTION("""COMPUTED_VALUE"""),44882.6666666666)</f>
        <v>44882.666666666599</v>
      </c>
      <c r="B279" s="1">
        <f ca="1">IFERROR(__xludf.DUMMYFUNCTION("""COMPUTED_VALUE"""),110.8)</f>
        <v>110.8</v>
      </c>
      <c r="C279">
        <f t="shared" ca="1" si="4"/>
        <v>2022</v>
      </c>
    </row>
    <row r="280" spans="1:3" x14ac:dyDescent="0.25">
      <c r="A280" s="3">
        <f ca="1">IFERROR(__xludf.DUMMYFUNCTION("""COMPUTED_VALUE"""),44881.6666666666)</f>
        <v>44881.666666666599</v>
      </c>
      <c r="B280" s="1">
        <f ca="1">IFERROR(__xludf.DUMMYFUNCTION("""COMPUTED_VALUE"""),117.6)</f>
        <v>117.6</v>
      </c>
      <c r="C280">
        <f t="shared" ca="1" si="4"/>
        <v>2022</v>
      </c>
    </row>
    <row r="281" spans="1:3" x14ac:dyDescent="0.25">
      <c r="A281" s="3">
        <f ca="1">IFERROR(__xludf.DUMMYFUNCTION("""COMPUTED_VALUE"""),44880.6666666666)</f>
        <v>44880.666666666599</v>
      </c>
      <c r="B281" s="1">
        <f ca="1">IFERROR(__xludf.DUMMYFUNCTION("""COMPUTED_VALUE"""),122.4)</f>
        <v>122.4</v>
      </c>
      <c r="C281">
        <f t="shared" ca="1" si="4"/>
        <v>2022</v>
      </c>
    </row>
    <row r="282" spans="1:3" x14ac:dyDescent="0.25">
      <c r="A282" s="3">
        <f ca="1">IFERROR(__xludf.DUMMYFUNCTION("""COMPUTED_VALUE"""),44879.6666666666)</f>
        <v>44879.666666666599</v>
      </c>
      <c r="B282" s="1">
        <f ca="1">IFERROR(__xludf.DUMMYFUNCTION("""COMPUTED_VALUE"""),120)</f>
        <v>120</v>
      </c>
      <c r="C282">
        <f t="shared" ca="1" si="4"/>
        <v>2022</v>
      </c>
    </row>
    <row r="283" spans="1:3" x14ac:dyDescent="0.25">
      <c r="A283" s="3">
        <f ca="1">IFERROR(__xludf.DUMMYFUNCTION("""COMPUTED_VALUE"""),44876.6666666666)</f>
        <v>44876.666666666599</v>
      </c>
      <c r="B283" s="1">
        <f ca="1">IFERROR(__xludf.DUMMYFUNCTION("""COMPUTED_VALUE"""),121.2)</f>
        <v>121.2</v>
      </c>
      <c r="C283">
        <f t="shared" ca="1" si="4"/>
        <v>2022</v>
      </c>
    </row>
    <row r="284" spans="1:3" x14ac:dyDescent="0.25">
      <c r="A284" s="3">
        <f ca="1">IFERROR(__xludf.DUMMYFUNCTION("""COMPUTED_VALUE"""),44875.6666666666)</f>
        <v>44875.666666666599</v>
      </c>
      <c r="B284" s="1">
        <f ca="1">IFERROR(__xludf.DUMMYFUNCTION("""COMPUTED_VALUE"""),104)</f>
        <v>104</v>
      </c>
      <c r="C284">
        <f t="shared" ca="1" si="4"/>
        <v>2022</v>
      </c>
    </row>
    <row r="285" spans="1:3" x14ac:dyDescent="0.25">
      <c r="A285" s="3">
        <f ca="1">IFERROR(__xludf.DUMMYFUNCTION("""COMPUTED_VALUE"""),44874.6666666666)</f>
        <v>44874.666666666599</v>
      </c>
      <c r="B285" s="1">
        <f ca="1">IFERROR(__xludf.DUMMYFUNCTION("""COMPUTED_VALUE"""),97.2)</f>
        <v>97.2</v>
      </c>
      <c r="C285">
        <f t="shared" ca="1" si="4"/>
        <v>2022</v>
      </c>
    </row>
    <row r="286" spans="1:3" x14ac:dyDescent="0.25">
      <c r="A286" s="3">
        <f ca="1">IFERROR(__xludf.DUMMYFUNCTION("""COMPUTED_VALUE"""),44873.6666666666)</f>
        <v>44873.666666666599</v>
      </c>
      <c r="B286" s="1">
        <f ca="1">IFERROR(__xludf.DUMMYFUNCTION("""COMPUTED_VALUE"""),106.8)</f>
        <v>106.8</v>
      </c>
      <c r="C286">
        <f t="shared" ca="1" si="4"/>
        <v>2022</v>
      </c>
    </row>
    <row r="287" spans="1:3" x14ac:dyDescent="0.25">
      <c r="A287" s="3">
        <f ca="1">IFERROR(__xludf.DUMMYFUNCTION("""COMPUTED_VALUE"""),44872.6666666666)</f>
        <v>44872.666666666599</v>
      </c>
      <c r="B287" s="1">
        <f ca="1">IFERROR(__xludf.DUMMYFUNCTION("""COMPUTED_VALUE"""),110)</f>
        <v>110</v>
      </c>
      <c r="C287">
        <f t="shared" ca="1" si="4"/>
        <v>2022</v>
      </c>
    </row>
    <row r="288" spans="1:3" x14ac:dyDescent="0.25">
      <c r="A288" s="3">
        <f ca="1">IFERROR(__xludf.DUMMYFUNCTION("""COMPUTED_VALUE"""),44869.6666666666)</f>
        <v>44869.666666666599</v>
      </c>
      <c r="B288" s="1">
        <f ca="1">IFERROR(__xludf.DUMMYFUNCTION("""COMPUTED_VALUE"""),104.4)</f>
        <v>104.4</v>
      </c>
      <c r="C288">
        <f t="shared" ca="1" si="4"/>
        <v>2022</v>
      </c>
    </row>
    <row r="289" spans="1:3" x14ac:dyDescent="0.25">
      <c r="A289" s="3">
        <f ca="1">IFERROR(__xludf.DUMMYFUNCTION("""COMPUTED_VALUE"""),44868.6666666666)</f>
        <v>44868.666666666599</v>
      </c>
      <c r="B289" s="1">
        <f ca="1">IFERROR(__xludf.DUMMYFUNCTION("""COMPUTED_VALUE"""),102.4)</f>
        <v>102.4</v>
      </c>
      <c r="C289">
        <f t="shared" ca="1" si="4"/>
        <v>2022</v>
      </c>
    </row>
    <row r="290" spans="1:3" x14ac:dyDescent="0.25">
      <c r="A290" s="3">
        <f ca="1">IFERROR(__xludf.DUMMYFUNCTION("""COMPUTED_VALUE"""),44867.6666666666)</f>
        <v>44867.666666666599</v>
      </c>
      <c r="B290" s="1">
        <f ca="1">IFERROR(__xludf.DUMMYFUNCTION("""COMPUTED_VALUE"""),107.2)</f>
        <v>107.2</v>
      </c>
      <c r="C290">
        <f t="shared" ca="1" si="4"/>
        <v>2022</v>
      </c>
    </row>
    <row r="291" spans="1:3" x14ac:dyDescent="0.25">
      <c r="A291" s="3">
        <f ca="1">IFERROR(__xludf.DUMMYFUNCTION("""COMPUTED_VALUE"""),44866.6666666666)</f>
        <v>44866.666666666599</v>
      </c>
      <c r="B291" s="1">
        <f ca="1">IFERROR(__xludf.DUMMYFUNCTION("""COMPUTED_VALUE"""),108.4)</f>
        <v>108.4</v>
      </c>
      <c r="C291">
        <f t="shared" ca="1" si="4"/>
        <v>2022</v>
      </c>
    </row>
    <row r="292" spans="1:3" x14ac:dyDescent="0.25">
      <c r="A292" s="3">
        <f ca="1">IFERROR(__xludf.DUMMYFUNCTION("""COMPUTED_VALUE"""),44865.6666666666)</f>
        <v>44865.666666666599</v>
      </c>
      <c r="B292" s="1">
        <f ca="1">IFERROR(__xludf.DUMMYFUNCTION("""COMPUTED_VALUE"""),102.8)</f>
        <v>102.8</v>
      </c>
      <c r="C292">
        <f t="shared" ca="1" si="4"/>
        <v>2022</v>
      </c>
    </row>
    <row r="293" spans="1:3" x14ac:dyDescent="0.25">
      <c r="A293" s="3">
        <f ca="1">IFERROR(__xludf.DUMMYFUNCTION("""COMPUTED_VALUE"""),44862.6666666666)</f>
        <v>44862.666666666599</v>
      </c>
      <c r="B293" s="1">
        <f ca="1">IFERROR(__xludf.DUMMYFUNCTION("""COMPUTED_VALUE"""),104.4)</f>
        <v>104.4</v>
      </c>
      <c r="C293">
        <f t="shared" ca="1" si="4"/>
        <v>2022</v>
      </c>
    </row>
    <row r="294" spans="1:3" x14ac:dyDescent="0.25">
      <c r="A294" s="3">
        <f ca="1">IFERROR(__xludf.DUMMYFUNCTION("""COMPUTED_VALUE"""),44861.6666666666)</f>
        <v>44861.666666666599</v>
      </c>
      <c r="B294" s="1">
        <f ca="1">IFERROR(__xludf.DUMMYFUNCTION("""COMPUTED_VALUE"""),107.6)</f>
        <v>107.6</v>
      </c>
      <c r="C294">
        <f t="shared" ca="1" si="4"/>
        <v>2022</v>
      </c>
    </row>
    <row r="295" spans="1:3" x14ac:dyDescent="0.25">
      <c r="A295" s="3">
        <f ca="1">IFERROR(__xludf.DUMMYFUNCTION("""COMPUTED_VALUE"""),44860.6666666666)</f>
        <v>44860.666666666599</v>
      </c>
      <c r="B295" s="1">
        <f ca="1">IFERROR(__xludf.DUMMYFUNCTION("""COMPUTED_VALUE"""),115.6)</f>
        <v>115.6</v>
      </c>
      <c r="C295">
        <f t="shared" ca="1" si="4"/>
        <v>2022</v>
      </c>
    </row>
    <row r="296" spans="1:3" x14ac:dyDescent="0.25">
      <c r="A296" s="3">
        <f ca="1">IFERROR(__xludf.DUMMYFUNCTION("""COMPUTED_VALUE"""),44859.6666666666)</f>
        <v>44859.666666666599</v>
      </c>
      <c r="B296" s="1">
        <f ca="1">IFERROR(__xludf.DUMMYFUNCTION("""COMPUTED_VALUE"""),107.2)</f>
        <v>107.2</v>
      </c>
      <c r="C296">
        <f t="shared" ca="1" si="4"/>
        <v>2022</v>
      </c>
    </row>
    <row r="297" spans="1:3" x14ac:dyDescent="0.25">
      <c r="A297" s="3">
        <f ca="1">IFERROR(__xludf.DUMMYFUNCTION("""COMPUTED_VALUE"""),44858.6666666666)</f>
        <v>44858.666666666599</v>
      </c>
      <c r="B297" s="1">
        <f ca="1">IFERROR(__xludf.DUMMYFUNCTION("""COMPUTED_VALUE"""),88.8)</f>
        <v>88.8</v>
      </c>
      <c r="C297">
        <f t="shared" ca="1" si="4"/>
        <v>2022</v>
      </c>
    </row>
    <row r="298" spans="1:3" x14ac:dyDescent="0.25">
      <c r="A298" s="3">
        <f ca="1">IFERROR(__xludf.DUMMYFUNCTION("""COMPUTED_VALUE"""),44855.6666666666)</f>
        <v>44855.666666666599</v>
      </c>
      <c r="B298" s="1">
        <f ca="1">IFERROR(__xludf.DUMMYFUNCTION("""COMPUTED_VALUE"""),83.6)</f>
        <v>83.6</v>
      </c>
      <c r="C298">
        <f t="shared" ca="1" si="4"/>
        <v>2022</v>
      </c>
    </row>
    <row r="299" spans="1:3" x14ac:dyDescent="0.25">
      <c r="A299" s="3">
        <f ca="1">IFERROR(__xludf.DUMMYFUNCTION("""COMPUTED_VALUE"""),44854.6666666666)</f>
        <v>44854.666666666599</v>
      </c>
      <c r="B299" s="1">
        <f ca="1">IFERROR(__xludf.DUMMYFUNCTION("""COMPUTED_VALUE"""),82)</f>
        <v>82</v>
      </c>
      <c r="C299">
        <f t="shared" ca="1" si="4"/>
        <v>2022</v>
      </c>
    </row>
    <row r="300" spans="1:3" x14ac:dyDescent="0.25">
      <c r="A300" s="3">
        <f ca="1">IFERROR(__xludf.DUMMYFUNCTION("""COMPUTED_VALUE"""),44853.6666666666)</f>
        <v>44853.666666666599</v>
      </c>
      <c r="B300" s="1">
        <f ca="1">IFERROR(__xludf.DUMMYFUNCTION("""COMPUTED_VALUE"""),80.4)</f>
        <v>80.400000000000006</v>
      </c>
      <c r="C300">
        <f t="shared" ca="1" si="4"/>
        <v>2022</v>
      </c>
    </row>
    <row r="301" spans="1:3" x14ac:dyDescent="0.25">
      <c r="A301" s="3">
        <f ca="1">IFERROR(__xludf.DUMMYFUNCTION("""COMPUTED_VALUE"""),44852.6666666666)</f>
        <v>44852.666666666599</v>
      </c>
      <c r="B301" s="1">
        <f ca="1">IFERROR(__xludf.DUMMYFUNCTION("""COMPUTED_VALUE"""),94)</f>
        <v>94</v>
      </c>
      <c r="C301">
        <f t="shared" ca="1" si="4"/>
        <v>2022</v>
      </c>
    </row>
    <row r="302" spans="1:3" x14ac:dyDescent="0.25">
      <c r="A302" s="3">
        <f ca="1">IFERROR(__xludf.DUMMYFUNCTION("""COMPUTED_VALUE"""),44851.6666666666)</f>
        <v>44851.666666666599</v>
      </c>
      <c r="B302" s="1">
        <f ca="1">IFERROR(__xludf.DUMMYFUNCTION("""COMPUTED_VALUE"""),94.8)</f>
        <v>94.8</v>
      </c>
      <c r="C302">
        <f t="shared" ca="1" si="4"/>
        <v>2022</v>
      </c>
    </row>
    <row r="303" spans="1:3" x14ac:dyDescent="0.25">
      <c r="A303" s="3">
        <f ca="1">IFERROR(__xludf.DUMMYFUNCTION("""COMPUTED_VALUE"""),44848.6666666666)</f>
        <v>44848.666666666599</v>
      </c>
      <c r="B303" s="1">
        <f ca="1">IFERROR(__xludf.DUMMYFUNCTION("""COMPUTED_VALUE"""),90.4)</f>
        <v>90.4</v>
      </c>
      <c r="C303">
        <f t="shared" ca="1" si="4"/>
        <v>2022</v>
      </c>
    </row>
    <row r="304" spans="1:3" x14ac:dyDescent="0.25">
      <c r="A304" s="3">
        <f ca="1">IFERROR(__xludf.DUMMYFUNCTION("""COMPUTED_VALUE"""),44847.6666666666)</f>
        <v>44847.666666666599</v>
      </c>
      <c r="B304" s="1">
        <f ca="1">IFERROR(__xludf.DUMMYFUNCTION("""COMPUTED_VALUE"""),95.2)</f>
        <v>95.2</v>
      </c>
      <c r="C304">
        <f t="shared" ca="1" si="4"/>
        <v>2022</v>
      </c>
    </row>
    <row r="305" spans="1:3" x14ac:dyDescent="0.25">
      <c r="A305" s="3">
        <f ca="1">IFERROR(__xludf.DUMMYFUNCTION("""COMPUTED_VALUE"""),44846.6666666666)</f>
        <v>44846.666666666599</v>
      </c>
      <c r="B305" s="1">
        <f ca="1">IFERROR(__xludf.DUMMYFUNCTION("""COMPUTED_VALUE"""),94)</f>
        <v>94</v>
      </c>
      <c r="C305">
        <f t="shared" ca="1" si="4"/>
        <v>2022</v>
      </c>
    </row>
    <row r="306" spans="1:3" x14ac:dyDescent="0.25">
      <c r="A306" s="3">
        <f ca="1">IFERROR(__xludf.DUMMYFUNCTION("""COMPUTED_VALUE"""),44845.6666666666)</f>
        <v>44845.666666666599</v>
      </c>
      <c r="B306" s="1">
        <f ca="1">IFERROR(__xludf.DUMMYFUNCTION("""COMPUTED_VALUE"""),100)</f>
        <v>100</v>
      </c>
      <c r="C306">
        <f t="shared" ca="1" si="4"/>
        <v>2022</v>
      </c>
    </row>
    <row r="307" spans="1:3" x14ac:dyDescent="0.25">
      <c r="A307" s="3">
        <f ca="1">IFERROR(__xludf.DUMMYFUNCTION("""COMPUTED_VALUE"""),44844.6666666666)</f>
        <v>44844.666666666599</v>
      </c>
      <c r="B307" s="1">
        <f ca="1">IFERROR(__xludf.DUMMYFUNCTION("""COMPUTED_VALUE"""),96.4)</f>
        <v>96.4</v>
      </c>
      <c r="C307">
        <f t="shared" ca="1" si="4"/>
        <v>2022</v>
      </c>
    </row>
    <row r="308" spans="1:3" x14ac:dyDescent="0.25">
      <c r="A308" s="3">
        <f ca="1">IFERROR(__xludf.DUMMYFUNCTION("""COMPUTED_VALUE"""),44841.6666666666)</f>
        <v>44841.666666666599</v>
      </c>
      <c r="B308" s="1">
        <f ca="1">IFERROR(__xludf.DUMMYFUNCTION("""COMPUTED_VALUE"""),100.4)</f>
        <v>100.4</v>
      </c>
      <c r="C308">
        <f t="shared" ca="1" si="4"/>
        <v>2022</v>
      </c>
    </row>
    <row r="309" spans="1:3" x14ac:dyDescent="0.25">
      <c r="A309" s="3">
        <f ca="1">IFERROR(__xludf.DUMMYFUNCTION("""COMPUTED_VALUE"""),44840.6666666666)</f>
        <v>44840.666666666599</v>
      </c>
      <c r="B309" s="1">
        <f ca="1">IFERROR(__xludf.DUMMYFUNCTION("""COMPUTED_VALUE"""),112.4)</f>
        <v>112.4</v>
      </c>
      <c r="C309">
        <f t="shared" ca="1" si="4"/>
        <v>2022</v>
      </c>
    </row>
    <row r="310" spans="1:3" x14ac:dyDescent="0.25">
      <c r="A310" s="3">
        <f ca="1">IFERROR(__xludf.DUMMYFUNCTION("""COMPUTED_VALUE"""),44839.6666666666)</f>
        <v>44839.666666666599</v>
      </c>
      <c r="B310" s="1">
        <f ca="1">IFERROR(__xludf.DUMMYFUNCTION("""COMPUTED_VALUE"""),118.4)</f>
        <v>118.4</v>
      </c>
      <c r="C310">
        <f t="shared" ca="1" si="4"/>
        <v>2022</v>
      </c>
    </row>
    <row r="311" spans="1:3" x14ac:dyDescent="0.25">
      <c r="A311" s="3">
        <f ca="1">IFERROR(__xludf.DUMMYFUNCTION("""COMPUTED_VALUE"""),44838.6666666666)</f>
        <v>44838.666666666599</v>
      </c>
      <c r="B311" s="1">
        <f ca="1">IFERROR(__xludf.DUMMYFUNCTION("""COMPUTED_VALUE"""),120)</f>
        <v>120</v>
      </c>
      <c r="C311">
        <f t="shared" ca="1" si="4"/>
        <v>2022</v>
      </c>
    </row>
    <row r="312" spans="1:3" x14ac:dyDescent="0.25">
      <c r="A312" s="3">
        <f ca="1">IFERROR(__xludf.DUMMYFUNCTION("""COMPUTED_VALUE"""),44837.6666666666)</f>
        <v>44837.666666666599</v>
      </c>
      <c r="B312" s="1">
        <f ca="1">IFERROR(__xludf.DUMMYFUNCTION("""COMPUTED_VALUE"""),105.6)</f>
        <v>105.6</v>
      </c>
      <c r="C312">
        <f t="shared" ca="1" si="4"/>
        <v>2022</v>
      </c>
    </row>
    <row r="313" spans="1:3" x14ac:dyDescent="0.25">
      <c r="A313" s="3">
        <f ca="1">IFERROR(__xludf.DUMMYFUNCTION("""COMPUTED_VALUE"""),44834.6666666666)</f>
        <v>44834.666666666599</v>
      </c>
      <c r="B313" s="1">
        <f ca="1">IFERROR(__xludf.DUMMYFUNCTION("""COMPUTED_VALUE"""),106)</f>
        <v>106</v>
      </c>
      <c r="C313">
        <f t="shared" ca="1" si="4"/>
        <v>2022</v>
      </c>
    </row>
    <row r="314" spans="1:3" x14ac:dyDescent="0.25">
      <c r="A314" s="3">
        <f ca="1">IFERROR(__xludf.DUMMYFUNCTION("""COMPUTED_VALUE"""),44833.6666666666)</f>
        <v>44833.666666666599</v>
      </c>
      <c r="B314" s="1">
        <f ca="1">IFERROR(__xludf.DUMMYFUNCTION("""COMPUTED_VALUE"""),112)</f>
        <v>112</v>
      </c>
      <c r="C314">
        <f t="shared" ca="1" si="4"/>
        <v>2022</v>
      </c>
    </row>
    <row r="315" spans="1:3" x14ac:dyDescent="0.25">
      <c r="A315" s="3">
        <f ca="1">IFERROR(__xludf.DUMMYFUNCTION("""COMPUTED_VALUE"""),44832.6666666666)</f>
        <v>44832.666666666599</v>
      </c>
      <c r="B315" s="1">
        <f ca="1">IFERROR(__xludf.DUMMYFUNCTION("""COMPUTED_VALUE"""),121.2)</f>
        <v>121.2</v>
      </c>
      <c r="C315">
        <f t="shared" ca="1" si="4"/>
        <v>2022</v>
      </c>
    </row>
    <row r="316" spans="1:3" x14ac:dyDescent="0.25">
      <c r="A316" s="3">
        <f ca="1">IFERROR(__xludf.DUMMYFUNCTION("""COMPUTED_VALUE"""),44831.6666666666)</f>
        <v>44831.666666666599</v>
      </c>
      <c r="B316" s="1">
        <f ca="1">IFERROR(__xludf.DUMMYFUNCTION("""COMPUTED_VALUE"""),116)</f>
        <v>116</v>
      </c>
      <c r="C316">
        <f t="shared" ca="1" si="4"/>
        <v>2022</v>
      </c>
    </row>
    <row r="317" spans="1:3" x14ac:dyDescent="0.25">
      <c r="A317" s="3">
        <f ca="1">IFERROR(__xludf.DUMMYFUNCTION("""COMPUTED_VALUE"""),44830.6666666666)</f>
        <v>44830.666666666599</v>
      </c>
      <c r="B317" s="1">
        <f ca="1">IFERROR(__xludf.DUMMYFUNCTION("""COMPUTED_VALUE"""),123.6)</f>
        <v>123.6</v>
      </c>
      <c r="C317">
        <f t="shared" ca="1" si="4"/>
        <v>2022</v>
      </c>
    </row>
    <row r="318" spans="1:3" x14ac:dyDescent="0.25">
      <c r="A318" s="3">
        <f ca="1">IFERROR(__xludf.DUMMYFUNCTION("""COMPUTED_VALUE"""),44827.6666666666)</f>
        <v>44827.666666666599</v>
      </c>
      <c r="B318" s="1">
        <f ca="1">IFERROR(__xludf.DUMMYFUNCTION("""COMPUTED_VALUE"""),124.8)</f>
        <v>124.8</v>
      </c>
      <c r="C318">
        <f t="shared" ca="1" si="4"/>
        <v>2022</v>
      </c>
    </row>
    <row r="319" spans="1:3" x14ac:dyDescent="0.25">
      <c r="A319" s="3">
        <f ca="1">IFERROR(__xludf.DUMMYFUNCTION("""COMPUTED_VALUE"""),44826.6666666666)</f>
        <v>44826.666666666599</v>
      </c>
      <c r="B319" s="1">
        <f ca="1">IFERROR(__xludf.DUMMYFUNCTION("""COMPUTED_VALUE"""),131.2)</f>
        <v>131.19999999999999</v>
      </c>
      <c r="C319">
        <f t="shared" ca="1" si="4"/>
        <v>2022</v>
      </c>
    </row>
    <row r="320" spans="1:3" x14ac:dyDescent="0.25">
      <c r="A320" s="3">
        <f ca="1">IFERROR(__xludf.DUMMYFUNCTION("""COMPUTED_VALUE"""),44825.6666666666)</f>
        <v>44825.666666666599</v>
      </c>
      <c r="B320" s="1">
        <f ca="1">IFERROR(__xludf.DUMMYFUNCTION("""COMPUTED_VALUE"""),133.6)</f>
        <v>133.6</v>
      </c>
      <c r="C320">
        <f t="shared" ca="1" si="4"/>
        <v>2022</v>
      </c>
    </row>
    <row r="321" spans="1:3" x14ac:dyDescent="0.25">
      <c r="A321" s="3">
        <f ca="1">IFERROR(__xludf.DUMMYFUNCTION("""COMPUTED_VALUE"""),44824.6666666666)</f>
        <v>44824.666666666599</v>
      </c>
      <c r="B321" s="1">
        <f ca="1">IFERROR(__xludf.DUMMYFUNCTION("""COMPUTED_VALUE"""),137.6)</f>
        <v>137.6</v>
      </c>
      <c r="C321">
        <f t="shared" ca="1" si="4"/>
        <v>2022</v>
      </c>
    </row>
    <row r="322" spans="1:3" x14ac:dyDescent="0.25">
      <c r="A322" s="3">
        <f ca="1">IFERROR(__xludf.DUMMYFUNCTION("""COMPUTED_VALUE"""),44823.6666666666)</f>
        <v>44823.666666666599</v>
      </c>
      <c r="B322" s="1">
        <f ca="1">IFERROR(__xludf.DUMMYFUNCTION("""COMPUTED_VALUE"""),137.6)</f>
        <v>137.6</v>
      </c>
      <c r="C322">
        <f t="shared" ref="C322:C385" ca="1" si="5">YEAR(A322)</f>
        <v>2022</v>
      </c>
    </row>
    <row r="323" spans="1:3" x14ac:dyDescent="0.25">
      <c r="A323" s="3">
        <f ca="1">IFERROR(__xludf.DUMMYFUNCTION("""COMPUTED_VALUE"""),44820.6666666666)</f>
        <v>44820.666666666599</v>
      </c>
      <c r="B323" s="1">
        <f ca="1">IFERROR(__xludf.DUMMYFUNCTION("""COMPUTED_VALUE"""),145.2)</f>
        <v>145.19999999999999</v>
      </c>
      <c r="C323">
        <f t="shared" ca="1" si="5"/>
        <v>2022</v>
      </c>
    </row>
    <row r="324" spans="1:3" x14ac:dyDescent="0.25">
      <c r="A324" s="3">
        <f ca="1">IFERROR(__xludf.DUMMYFUNCTION("""COMPUTED_VALUE"""),44819.6666666666)</f>
        <v>44819.666666666599</v>
      </c>
      <c r="B324" s="1">
        <f ca="1">IFERROR(__xludf.DUMMYFUNCTION("""COMPUTED_VALUE"""),151.2)</f>
        <v>151.19999999999999</v>
      </c>
      <c r="C324">
        <f t="shared" ca="1" si="5"/>
        <v>2022</v>
      </c>
    </row>
    <row r="325" spans="1:3" x14ac:dyDescent="0.25">
      <c r="A325" s="3">
        <f ca="1">IFERROR(__xludf.DUMMYFUNCTION("""COMPUTED_VALUE"""),44818.6666666666)</f>
        <v>44818.666666666599</v>
      </c>
      <c r="B325" s="1">
        <f ca="1">IFERROR(__xludf.DUMMYFUNCTION("""COMPUTED_VALUE"""),160)</f>
        <v>160</v>
      </c>
      <c r="C325">
        <f t="shared" ca="1" si="5"/>
        <v>2022</v>
      </c>
    </row>
    <row r="326" spans="1:3" x14ac:dyDescent="0.25">
      <c r="A326" s="3">
        <f ca="1">IFERROR(__xludf.DUMMYFUNCTION("""COMPUTED_VALUE"""),44817.6666666666)</f>
        <v>44817.666666666599</v>
      </c>
      <c r="B326" s="1">
        <f ca="1">IFERROR(__xludf.DUMMYFUNCTION("""COMPUTED_VALUE"""),161.6)</f>
        <v>161.6</v>
      </c>
      <c r="C326">
        <f t="shared" ca="1" si="5"/>
        <v>2022</v>
      </c>
    </row>
    <row r="327" spans="1:3" x14ac:dyDescent="0.25">
      <c r="A327" s="3">
        <f ca="1">IFERROR(__xludf.DUMMYFUNCTION("""COMPUTED_VALUE"""),44816.6666666666)</f>
        <v>44816.666666666599</v>
      </c>
      <c r="B327" s="1">
        <f ca="1">IFERROR(__xludf.DUMMYFUNCTION("""COMPUTED_VALUE"""),172.4)</f>
        <v>172.4</v>
      </c>
      <c r="C327">
        <f t="shared" ca="1" si="5"/>
        <v>2022</v>
      </c>
    </row>
    <row r="328" spans="1:3" x14ac:dyDescent="0.25">
      <c r="A328" s="3">
        <f ca="1">IFERROR(__xludf.DUMMYFUNCTION("""COMPUTED_VALUE"""),44813.6666666666)</f>
        <v>44813.666666666599</v>
      </c>
      <c r="B328" s="1">
        <f ca="1">IFERROR(__xludf.DUMMYFUNCTION("""COMPUTED_VALUE"""),173.2)</f>
        <v>173.2</v>
      </c>
      <c r="C328">
        <f t="shared" ca="1" si="5"/>
        <v>2022</v>
      </c>
    </row>
    <row r="329" spans="1:3" x14ac:dyDescent="0.25">
      <c r="A329" s="3">
        <f ca="1">IFERROR(__xludf.DUMMYFUNCTION("""COMPUTED_VALUE"""),44812.6666666666)</f>
        <v>44812.666666666599</v>
      </c>
      <c r="B329" s="1">
        <f ca="1">IFERROR(__xludf.DUMMYFUNCTION("""COMPUTED_VALUE"""),163.6)</f>
        <v>163.6</v>
      </c>
      <c r="C329">
        <f t="shared" ca="1" si="5"/>
        <v>2022</v>
      </c>
    </row>
    <row r="330" spans="1:3" x14ac:dyDescent="0.25">
      <c r="A330" s="3">
        <f ca="1">IFERROR(__xludf.DUMMYFUNCTION("""COMPUTED_VALUE"""),44811.6666666666)</f>
        <v>44811.666666666599</v>
      </c>
      <c r="B330" s="1">
        <f ca="1">IFERROR(__xludf.DUMMYFUNCTION("""COMPUTED_VALUE"""),162.8)</f>
        <v>162.80000000000001</v>
      </c>
      <c r="C330">
        <f t="shared" ca="1" si="5"/>
        <v>2022</v>
      </c>
    </row>
    <row r="331" spans="1:3" x14ac:dyDescent="0.25">
      <c r="A331" s="3">
        <f ca="1">IFERROR(__xludf.DUMMYFUNCTION("""COMPUTED_VALUE"""),44810.6666666666)</f>
        <v>44810.666666666599</v>
      </c>
      <c r="B331" s="1">
        <f ca="1">IFERROR(__xludf.DUMMYFUNCTION("""COMPUTED_VALUE"""),159.2)</f>
        <v>159.19999999999999</v>
      </c>
      <c r="C331">
        <f t="shared" ca="1" si="5"/>
        <v>2022</v>
      </c>
    </row>
    <row r="332" spans="1:3" x14ac:dyDescent="0.25">
      <c r="A332" s="3">
        <f ca="1">IFERROR(__xludf.DUMMYFUNCTION("""COMPUTED_VALUE"""),44806.6666666666)</f>
        <v>44806.666666666599</v>
      </c>
      <c r="B332" s="1">
        <f ca="1">IFERROR(__xludf.DUMMYFUNCTION("""COMPUTED_VALUE"""),156.4)</f>
        <v>156.4</v>
      </c>
      <c r="C332">
        <f t="shared" ca="1" si="5"/>
        <v>2022</v>
      </c>
    </row>
    <row r="333" spans="1:3" x14ac:dyDescent="0.25">
      <c r="A333" s="3">
        <f ca="1">IFERROR(__xludf.DUMMYFUNCTION("""COMPUTED_VALUE"""),44805.6666666666)</f>
        <v>44805.666666666599</v>
      </c>
      <c r="B333" s="1">
        <f ca="1">IFERROR(__xludf.DUMMYFUNCTION("""COMPUTED_VALUE"""),158)</f>
        <v>158</v>
      </c>
      <c r="C333">
        <f t="shared" ca="1" si="5"/>
        <v>2022</v>
      </c>
    </row>
    <row r="334" spans="1:3" x14ac:dyDescent="0.25">
      <c r="A334" s="3">
        <f ca="1">IFERROR(__xludf.DUMMYFUNCTION("""COMPUTED_VALUE"""),44804.6666666666)</f>
        <v>44804.666666666599</v>
      </c>
      <c r="B334" s="1">
        <f ca="1">IFERROR(__xludf.DUMMYFUNCTION("""COMPUTED_VALUE"""),164)</f>
        <v>164</v>
      </c>
      <c r="C334">
        <f t="shared" ca="1" si="5"/>
        <v>2022</v>
      </c>
    </row>
    <row r="335" spans="1:3" x14ac:dyDescent="0.25">
      <c r="A335" s="3">
        <f ca="1">IFERROR(__xludf.DUMMYFUNCTION("""COMPUTED_VALUE"""),44803.6666666666)</f>
        <v>44803.666666666599</v>
      </c>
      <c r="B335" s="1">
        <f ca="1">IFERROR(__xludf.DUMMYFUNCTION("""COMPUTED_VALUE"""),166)</f>
        <v>166</v>
      </c>
      <c r="C335">
        <f t="shared" ca="1" si="5"/>
        <v>2022</v>
      </c>
    </row>
    <row r="336" spans="1:3" x14ac:dyDescent="0.25">
      <c r="A336" s="3">
        <f ca="1">IFERROR(__xludf.DUMMYFUNCTION("""COMPUTED_VALUE"""),44802.6666666666)</f>
        <v>44802.666666666599</v>
      </c>
      <c r="B336" s="1">
        <f ca="1">IFERROR(__xludf.DUMMYFUNCTION("""COMPUTED_VALUE"""),162)</f>
        <v>162</v>
      </c>
      <c r="C336">
        <f t="shared" ca="1" si="5"/>
        <v>2022</v>
      </c>
    </row>
    <row r="337" spans="1:3" x14ac:dyDescent="0.25">
      <c r="A337" s="3">
        <f ca="1">IFERROR(__xludf.DUMMYFUNCTION("""COMPUTED_VALUE"""),44799.6666666666)</f>
        <v>44799.666666666599</v>
      </c>
      <c r="B337" s="1">
        <f ca="1">IFERROR(__xludf.DUMMYFUNCTION("""COMPUTED_VALUE"""),168.8)</f>
        <v>168.8</v>
      </c>
      <c r="C337">
        <f t="shared" ca="1" si="5"/>
        <v>2022</v>
      </c>
    </row>
    <row r="338" spans="1:3" x14ac:dyDescent="0.25">
      <c r="A338" s="3">
        <f ca="1">IFERROR(__xludf.DUMMYFUNCTION("""COMPUTED_VALUE"""),44798.6666666666)</f>
        <v>44798.666666666599</v>
      </c>
      <c r="B338" s="1">
        <f ca="1">IFERROR(__xludf.DUMMYFUNCTION("""COMPUTED_VALUE"""),182.4)</f>
        <v>182.4</v>
      </c>
      <c r="C338">
        <f t="shared" ca="1" si="5"/>
        <v>2022</v>
      </c>
    </row>
    <row r="339" spans="1:3" x14ac:dyDescent="0.25">
      <c r="A339" s="3">
        <f ca="1">IFERROR(__xludf.DUMMYFUNCTION("""COMPUTED_VALUE"""),44797.6666666666)</f>
        <v>44797.666666666599</v>
      </c>
      <c r="B339" s="1">
        <f ca="1">IFERROR(__xludf.DUMMYFUNCTION("""COMPUTED_VALUE"""),177.6)</f>
        <v>177.6</v>
      </c>
      <c r="C339">
        <f t="shared" ca="1" si="5"/>
        <v>2022</v>
      </c>
    </row>
    <row r="340" spans="1:3" x14ac:dyDescent="0.25">
      <c r="A340" s="3">
        <f ca="1">IFERROR(__xludf.DUMMYFUNCTION("""COMPUTED_VALUE"""),44796.6666666666)</f>
        <v>44796.666666666599</v>
      </c>
      <c r="B340" s="1">
        <f ca="1">IFERROR(__xludf.DUMMYFUNCTION("""COMPUTED_VALUE"""),172.4)</f>
        <v>172.4</v>
      </c>
      <c r="C340">
        <f t="shared" ca="1" si="5"/>
        <v>2022</v>
      </c>
    </row>
    <row r="341" spans="1:3" x14ac:dyDescent="0.25">
      <c r="A341" s="3">
        <f ca="1">IFERROR(__xludf.DUMMYFUNCTION("""COMPUTED_VALUE"""),44795.6666666666)</f>
        <v>44795.666666666599</v>
      </c>
      <c r="B341" s="1">
        <f ca="1">IFERROR(__xludf.DUMMYFUNCTION("""COMPUTED_VALUE"""),170.4)</f>
        <v>170.4</v>
      </c>
      <c r="C341">
        <f t="shared" ca="1" si="5"/>
        <v>2022</v>
      </c>
    </row>
    <row r="342" spans="1:3" x14ac:dyDescent="0.25">
      <c r="A342" s="3">
        <f ca="1">IFERROR(__xludf.DUMMYFUNCTION("""COMPUTED_VALUE"""),44792.6666666666)</f>
        <v>44792.666666666599</v>
      </c>
      <c r="B342" s="1">
        <f ca="1">IFERROR(__xludf.DUMMYFUNCTION("""COMPUTED_VALUE"""),180.8)</f>
        <v>180.8</v>
      </c>
      <c r="C342">
        <f t="shared" ca="1" si="5"/>
        <v>2022</v>
      </c>
    </row>
    <row r="343" spans="1:3" x14ac:dyDescent="0.25">
      <c r="A343" s="3">
        <f ca="1">IFERROR(__xludf.DUMMYFUNCTION("""COMPUTED_VALUE"""),44791.6666666666)</f>
        <v>44791.666666666599</v>
      </c>
      <c r="B343" s="1">
        <f ca="1">IFERROR(__xludf.DUMMYFUNCTION("""COMPUTED_VALUE"""),196)</f>
        <v>196</v>
      </c>
      <c r="C343">
        <f t="shared" ca="1" si="5"/>
        <v>2022</v>
      </c>
    </row>
    <row r="344" spans="1:3" x14ac:dyDescent="0.25">
      <c r="A344" s="3">
        <f ca="1">IFERROR(__xludf.DUMMYFUNCTION("""COMPUTED_VALUE"""),44790.6666666666)</f>
        <v>44790.666666666599</v>
      </c>
      <c r="B344" s="1">
        <f ca="1">IFERROR(__xludf.DUMMYFUNCTION("""COMPUTED_VALUE"""),210)</f>
        <v>210</v>
      </c>
      <c r="C344">
        <f t="shared" ca="1" si="5"/>
        <v>2022</v>
      </c>
    </row>
    <row r="345" spans="1:3" x14ac:dyDescent="0.25">
      <c r="A345" s="3">
        <f ca="1">IFERROR(__xludf.DUMMYFUNCTION("""COMPUTED_VALUE"""),44789.6666666666)</f>
        <v>44789.666666666599</v>
      </c>
      <c r="B345" s="1">
        <f ca="1">IFERROR(__xludf.DUMMYFUNCTION("""COMPUTED_VALUE"""),230.4)</f>
        <v>230.4</v>
      </c>
      <c r="C345">
        <f t="shared" ca="1" si="5"/>
        <v>2022</v>
      </c>
    </row>
    <row r="346" spans="1:3" x14ac:dyDescent="0.25">
      <c r="A346" s="3">
        <f ca="1">IFERROR(__xludf.DUMMYFUNCTION("""COMPUTED_VALUE"""),44788.6666666666)</f>
        <v>44788.666666666599</v>
      </c>
      <c r="B346" s="1">
        <f ca="1">IFERROR(__xludf.DUMMYFUNCTION("""COMPUTED_VALUE"""),218.8)</f>
        <v>218.8</v>
      </c>
      <c r="C346">
        <f t="shared" ca="1" si="5"/>
        <v>2022</v>
      </c>
    </row>
    <row r="347" spans="1:3" x14ac:dyDescent="0.25">
      <c r="A347" s="3">
        <f ca="1">IFERROR(__xludf.DUMMYFUNCTION("""COMPUTED_VALUE"""),44785.6666666666)</f>
        <v>44785.666666666599</v>
      </c>
      <c r="B347" s="1">
        <f ca="1">IFERROR(__xludf.DUMMYFUNCTION("""COMPUTED_VALUE"""),229.6)</f>
        <v>229.6</v>
      </c>
      <c r="C347">
        <f t="shared" ca="1" si="5"/>
        <v>2022</v>
      </c>
    </row>
    <row r="348" spans="1:3" x14ac:dyDescent="0.25">
      <c r="A348" s="3">
        <f ca="1">IFERROR(__xludf.DUMMYFUNCTION("""COMPUTED_VALUE"""),44784.6666666666)</f>
        <v>44784.666666666599</v>
      </c>
      <c r="B348" s="1">
        <f ca="1">IFERROR(__xludf.DUMMYFUNCTION("""COMPUTED_VALUE"""),223.2)</f>
        <v>223.2</v>
      </c>
      <c r="C348">
        <f t="shared" ca="1" si="5"/>
        <v>2022</v>
      </c>
    </row>
    <row r="349" spans="1:3" x14ac:dyDescent="0.25">
      <c r="A349" s="3">
        <f ca="1">IFERROR(__xludf.DUMMYFUNCTION("""COMPUTED_VALUE"""),44783.6666666666)</f>
        <v>44783.666666666599</v>
      </c>
      <c r="B349" s="1">
        <f ca="1">IFERROR(__xludf.DUMMYFUNCTION("""COMPUTED_VALUE"""),204.4)</f>
        <v>204.4</v>
      </c>
      <c r="C349">
        <f t="shared" ca="1" si="5"/>
        <v>2022</v>
      </c>
    </row>
    <row r="350" spans="1:3" x14ac:dyDescent="0.25">
      <c r="A350" s="3">
        <f ca="1">IFERROR(__xludf.DUMMYFUNCTION("""COMPUTED_VALUE"""),44782.6666666666)</f>
        <v>44782.666666666599</v>
      </c>
      <c r="B350" s="1">
        <f ca="1">IFERROR(__xludf.DUMMYFUNCTION("""COMPUTED_VALUE"""),186)</f>
        <v>186</v>
      </c>
      <c r="C350">
        <f t="shared" ca="1" si="5"/>
        <v>2022</v>
      </c>
    </row>
    <row r="351" spans="1:3" x14ac:dyDescent="0.25">
      <c r="A351" s="3">
        <f ca="1">IFERROR(__xludf.DUMMYFUNCTION("""COMPUTED_VALUE"""),44781.6666666666)</f>
        <v>44781.666666666599</v>
      </c>
      <c r="B351" s="1">
        <f ca="1">IFERROR(__xludf.DUMMYFUNCTION("""COMPUTED_VALUE"""),202.8)</f>
        <v>202.8</v>
      </c>
      <c r="C351">
        <f t="shared" ca="1" si="5"/>
        <v>2022</v>
      </c>
    </row>
    <row r="352" spans="1:3" x14ac:dyDescent="0.25">
      <c r="A352" s="3">
        <f ca="1">IFERROR(__xludf.DUMMYFUNCTION("""COMPUTED_VALUE"""),44778.6666666666)</f>
        <v>44778.666666666599</v>
      </c>
      <c r="B352" s="1">
        <f ca="1">IFERROR(__xludf.DUMMYFUNCTION("""COMPUTED_VALUE"""),187.6)</f>
        <v>187.6</v>
      </c>
      <c r="C352">
        <f t="shared" ca="1" si="5"/>
        <v>2022</v>
      </c>
    </row>
    <row r="353" spans="1:3" x14ac:dyDescent="0.25">
      <c r="A353" s="3">
        <f ca="1">IFERROR(__xludf.DUMMYFUNCTION("""COMPUTED_VALUE"""),44777.6666666666)</f>
        <v>44777.666666666599</v>
      </c>
      <c r="B353" s="1">
        <f ca="1">IFERROR(__xludf.DUMMYFUNCTION("""COMPUTED_VALUE"""),189.2)</f>
        <v>189.2</v>
      </c>
      <c r="C353">
        <f t="shared" ca="1" si="5"/>
        <v>2022</v>
      </c>
    </row>
    <row r="354" spans="1:3" x14ac:dyDescent="0.25">
      <c r="A354" s="3">
        <f ca="1">IFERROR(__xludf.DUMMYFUNCTION("""COMPUTED_VALUE"""),44776.6666666666)</f>
        <v>44776.666666666599</v>
      </c>
      <c r="B354" s="1">
        <f ca="1">IFERROR(__xludf.DUMMYFUNCTION("""COMPUTED_VALUE"""),206.8)</f>
        <v>206.8</v>
      </c>
      <c r="C354">
        <f t="shared" ca="1" si="5"/>
        <v>2022</v>
      </c>
    </row>
    <row r="355" spans="1:3" x14ac:dyDescent="0.25">
      <c r="A355" s="3">
        <f ca="1">IFERROR(__xludf.DUMMYFUNCTION("""COMPUTED_VALUE"""),44775.6666666666)</f>
        <v>44775.666666666599</v>
      </c>
      <c r="B355" s="1">
        <f ca="1">IFERROR(__xludf.DUMMYFUNCTION("""COMPUTED_VALUE"""),191.2)</f>
        <v>191.2</v>
      </c>
      <c r="C355">
        <f t="shared" ca="1" si="5"/>
        <v>2022</v>
      </c>
    </row>
    <row r="356" spans="1:3" x14ac:dyDescent="0.25">
      <c r="A356" s="3">
        <f ca="1">IFERROR(__xludf.DUMMYFUNCTION("""COMPUTED_VALUE"""),44774.6666666666)</f>
        <v>44774.666666666599</v>
      </c>
      <c r="B356" s="1">
        <f ca="1">IFERROR(__xludf.DUMMYFUNCTION("""COMPUTED_VALUE"""),185.6)</f>
        <v>185.6</v>
      </c>
      <c r="C356">
        <f t="shared" ca="1" si="5"/>
        <v>2022</v>
      </c>
    </row>
    <row r="357" spans="1:3" x14ac:dyDescent="0.25">
      <c r="A357" s="3">
        <f ca="1">IFERROR(__xludf.DUMMYFUNCTION("""COMPUTED_VALUE"""),44771.6666666666)</f>
        <v>44771.666666666599</v>
      </c>
      <c r="B357" s="1">
        <f ca="1">IFERROR(__xludf.DUMMYFUNCTION("""COMPUTED_VALUE"""),190.8)</f>
        <v>190.8</v>
      </c>
      <c r="C357">
        <f t="shared" ca="1" si="5"/>
        <v>2022</v>
      </c>
    </row>
    <row r="358" spans="1:3" x14ac:dyDescent="0.25">
      <c r="A358" s="3">
        <f ca="1">IFERROR(__xludf.DUMMYFUNCTION("""COMPUTED_VALUE"""),44770.6666666666)</f>
        <v>44770.666666666599</v>
      </c>
      <c r="B358" s="1">
        <f ca="1">IFERROR(__xludf.DUMMYFUNCTION("""COMPUTED_VALUE"""),196)</f>
        <v>196</v>
      </c>
      <c r="C358">
        <f t="shared" ca="1" si="5"/>
        <v>2022</v>
      </c>
    </row>
    <row r="359" spans="1:3" x14ac:dyDescent="0.25">
      <c r="A359" s="3">
        <f ca="1">IFERROR(__xludf.DUMMYFUNCTION("""COMPUTED_VALUE"""),44769.6666666666)</f>
        <v>44769.666666666599</v>
      </c>
      <c r="B359" s="1">
        <f ca="1">IFERROR(__xludf.DUMMYFUNCTION("""COMPUTED_VALUE"""),200.4)</f>
        <v>200.4</v>
      </c>
      <c r="C359">
        <f t="shared" ca="1" si="5"/>
        <v>2022</v>
      </c>
    </row>
    <row r="360" spans="1:3" x14ac:dyDescent="0.25">
      <c r="A360" s="3">
        <f ca="1">IFERROR(__xludf.DUMMYFUNCTION("""COMPUTED_VALUE"""),44768.6666666666)</f>
        <v>44768.666666666599</v>
      </c>
      <c r="B360" s="1">
        <f ca="1">IFERROR(__xludf.DUMMYFUNCTION("""COMPUTED_VALUE"""),191.6)</f>
        <v>191.6</v>
      </c>
      <c r="C360">
        <f t="shared" ca="1" si="5"/>
        <v>2022</v>
      </c>
    </row>
    <row r="361" spans="1:3" x14ac:dyDescent="0.25">
      <c r="A361" s="3">
        <f ca="1">IFERROR(__xludf.DUMMYFUNCTION("""COMPUTED_VALUE"""),44767.6666666666)</f>
        <v>44767.666666666599</v>
      </c>
      <c r="B361" s="1">
        <f ca="1">IFERROR(__xludf.DUMMYFUNCTION("""COMPUTED_VALUE"""),200.8)</f>
        <v>200.8</v>
      </c>
      <c r="C361">
        <f t="shared" ca="1" si="5"/>
        <v>2022</v>
      </c>
    </row>
    <row r="362" spans="1:3" x14ac:dyDescent="0.25">
      <c r="A362" s="3">
        <f ca="1">IFERROR(__xludf.DUMMYFUNCTION("""COMPUTED_VALUE"""),44764.6666666666)</f>
        <v>44764.666666666599</v>
      </c>
      <c r="B362" s="1">
        <f ca="1">IFERROR(__xludf.DUMMYFUNCTION("""COMPUTED_VALUE"""),203.6)</f>
        <v>203.6</v>
      </c>
      <c r="C362">
        <f t="shared" ca="1" si="5"/>
        <v>2022</v>
      </c>
    </row>
    <row r="363" spans="1:3" x14ac:dyDescent="0.25">
      <c r="A363" s="3">
        <f ca="1">IFERROR(__xludf.DUMMYFUNCTION("""COMPUTED_VALUE"""),44763.6666666666)</f>
        <v>44763.666666666599</v>
      </c>
      <c r="B363" s="1">
        <f ca="1">IFERROR(__xludf.DUMMYFUNCTION("""COMPUTED_VALUE"""),208.8)</f>
        <v>208.8</v>
      </c>
      <c r="C363">
        <f t="shared" ca="1" si="5"/>
        <v>2022</v>
      </c>
    </row>
    <row r="364" spans="1:3" x14ac:dyDescent="0.25">
      <c r="A364" s="3">
        <f ca="1">IFERROR(__xludf.DUMMYFUNCTION("""COMPUTED_VALUE"""),44762.6666666666)</f>
        <v>44762.666666666599</v>
      </c>
      <c r="B364" s="1">
        <f ca="1">IFERROR(__xludf.DUMMYFUNCTION("""COMPUTED_VALUE"""),216.4)</f>
        <v>216.4</v>
      </c>
      <c r="C364">
        <f t="shared" ca="1" si="5"/>
        <v>2022</v>
      </c>
    </row>
    <row r="365" spans="1:3" x14ac:dyDescent="0.25">
      <c r="A365" s="3">
        <f ca="1">IFERROR(__xludf.DUMMYFUNCTION("""COMPUTED_VALUE"""),44761.6666666666)</f>
        <v>44761.666666666599</v>
      </c>
      <c r="B365" s="1">
        <f ca="1">IFERROR(__xludf.DUMMYFUNCTION("""COMPUTED_VALUE"""),210.4)</f>
        <v>210.4</v>
      </c>
      <c r="C365">
        <f t="shared" ca="1" si="5"/>
        <v>2022</v>
      </c>
    </row>
    <row r="366" spans="1:3" x14ac:dyDescent="0.25">
      <c r="A366" s="3">
        <f ca="1">IFERROR(__xludf.DUMMYFUNCTION("""COMPUTED_VALUE"""),44760.6666666666)</f>
        <v>44760.666666666599</v>
      </c>
      <c r="B366" s="1">
        <f ca="1">IFERROR(__xludf.DUMMYFUNCTION("""COMPUTED_VALUE"""),208)</f>
        <v>208</v>
      </c>
      <c r="C366">
        <f t="shared" ca="1" si="5"/>
        <v>2022</v>
      </c>
    </row>
    <row r="367" spans="1:3" x14ac:dyDescent="0.25">
      <c r="A367" s="3">
        <f ca="1">IFERROR(__xludf.DUMMYFUNCTION("""COMPUTED_VALUE"""),44757.6666666666)</f>
        <v>44757.666666666599</v>
      </c>
      <c r="B367" s="1">
        <f ca="1">IFERROR(__xludf.DUMMYFUNCTION("""COMPUTED_VALUE"""),211.2)</f>
        <v>211.2</v>
      </c>
      <c r="C367">
        <f t="shared" ca="1" si="5"/>
        <v>2022</v>
      </c>
    </row>
    <row r="368" spans="1:3" x14ac:dyDescent="0.25">
      <c r="A368" s="3">
        <f ca="1">IFERROR(__xludf.DUMMYFUNCTION("""COMPUTED_VALUE"""),44756.6666666666)</f>
        <v>44756.666666666599</v>
      </c>
      <c r="B368" s="1">
        <f ca="1">IFERROR(__xludf.DUMMYFUNCTION("""COMPUTED_VALUE"""),198.4)</f>
        <v>198.4</v>
      </c>
      <c r="C368">
        <f t="shared" ca="1" si="5"/>
        <v>2022</v>
      </c>
    </row>
    <row r="369" spans="1:3" x14ac:dyDescent="0.25">
      <c r="A369" s="3">
        <f ca="1">IFERROR(__xludf.DUMMYFUNCTION("""COMPUTED_VALUE"""),44755.6666666666)</f>
        <v>44755.666666666599</v>
      </c>
      <c r="B369" s="1">
        <f ca="1">IFERROR(__xludf.DUMMYFUNCTION("""COMPUTED_VALUE"""),206)</f>
        <v>206</v>
      </c>
      <c r="C369">
        <f t="shared" ca="1" si="5"/>
        <v>2022</v>
      </c>
    </row>
    <row r="370" spans="1:3" x14ac:dyDescent="0.25">
      <c r="A370" s="3">
        <f ca="1">IFERROR(__xludf.DUMMYFUNCTION("""COMPUTED_VALUE"""),44754.6666666666)</f>
        <v>44754.666666666599</v>
      </c>
      <c r="B370" s="1">
        <f ca="1">IFERROR(__xludf.DUMMYFUNCTION("""COMPUTED_VALUE"""),218)</f>
        <v>218</v>
      </c>
      <c r="C370">
        <f t="shared" ca="1" si="5"/>
        <v>2022</v>
      </c>
    </row>
    <row r="371" spans="1:3" x14ac:dyDescent="0.25">
      <c r="A371" s="3">
        <f ca="1">IFERROR(__xludf.DUMMYFUNCTION("""COMPUTED_VALUE"""),44753.6666666666)</f>
        <v>44753.666666666599</v>
      </c>
      <c r="B371" s="1">
        <f ca="1">IFERROR(__xludf.DUMMYFUNCTION("""COMPUTED_VALUE"""),206.4)</f>
        <v>206.4</v>
      </c>
      <c r="C371">
        <f t="shared" ca="1" si="5"/>
        <v>2022</v>
      </c>
    </row>
    <row r="372" spans="1:3" x14ac:dyDescent="0.25">
      <c r="A372" s="3">
        <f ca="1">IFERROR(__xludf.DUMMYFUNCTION("""COMPUTED_VALUE"""),44750.6666666666)</f>
        <v>44750.666666666599</v>
      </c>
      <c r="B372" s="1">
        <f ca="1">IFERROR(__xludf.DUMMYFUNCTION("""COMPUTED_VALUE"""),206)</f>
        <v>206</v>
      </c>
      <c r="C372">
        <f t="shared" ca="1" si="5"/>
        <v>2022</v>
      </c>
    </row>
    <row r="373" spans="1:3" x14ac:dyDescent="0.25">
      <c r="A373" s="3">
        <f ca="1">IFERROR(__xludf.DUMMYFUNCTION("""COMPUTED_VALUE"""),44749.6666666666)</f>
        <v>44749.666666666599</v>
      </c>
      <c r="B373" s="1">
        <f ca="1">IFERROR(__xludf.DUMMYFUNCTION("""COMPUTED_VALUE"""),217.6)</f>
        <v>217.6</v>
      </c>
      <c r="C373">
        <f t="shared" ca="1" si="5"/>
        <v>2022</v>
      </c>
    </row>
    <row r="374" spans="1:3" x14ac:dyDescent="0.25">
      <c r="A374" s="3">
        <f ca="1">IFERROR(__xludf.DUMMYFUNCTION("""COMPUTED_VALUE"""),44748.6666666666)</f>
        <v>44748.666666666599</v>
      </c>
      <c r="B374" s="1">
        <f ca="1">IFERROR(__xludf.DUMMYFUNCTION("""COMPUTED_VALUE"""),198.8)</f>
        <v>198.8</v>
      </c>
      <c r="C374">
        <f t="shared" ca="1" si="5"/>
        <v>2022</v>
      </c>
    </row>
    <row r="375" spans="1:3" x14ac:dyDescent="0.25">
      <c r="A375" s="3">
        <f ca="1">IFERROR(__xludf.DUMMYFUNCTION("""COMPUTED_VALUE"""),44747.6666666666)</f>
        <v>44747.666666666599</v>
      </c>
      <c r="B375" s="1">
        <f ca="1">IFERROR(__xludf.DUMMYFUNCTION("""COMPUTED_VALUE"""),207.6)</f>
        <v>207.6</v>
      </c>
      <c r="C375">
        <f t="shared" ca="1" si="5"/>
        <v>2022</v>
      </c>
    </row>
    <row r="376" spans="1:3" x14ac:dyDescent="0.25">
      <c r="A376" s="3">
        <f ca="1">IFERROR(__xludf.DUMMYFUNCTION("""COMPUTED_VALUE"""),44743.6666666666)</f>
        <v>44743.666666666599</v>
      </c>
      <c r="B376" s="1">
        <f ca="1">IFERROR(__xludf.DUMMYFUNCTION("""COMPUTED_VALUE"""),198.8)</f>
        <v>198.8</v>
      </c>
      <c r="C376">
        <f t="shared" ca="1" si="5"/>
        <v>2022</v>
      </c>
    </row>
    <row r="377" spans="1:3" x14ac:dyDescent="0.25">
      <c r="A377" s="3">
        <f ca="1">IFERROR(__xludf.DUMMYFUNCTION("""COMPUTED_VALUE"""),44742.6666666666)</f>
        <v>44742.666666666599</v>
      </c>
      <c r="B377" s="1">
        <f ca="1">IFERROR(__xludf.DUMMYFUNCTION("""COMPUTED_VALUE"""),200.8)</f>
        <v>200.8</v>
      </c>
      <c r="C377">
        <f t="shared" ca="1" si="5"/>
        <v>2022</v>
      </c>
    </row>
    <row r="378" spans="1:3" x14ac:dyDescent="0.25">
      <c r="A378" s="3">
        <f ca="1">IFERROR(__xludf.DUMMYFUNCTION("""COMPUTED_VALUE"""),44741.6666666666)</f>
        <v>44741.666666666599</v>
      </c>
      <c r="B378" s="1">
        <f ca="1">IFERROR(__xludf.DUMMYFUNCTION("""COMPUTED_VALUE"""),204)</f>
        <v>204</v>
      </c>
      <c r="C378">
        <f t="shared" ca="1" si="5"/>
        <v>2022</v>
      </c>
    </row>
    <row r="379" spans="1:3" x14ac:dyDescent="0.25">
      <c r="A379" s="3">
        <f ca="1">IFERROR(__xludf.DUMMYFUNCTION("""COMPUTED_VALUE"""),44740.6666666666)</f>
        <v>44740.666666666599</v>
      </c>
      <c r="B379" s="1">
        <f ca="1">IFERROR(__xludf.DUMMYFUNCTION("""COMPUTED_VALUE"""),220.8)</f>
        <v>220.8</v>
      </c>
      <c r="C379">
        <f t="shared" ca="1" si="5"/>
        <v>2022</v>
      </c>
    </row>
    <row r="380" spans="1:3" x14ac:dyDescent="0.25">
      <c r="A380" s="3">
        <f ca="1">IFERROR(__xludf.DUMMYFUNCTION("""COMPUTED_VALUE"""),44739.6666666666)</f>
        <v>44739.666666666599</v>
      </c>
      <c r="B380" s="1">
        <f ca="1">IFERROR(__xludf.DUMMYFUNCTION("""COMPUTED_VALUE"""),240)</f>
        <v>240</v>
      </c>
      <c r="C380">
        <f t="shared" ca="1" si="5"/>
        <v>2022</v>
      </c>
    </row>
    <row r="381" spans="1:3" x14ac:dyDescent="0.25">
      <c r="A381" s="3">
        <f ca="1">IFERROR(__xludf.DUMMYFUNCTION("""COMPUTED_VALUE"""),44736.6666666666)</f>
        <v>44736.666666666599</v>
      </c>
      <c r="B381" s="1">
        <f ca="1">IFERROR(__xludf.DUMMYFUNCTION("""COMPUTED_VALUE"""),247.6)</f>
        <v>247.6</v>
      </c>
      <c r="C381">
        <f t="shared" ca="1" si="5"/>
        <v>2022</v>
      </c>
    </row>
    <row r="382" spans="1:3" x14ac:dyDescent="0.25">
      <c r="A382" s="3">
        <f ca="1">IFERROR(__xludf.DUMMYFUNCTION("""COMPUTED_VALUE"""),44735.6666666666)</f>
        <v>44735.666666666599</v>
      </c>
      <c r="B382" s="1">
        <f ca="1">IFERROR(__xludf.DUMMYFUNCTION("""COMPUTED_VALUE"""),250.8)</f>
        <v>250.8</v>
      </c>
      <c r="C382">
        <f t="shared" ca="1" si="5"/>
        <v>2022</v>
      </c>
    </row>
    <row r="383" spans="1:3" x14ac:dyDescent="0.25">
      <c r="A383" s="3">
        <f ca="1">IFERROR(__xludf.DUMMYFUNCTION("""COMPUTED_VALUE"""),44734.6666666666)</f>
        <v>44734.666666666599</v>
      </c>
      <c r="B383" s="1">
        <f ca="1">IFERROR(__xludf.DUMMYFUNCTION("""COMPUTED_VALUE"""),216.8)</f>
        <v>216.8</v>
      </c>
      <c r="C383">
        <f t="shared" ca="1" si="5"/>
        <v>2022</v>
      </c>
    </row>
    <row r="384" spans="1:3" x14ac:dyDescent="0.25">
      <c r="A384" s="3">
        <f ca="1">IFERROR(__xludf.DUMMYFUNCTION("""COMPUTED_VALUE"""),44733.6666666666)</f>
        <v>44733.666666666599</v>
      </c>
      <c r="B384" s="1">
        <f ca="1">IFERROR(__xludf.DUMMYFUNCTION("""COMPUTED_VALUE"""),219.2)</f>
        <v>219.2</v>
      </c>
      <c r="C384">
        <f t="shared" ca="1" si="5"/>
        <v>2022</v>
      </c>
    </row>
    <row r="385" spans="1:3" x14ac:dyDescent="0.25">
      <c r="A385" s="3">
        <f ca="1">IFERROR(__xludf.DUMMYFUNCTION("""COMPUTED_VALUE"""),44729.6666666666)</f>
        <v>44729.666666666599</v>
      </c>
      <c r="B385" s="1">
        <f ca="1">IFERROR(__xludf.DUMMYFUNCTION("""COMPUTED_VALUE"""),214)</f>
        <v>214</v>
      </c>
      <c r="C385">
        <f t="shared" ca="1" si="5"/>
        <v>2022</v>
      </c>
    </row>
    <row r="386" spans="1:3" x14ac:dyDescent="0.25">
      <c r="A386" s="3">
        <f ca="1">IFERROR(__xludf.DUMMYFUNCTION("""COMPUTED_VALUE"""),44728.6666666666)</f>
        <v>44728.666666666599</v>
      </c>
      <c r="B386" s="1">
        <f ca="1">IFERROR(__xludf.DUMMYFUNCTION("""COMPUTED_VALUE"""),209.6)</f>
        <v>209.6</v>
      </c>
      <c r="C386">
        <f t="shared" ref="C386:C449" ca="1" si="6">YEAR(A386)</f>
        <v>2022</v>
      </c>
    </row>
    <row r="387" spans="1:3" x14ac:dyDescent="0.25">
      <c r="A387" s="3">
        <f ca="1">IFERROR(__xludf.DUMMYFUNCTION("""COMPUTED_VALUE"""),44727.6666666666)</f>
        <v>44727.666666666599</v>
      </c>
      <c r="B387" s="1">
        <f ca="1">IFERROR(__xludf.DUMMYFUNCTION("""COMPUTED_VALUE"""),217.6)</f>
        <v>217.6</v>
      </c>
      <c r="C387">
        <f t="shared" ca="1" si="6"/>
        <v>2022</v>
      </c>
    </row>
    <row r="388" spans="1:3" x14ac:dyDescent="0.25">
      <c r="A388" s="3">
        <f ca="1">IFERROR(__xludf.DUMMYFUNCTION("""COMPUTED_VALUE"""),44726.6666666666)</f>
        <v>44726.666666666599</v>
      </c>
      <c r="B388" s="1">
        <f ca="1">IFERROR(__xludf.DUMMYFUNCTION("""COMPUTED_VALUE"""),204.8)</f>
        <v>204.8</v>
      </c>
      <c r="C388">
        <f t="shared" ca="1" si="6"/>
        <v>2022</v>
      </c>
    </row>
    <row r="389" spans="1:3" x14ac:dyDescent="0.25">
      <c r="A389" s="3">
        <f ca="1">IFERROR(__xludf.DUMMYFUNCTION("""COMPUTED_VALUE"""),44725.6666666666)</f>
        <v>44725.666666666599</v>
      </c>
      <c r="B389" s="1">
        <f ca="1">IFERROR(__xludf.DUMMYFUNCTION("""COMPUTED_VALUE"""),203.2)</f>
        <v>203.2</v>
      </c>
      <c r="C389">
        <f t="shared" ca="1" si="6"/>
        <v>2022</v>
      </c>
    </row>
    <row r="390" spans="1:3" x14ac:dyDescent="0.25">
      <c r="A390" s="3">
        <f ca="1">IFERROR(__xludf.DUMMYFUNCTION("""COMPUTED_VALUE"""),44722.6666666666)</f>
        <v>44722.666666666599</v>
      </c>
      <c r="B390" s="1">
        <f ca="1">IFERROR(__xludf.DUMMYFUNCTION("""COMPUTED_VALUE"""),238.4)</f>
        <v>238.4</v>
      </c>
      <c r="C390">
        <f t="shared" ca="1" si="6"/>
        <v>2022</v>
      </c>
    </row>
    <row r="391" spans="1:3" x14ac:dyDescent="0.25">
      <c r="A391" s="3">
        <f ca="1">IFERROR(__xludf.DUMMYFUNCTION("""COMPUTED_VALUE"""),44721.6666666666)</f>
        <v>44721.666666666599</v>
      </c>
      <c r="B391" s="1">
        <f ca="1">IFERROR(__xludf.DUMMYFUNCTION("""COMPUTED_VALUE"""),288)</f>
        <v>288</v>
      </c>
      <c r="C391">
        <f t="shared" ca="1" si="6"/>
        <v>2022</v>
      </c>
    </row>
    <row r="392" spans="1:3" x14ac:dyDescent="0.25">
      <c r="A392" s="3">
        <f ca="1">IFERROR(__xludf.DUMMYFUNCTION("""COMPUTED_VALUE"""),44720.6666666666)</f>
        <v>44720.666666666599</v>
      </c>
      <c r="B392" s="1">
        <f ca="1">IFERROR(__xludf.DUMMYFUNCTION("""COMPUTED_VALUE"""),297.6)</f>
        <v>297.60000000000002</v>
      </c>
      <c r="C392">
        <f t="shared" ca="1" si="6"/>
        <v>2022</v>
      </c>
    </row>
    <row r="393" spans="1:3" x14ac:dyDescent="0.25">
      <c r="A393" s="3">
        <f ca="1">IFERROR(__xludf.DUMMYFUNCTION("""COMPUTED_VALUE"""),44719.6666666666)</f>
        <v>44719.666666666599</v>
      </c>
      <c r="B393" s="1">
        <f ca="1">IFERROR(__xludf.DUMMYFUNCTION("""COMPUTED_VALUE"""),284.8)</f>
        <v>284.8</v>
      </c>
      <c r="C393">
        <f t="shared" ca="1" si="6"/>
        <v>2022</v>
      </c>
    </row>
    <row r="394" spans="1:3" x14ac:dyDescent="0.25">
      <c r="A394" s="3">
        <f ca="1">IFERROR(__xludf.DUMMYFUNCTION("""COMPUTED_VALUE"""),44718.6666666666)</f>
        <v>44718.666666666599</v>
      </c>
      <c r="B394" s="1">
        <f ca="1">IFERROR(__xludf.DUMMYFUNCTION("""COMPUTED_VALUE"""),276.4)</f>
        <v>276.39999999999998</v>
      </c>
      <c r="C394">
        <f t="shared" ca="1" si="6"/>
        <v>2022</v>
      </c>
    </row>
    <row r="395" spans="1:3" x14ac:dyDescent="0.25">
      <c r="A395" s="3">
        <f ca="1">IFERROR(__xludf.DUMMYFUNCTION("""COMPUTED_VALUE"""),44715.6666666666)</f>
        <v>44715.666666666599</v>
      </c>
      <c r="B395" s="1">
        <f ca="1">IFERROR(__xludf.DUMMYFUNCTION("""COMPUTED_VALUE"""),292)</f>
        <v>292</v>
      </c>
      <c r="C395">
        <f t="shared" ca="1" si="6"/>
        <v>2022</v>
      </c>
    </row>
    <row r="396" spans="1:3" x14ac:dyDescent="0.25">
      <c r="A396" s="3">
        <f ca="1">IFERROR(__xludf.DUMMYFUNCTION("""COMPUTED_VALUE"""),44714.6666666666)</f>
        <v>44714.666666666599</v>
      </c>
      <c r="B396" s="1">
        <f ca="1">IFERROR(__xludf.DUMMYFUNCTION("""COMPUTED_VALUE"""),300.8)</f>
        <v>300.8</v>
      </c>
      <c r="C396">
        <f t="shared" ca="1" si="6"/>
        <v>2022</v>
      </c>
    </row>
    <row r="397" spans="1:3" x14ac:dyDescent="0.25">
      <c r="A397" s="3">
        <f ca="1">IFERROR(__xludf.DUMMYFUNCTION("""COMPUTED_VALUE"""),44713.6666666666)</f>
        <v>44713.666666666599</v>
      </c>
      <c r="B397" s="1">
        <f ca="1">IFERROR(__xludf.DUMMYFUNCTION("""COMPUTED_VALUE"""),280.8)</f>
        <v>280.8</v>
      </c>
      <c r="C397">
        <f t="shared" ca="1" si="6"/>
        <v>2022</v>
      </c>
    </row>
    <row r="398" spans="1:3" x14ac:dyDescent="0.25">
      <c r="A398" s="3">
        <f ca="1">IFERROR(__xludf.DUMMYFUNCTION("""COMPUTED_VALUE"""),44712.6666666666)</f>
        <v>44712.666666666599</v>
      </c>
      <c r="B398" s="1">
        <f ca="1">IFERROR(__xludf.DUMMYFUNCTION("""COMPUTED_VALUE"""),291.6)</f>
        <v>291.60000000000002</v>
      </c>
      <c r="C398">
        <f t="shared" ca="1" si="6"/>
        <v>2022</v>
      </c>
    </row>
    <row r="399" spans="1:3" x14ac:dyDescent="0.25">
      <c r="A399" s="3">
        <f ca="1">IFERROR(__xludf.DUMMYFUNCTION("""COMPUTED_VALUE"""),44708.6666666666)</f>
        <v>44708.666666666599</v>
      </c>
      <c r="B399" s="1">
        <f ca="1">IFERROR(__xludf.DUMMYFUNCTION("""COMPUTED_VALUE"""),301.6)</f>
        <v>301.60000000000002</v>
      </c>
      <c r="C399">
        <f t="shared" ca="1" si="6"/>
        <v>2022</v>
      </c>
    </row>
    <row r="400" spans="1:3" x14ac:dyDescent="0.25">
      <c r="A400" s="3">
        <f ca="1">IFERROR(__xludf.DUMMYFUNCTION("""COMPUTED_VALUE"""),44707.6666666666)</f>
        <v>44707.666666666599</v>
      </c>
      <c r="B400" s="1">
        <f ca="1">IFERROR(__xludf.DUMMYFUNCTION("""COMPUTED_VALUE"""),280)</f>
        <v>280</v>
      </c>
      <c r="C400">
        <f t="shared" ca="1" si="6"/>
        <v>2022</v>
      </c>
    </row>
    <row r="401" spans="1:3" x14ac:dyDescent="0.25">
      <c r="A401" s="3">
        <f ca="1">IFERROR(__xludf.DUMMYFUNCTION("""COMPUTED_VALUE"""),44706.6666666666)</f>
        <v>44706.666666666599</v>
      </c>
      <c r="B401" s="1">
        <f ca="1">IFERROR(__xludf.DUMMYFUNCTION("""COMPUTED_VALUE"""),271.6)</f>
        <v>271.60000000000002</v>
      </c>
      <c r="C401">
        <f t="shared" ca="1" si="6"/>
        <v>2022</v>
      </c>
    </row>
    <row r="402" spans="1:3" x14ac:dyDescent="0.25">
      <c r="A402" s="3">
        <f ca="1">IFERROR(__xludf.DUMMYFUNCTION("""COMPUTED_VALUE"""),44705.6666666666)</f>
        <v>44705.666666666599</v>
      </c>
      <c r="B402" s="1">
        <f ca="1">IFERROR(__xludf.DUMMYFUNCTION("""COMPUTED_VALUE"""),256.4)</f>
        <v>256.39999999999998</v>
      </c>
      <c r="C402">
        <f t="shared" ca="1" si="6"/>
        <v>2022</v>
      </c>
    </row>
    <row r="403" spans="1:3" x14ac:dyDescent="0.25">
      <c r="A403" s="3">
        <f ca="1">IFERROR(__xludf.DUMMYFUNCTION("""COMPUTED_VALUE"""),44704.6666666666)</f>
        <v>44704.666666666599</v>
      </c>
      <c r="B403" s="1">
        <f ca="1">IFERROR(__xludf.DUMMYFUNCTION("""COMPUTED_VALUE"""),268.8)</f>
        <v>268.8</v>
      </c>
      <c r="C403">
        <f t="shared" ca="1" si="6"/>
        <v>2022</v>
      </c>
    </row>
    <row r="404" spans="1:3" x14ac:dyDescent="0.25">
      <c r="A404" s="3">
        <f ca="1">IFERROR(__xludf.DUMMYFUNCTION("""COMPUTED_VALUE"""),44701.6666666666)</f>
        <v>44701.666666666599</v>
      </c>
      <c r="B404" s="1">
        <f ca="1">IFERROR(__xludf.DUMMYFUNCTION("""COMPUTED_VALUE"""),270)</f>
        <v>270</v>
      </c>
      <c r="C404">
        <f t="shared" ca="1" si="6"/>
        <v>2022</v>
      </c>
    </row>
    <row r="405" spans="1:3" x14ac:dyDescent="0.25">
      <c r="A405" s="3">
        <f ca="1">IFERROR(__xludf.DUMMYFUNCTION("""COMPUTED_VALUE"""),44700.6666666666)</f>
        <v>44700.666666666599</v>
      </c>
      <c r="B405" s="1">
        <f ca="1">IFERROR(__xludf.DUMMYFUNCTION("""COMPUTED_VALUE"""),278)</f>
        <v>278</v>
      </c>
      <c r="C405">
        <f t="shared" ca="1" si="6"/>
        <v>2022</v>
      </c>
    </row>
    <row r="406" spans="1:3" x14ac:dyDescent="0.25">
      <c r="A406" s="3">
        <f ca="1">IFERROR(__xludf.DUMMYFUNCTION("""COMPUTED_VALUE"""),44699.6666666666)</f>
        <v>44699.666666666599</v>
      </c>
      <c r="B406" s="1">
        <f ca="1">IFERROR(__xludf.DUMMYFUNCTION("""COMPUTED_VALUE"""),262.4)</f>
        <v>262.39999999999998</v>
      </c>
      <c r="C406">
        <f t="shared" ca="1" si="6"/>
        <v>2022</v>
      </c>
    </row>
    <row r="407" spans="1:3" x14ac:dyDescent="0.25">
      <c r="A407" s="3">
        <f ca="1">IFERROR(__xludf.DUMMYFUNCTION("""COMPUTED_VALUE"""),44698.6666666666)</f>
        <v>44698.666666666599</v>
      </c>
      <c r="B407" s="1">
        <f ca="1">IFERROR(__xludf.DUMMYFUNCTION("""COMPUTED_VALUE"""),279.6)</f>
        <v>279.60000000000002</v>
      </c>
      <c r="C407">
        <f t="shared" ca="1" si="6"/>
        <v>2022</v>
      </c>
    </row>
    <row r="408" spans="1:3" x14ac:dyDescent="0.25">
      <c r="A408" s="3">
        <f ca="1">IFERROR(__xludf.DUMMYFUNCTION("""COMPUTED_VALUE"""),44697.6666666666)</f>
        <v>44697.666666666599</v>
      </c>
      <c r="B408" s="1">
        <f ca="1">IFERROR(__xludf.DUMMYFUNCTION("""COMPUTED_VALUE"""),260.8)</f>
        <v>260.8</v>
      </c>
      <c r="C408">
        <f t="shared" ca="1" si="6"/>
        <v>2022</v>
      </c>
    </row>
    <row r="409" spans="1:3" x14ac:dyDescent="0.25">
      <c r="A409" s="3">
        <f ca="1">IFERROR(__xludf.DUMMYFUNCTION("""COMPUTED_VALUE"""),44694.6666666666)</f>
        <v>44694.666666666599</v>
      </c>
      <c r="B409" s="1">
        <f ca="1">IFERROR(__xludf.DUMMYFUNCTION("""COMPUTED_VALUE"""),270.4)</f>
        <v>270.39999999999998</v>
      </c>
      <c r="C409">
        <f t="shared" ca="1" si="6"/>
        <v>2022</v>
      </c>
    </row>
    <row r="410" spans="1:3" x14ac:dyDescent="0.25">
      <c r="A410" s="3">
        <f ca="1">IFERROR(__xludf.DUMMYFUNCTION("""COMPUTED_VALUE"""),44693.6666666666)</f>
        <v>44693.666666666599</v>
      </c>
      <c r="B410" s="1">
        <f ca="1">IFERROR(__xludf.DUMMYFUNCTION("""COMPUTED_VALUE"""),225.2)</f>
        <v>225.2</v>
      </c>
      <c r="C410">
        <f t="shared" ca="1" si="6"/>
        <v>2022</v>
      </c>
    </row>
    <row r="411" spans="1:3" x14ac:dyDescent="0.25">
      <c r="A411" s="3">
        <f ca="1">IFERROR(__xludf.DUMMYFUNCTION("""COMPUTED_VALUE"""),44692.6666666666)</f>
        <v>44692.666666666599</v>
      </c>
      <c r="B411" s="1">
        <f ca="1">IFERROR(__xludf.DUMMYFUNCTION("""COMPUTED_VALUE"""),204)</f>
        <v>204</v>
      </c>
      <c r="C411">
        <f t="shared" ca="1" si="6"/>
        <v>2022</v>
      </c>
    </row>
    <row r="412" spans="1:3" x14ac:dyDescent="0.25">
      <c r="A412" s="3">
        <f ca="1">IFERROR(__xludf.DUMMYFUNCTION("""COMPUTED_VALUE"""),44691.6666666666)</f>
        <v>44691.666666666599</v>
      </c>
      <c r="B412" s="1">
        <f ca="1">IFERROR(__xludf.DUMMYFUNCTION("""COMPUTED_VALUE"""),225.6)</f>
        <v>225.6</v>
      </c>
      <c r="C412">
        <f t="shared" ca="1" si="6"/>
        <v>2022</v>
      </c>
    </row>
    <row r="413" spans="1:3" x14ac:dyDescent="0.25">
      <c r="A413" s="3">
        <f ca="1">IFERROR(__xludf.DUMMYFUNCTION("""COMPUTED_VALUE"""),44690.6666666666)</f>
        <v>44690.666666666599</v>
      </c>
      <c r="B413" s="1">
        <f ca="1">IFERROR(__xludf.DUMMYFUNCTION("""COMPUTED_VALUE"""),248.8)</f>
        <v>248.8</v>
      </c>
      <c r="C413">
        <f t="shared" ca="1" si="6"/>
        <v>2022</v>
      </c>
    </row>
    <row r="414" spans="1:3" x14ac:dyDescent="0.25">
      <c r="A414" s="3">
        <f ca="1">IFERROR(__xludf.DUMMYFUNCTION("""COMPUTED_VALUE"""),44687.6666666666)</f>
        <v>44687.666666666599</v>
      </c>
      <c r="B414" s="1">
        <f ca="1">IFERROR(__xludf.DUMMYFUNCTION("""COMPUTED_VALUE"""),266.8)</f>
        <v>266.8</v>
      </c>
      <c r="C414">
        <f t="shared" ca="1" si="6"/>
        <v>2022</v>
      </c>
    </row>
    <row r="415" spans="1:3" x14ac:dyDescent="0.25">
      <c r="A415" s="3">
        <f ca="1">IFERROR(__xludf.DUMMYFUNCTION("""COMPUTED_VALUE"""),44686.6666666666)</f>
        <v>44686.666666666599</v>
      </c>
      <c r="B415" s="1">
        <f ca="1">IFERROR(__xludf.DUMMYFUNCTION("""COMPUTED_VALUE"""),258.4)</f>
        <v>258.39999999999998</v>
      </c>
      <c r="C415">
        <f t="shared" ca="1" si="6"/>
        <v>2022</v>
      </c>
    </row>
    <row r="416" spans="1:3" x14ac:dyDescent="0.25">
      <c r="A416" s="3">
        <f ca="1">IFERROR(__xludf.DUMMYFUNCTION("""COMPUTED_VALUE"""),44685.6666666666)</f>
        <v>44685.666666666599</v>
      </c>
      <c r="B416" s="1">
        <f ca="1">IFERROR(__xludf.DUMMYFUNCTION("""COMPUTED_VALUE"""),282)</f>
        <v>282</v>
      </c>
      <c r="C416">
        <f t="shared" ca="1" si="6"/>
        <v>2022</v>
      </c>
    </row>
    <row r="417" spans="1:3" x14ac:dyDescent="0.25">
      <c r="A417" s="3">
        <f ca="1">IFERROR(__xludf.DUMMYFUNCTION("""COMPUTED_VALUE"""),44684.6666666666)</f>
        <v>44684.666666666599</v>
      </c>
      <c r="B417" s="1">
        <f ca="1">IFERROR(__xludf.DUMMYFUNCTION("""COMPUTED_VALUE"""),285.6)</f>
        <v>285.60000000000002</v>
      </c>
      <c r="C417">
        <f t="shared" ca="1" si="6"/>
        <v>2022</v>
      </c>
    </row>
    <row r="418" spans="1:3" x14ac:dyDescent="0.25">
      <c r="A418" s="3">
        <f ca="1">IFERROR(__xludf.DUMMYFUNCTION("""COMPUTED_VALUE"""),44683.6666666666)</f>
        <v>44683.666666666599</v>
      </c>
      <c r="B418" s="1">
        <f ca="1">IFERROR(__xludf.DUMMYFUNCTION("""COMPUTED_VALUE"""),264)</f>
        <v>264</v>
      </c>
      <c r="C418">
        <f t="shared" ca="1" si="6"/>
        <v>2022</v>
      </c>
    </row>
    <row r="419" spans="1:3" x14ac:dyDescent="0.25">
      <c r="A419" s="3">
        <f ca="1">IFERROR(__xludf.DUMMYFUNCTION("""COMPUTED_VALUE"""),44680.6666666666)</f>
        <v>44680.666666666599</v>
      </c>
      <c r="B419" s="1">
        <f ca="1">IFERROR(__xludf.DUMMYFUNCTION("""COMPUTED_VALUE"""),280.4)</f>
        <v>280.39999999999998</v>
      </c>
      <c r="C419">
        <f t="shared" ca="1" si="6"/>
        <v>2022</v>
      </c>
    </row>
    <row r="420" spans="1:3" x14ac:dyDescent="0.25">
      <c r="A420" s="3">
        <f ca="1">IFERROR(__xludf.DUMMYFUNCTION("""COMPUTED_VALUE"""),44679.6666666666)</f>
        <v>44679.666666666599</v>
      </c>
      <c r="B420" s="1">
        <f ca="1">IFERROR(__xludf.DUMMYFUNCTION("""COMPUTED_VALUE"""),287.2)</f>
        <v>287.2</v>
      </c>
      <c r="C420">
        <f t="shared" ca="1" si="6"/>
        <v>2022</v>
      </c>
    </row>
    <row r="421" spans="1:3" x14ac:dyDescent="0.25">
      <c r="A421" s="3">
        <f ca="1">IFERROR(__xludf.DUMMYFUNCTION("""COMPUTED_VALUE"""),44678.6666666666)</f>
        <v>44678.666666666599</v>
      </c>
      <c r="B421" s="1">
        <f ca="1">IFERROR(__xludf.DUMMYFUNCTION("""COMPUTED_VALUE"""),277.2)</f>
        <v>277.2</v>
      </c>
      <c r="C421">
        <f t="shared" ca="1" si="6"/>
        <v>2022</v>
      </c>
    </row>
    <row r="422" spans="1:3" x14ac:dyDescent="0.25">
      <c r="A422" s="3">
        <f ca="1">IFERROR(__xludf.DUMMYFUNCTION("""COMPUTED_VALUE"""),44677.6666666666)</f>
        <v>44677.666666666599</v>
      </c>
      <c r="B422" s="1">
        <f ca="1">IFERROR(__xludf.DUMMYFUNCTION("""COMPUTED_VALUE"""),263.6)</f>
        <v>263.60000000000002</v>
      </c>
      <c r="C422">
        <f t="shared" ca="1" si="6"/>
        <v>2022</v>
      </c>
    </row>
    <row r="423" spans="1:3" x14ac:dyDescent="0.25">
      <c r="A423" s="3">
        <f ca="1">IFERROR(__xludf.DUMMYFUNCTION("""COMPUTED_VALUE"""),44676.6666666666)</f>
        <v>44676.666666666599</v>
      </c>
      <c r="B423" s="1">
        <f ca="1">IFERROR(__xludf.DUMMYFUNCTION("""COMPUTED_VALUE"""),277.6)</f>
        <v>277.60000000000002</v>
      </c>
      <c r="C423">
        <f t="shared" ca="1" si="6"/>
        <v>2022</v>
      </c>
    </row>
    <row r="424" spans="1:3" x14ac:dyDescent="0.25">
      <c r="A424" s="3">
        <f ca="1">IFERROR(__xludf.DUMMYFUNCTION("""COMPUTED_VALUE"""),44673.6666666666)</f>
        <v>44673.666666666599</v>
      </c>
      <c r="B424" s="1">
        <f ca="1">IFERROR(__xludf.DUMMYFUNCTION("""COMPUTED_VALUE"""),269.6)</f>
        <v>269.60000000000002</v>
      </c>
      <c r="C424">
        <f t="shared" ca="1" si="6"/>
        <v>2022</v>
      </c>
    </row>
    <row r="425" spans="1:3" x14ac:dyDescent="0.25">
      <c r="A425" s="3">
        <f ca="1">IFERROR(__xludf.DUMMYFUNCTION("""COMPUTED_VALUE"""),44672.6666666666)</f>
        <v>44672.666666666599</v>
      </c>
      <c r="B425" s="1">
        <f ca="1">IFERROR(__xludf.DUMMYFUNCTION("""COMPUTED_VALUE"""),261.6)</f>
        <v>261.60000000000002</v>
      </c>
      <c r="C425">
        <f t="shared" ca="1" si="6"/>
        <v>2022</v>
      </c>
    </row>
    <row r="426" spans="1:3" x14ac:dyDescent="0.25">
      <c r="A426" s="3">
        <f ca="1">IFERROR(__xludf.DUMMYFUNCTION("""COMPUTED_VALUE"""),44671.6666666666)</f>
        <v>44671.666666666599</v>
      </c>
      <c r="B426" s="1">
        <f ca="1">IFERROR(__xludf.DUMMYFUNCTION("""COMPUTED_VALUE"""),259.2)</f>
        <v>259.2</v>
      </c>
      <c r="C426">
        <f t="shared" ca="1" si="6"/>
        <v>2022</v>
      </c>
    </row>
    <row r="427" spans="1:3" x14ac:dyDescent="0.25">
      <c r="A427" s="3">
        <f ca="1">IFERROR(__xludf.DUMMYFUNCTION("""COMPUTED_VALUE"""),44670.6666666666)</f>
        <v>44670.666666666599</v>
      </c>
      <c r="B427" s="1">
        <f ca="1">IFERROR(__xludf.DUMMYFUNCTION("""COMPUTED_VALUE"""),256.4)</f>
        <v>256.39999999999998</v>
      </c>
      <c r="C427">
        <f t="shared" ca="1" si="6"/>
        <v>2022</v>
      </c>
    </row>
    <row r="428" spans="1:3" x14ac:dyDescent="0.25">
      <c r="A428" s="3">
        <f ca="1">IFERROR(__xludf.DUMMYFUNCTION("""COMPUTED_VALUE"""),44669.6666666666)</f>
        <v>44669.666666666599</v>
      </c>
      <c r="B428" s="1">
        <f ca="1">IFERROR(__xludf.DUMMYFUNCTION("""COMPUTED_VALUE"""),237.2)</f>
        <v>237.2</v>
      </c>
      <c r="C428">
        <f t="shared" ca="1" si="6"/>
        <v>2022</v>
      </c>
    </row>
    <row r="429" spans="1:3" x14ac:dyDescent="0.25">
      <c r="A429" s="3">
        <f ca="1">IFERROR(__xludf.DUMMYFUNCTION("""COMPUTED_VALUE"""),44665.6666666666)</f>
        <v>44665.666666666599</v>
      </c>
      <c r="B429" s="1">
        <f ca="1">IFERROR(__xludf.DUMMYFUNCTION("""COMPUTED_VALUE"""),266.4)</f>
        <v>266.39999999999998</v>
      </c>
      <c r="C429">
        <f t="shared" ca="1" si="6"/>
        <v>2022</v>
      </c>
    </row>
    <row r="430" spans="1:3" x14ac:dyDescent="0.25">
      <c r="A430" s="3">
        <f ca="1">IFERROR(__xludf.DUMMYFUNCTION("""COMPUTED_VALUE"""),44664.6666666666)</f>
        <v>44664.666666666599</v>
      </c>
      <c r="B430" s="1">
        <f ca="1">IFERROR(__xludf.DUMMYFUNCTION("""COMPUTED_VALUE"""),270.8)</f>
        <v>270.8</v>
      </c>
      <c r="C430">
        <f t="shared" ca="1" si="6"/>
        <v>2022</v>
      </c>
    </row>
    <row r="431" spans="1:3" x14ac:dyDescent="0.25">
      <c r="A431" s="3">
        <f ca="1">IFERROR(__xludf.DUMMYFUNCTION("""COMPUTED_VALUE"""),44663.6666666666)</f>
        <v>44663.666666666599</v>
      </c>
      <c r="B431" s="1">
        <f ca="1">IFERROR(__xludf.DUMMYFUNCTION("""COMPUTED_VALUE"""),252)</f>
        <v>252</v>
      </c>
      <c r="C431">
        <f t="shared" ca="1" si="6"/>
        <v>2022</v>
      </c>
    </row>
    <row r="432" spans="1:3" x14ac:dyDescent="0.25">
      <c r="A432" s="3">
        <f ca="1">IFERROR(__xludf.DUMMYFUNCTION("""COMPUTED_VALUE"""),44662.6666666666)</f>
        <v>44662.666666666599</v>
      </c>
      <c r="B432" s="1">
        <f ca="1">IFERROR(__xludf.DUMMYFUNCTION("""COMPUTED_VALUE"""),250)</f>
        <v>250</v>
      </c>
      <c r="C432">
        <f t="shared" ca="1" si="6"/>
        <v>2022</v>
      </c>
    </row>
    <row r="433" spans="1:3" x14ac:dyDescent="0.25">
      <c r="A433" s="3">
        <f ca="1">IFERROR(__xludf.DUMMYFUNCTION("""COMPUTED_VALUE"""),44659.6666666666)</f>
        <v>44659.666666666599</v>
      </c>
      <c r="B433" s="1">
        <f ca="1">IFERROR(__xludf.DUMMYFUNCTION("""COMPUTED_VALUE"""),246)</f>
        <v>246</v>
      </c>
      <c r="C433">
        <f t="shared" ca="1" si="6"/>
        <v>2022</v>
      </c>
    </row>
    <row r="434" spans="1:3" x14ac:dyDescent="0.25">
      <c r="A434" s="3">
        <f ca="1">IFERROR(__xludf.DUMMYFUNCTION("""COMPUTED_VALUE"""),44658.6666666666)</f>
        <v>44658.666666666599</v>
      </c>
      <c r="B434" s="1">
        <f ca="1">IFERROR(__xludf.DUMMYFUNCTION("""COMPUTED_VALUE"""),249.2)</f>
        <v>249.2</v>
      </c>
      <c r="C434">
        <f t="shared" ca="1" si="6"/>
        <v>2022</v>
      </c>
    </row>
    <row r="435" spans="1:3" x14ac:dyDescent="0.25">
      <c r="A435" s="3">
        <f ca="1">IFERROR(__xludf.DUMMYFUNCTION("""COMPUTED_VALUE"""),44657.6666666666)</f>
        <v>44657.666666666599</v>
      </c>
      <c r="B435" s="1">
        <f ca="1">IFERROR(__xludf.DUMMYFUNCTION("""COMPUTED_VALUE"""),262.8)</f>
        <v>262.8</v>
      </c>
      <c r="C435">
        <f t="shared" ca="1" si="6"/>
        <v>2022</v>
      </c>
    </row>
    <row r="436" spans="1:3" x14ac:dyDescent="0.25">
      <c r="A436" s="3">
        <f ca="1">IFERROR(__xludf.DUMMYFUNCTION("""COMPUTED_VALUE"""),44656.6666666666)</f>
        <v>44656.666666666599</v>
      </c>
      <c r="B436" s="1">
        <f ca="1">IFERROR(__xludf.DUMMYFUNCTION("""COMPUTED_VALUE"""),271.6)</f>
        <v>271.60000000000002</v>
      </c>
      <c r="C436">
        <f t="shared" ca="1" si="6"/>
        <v>2022</v>
      </c>
    </row>
    <row r="437" spans="1:3" x14ac:dyDescent="0.25">
      <c r="A437" s="3">
        <f ca="1">IFERROR(__xludf.DUMMYFUNCTION("""COMPUTED_VALUE"""),44655.6666666666)</f>
        <v>44655.666666666599</v>
      </c>
      <c r="B437" s="1">
        <f ca="1">IFERROR(__xludf.DUMMYFUNCTION("""COMPUTED_VALUE"""),286.8)</f>
        <v>286.8</v>
      </c>
      <c r="C437">
        <f t="shared" ca="1" si="6"/>
        <v>2022</v>
      </c>
    </row>
    <row r="438" spans="1:3" x14ac:dyDescent="0.25">
      <c r="A438" s="3">
        <f ca="1">IFERROR(__xludf.DUMMYFUNCTION("""COMPUTED_VALUE"""),44652.6666666666)</f>
        <v>44652.666666666599</v>
      </c>
      <c r="B438" s="1">
        <f ca="1">IFERROR(__xludf.DUMMYFUNCTION("""COMPUTED_VALUE"""),276.8)</f>
        <v>276.8</v>
      </c>
      <c r="C438">
        <f t="shared" ca="1" si="6"/>
        <v>2022</v>
      </c>
    </row>
    <row r="439" spans="1:3" x14ac:dyDescent="0.25">
      <c r="A439" s="3">
        <f ca="1">IFERROR(__xludf.DUMMYFUNCTION("""COMPUTED_VALUE"""),44651.6666666666)</f>
        <v>44651.666666666599</v>
      </c>
      <c r="B439" s="1">
        <f ca="1">IFERROR(__xludf.DUMMYFUNCTION("""COMPUTED_VALUE"""),272.8)</f>
        <v>272.8</v>
      </c>
      <c r="C439">
        <f t="shared" ca="1" si="6"/>
        <v>2022</v>
      </c>
    </row>
    <row r="440" spans="1:3" x14ac:dyDescent="0.25">
      <c r="A440" s="3">
        <f ca="1">IFERROR(__xludf.DUMMYFUNCTION("""COMPUTED_VALUE"""),44650.6666666666)</f>
        <v>44650.666666666599</v>
      </c>
      <c r="B440" s="1">
        <f ca="1">IFERROR(__xludf.DUMMYFUNCTION("""COMPUTED_VALUE"""),272.4)</f>
        <v>272.39999999999998</v>
      </c>
      <c r="C440">
        <f t="shared" ca="1" si="6"/>
        <v>2022</v>
      </c>
    </row>
    <row r="441" spans="1:3" x14ac:dyDescent="0.25">
      <c r="A441" s="3">
        <f ca="1">IFERROR(__xludf.DUMMYFUNCTION("""COMPUTED_VALUE"""),44649.6666666666)</f>
        <v>44649.666666666599</v>
      </c>
      <c r="B441" s="1">
        <f ca="1">IFERROR(__xludf.DUMMYFUNCTION("""COMPUTED_VALUE"""),281.6)</f>
        <v>281.60000000000002</v>
      </c>
      <c r="C441">
        <f t="shared" ca="1" si="6"/>
        <v>2022</v>
      </c>
    </row>
    <row r="442" spans="1:3" x14ac:dyDescent="0.25">
      <c r="A442" s="3">
        <f ca="1">IFERROR(__xludf.DUMMYFUNCTION("""COMPUTED_VALUE"""),44648.6666666666)</f>
        <v>44648.666666666599</v>
      </c>
      <c r="B442" s="1">
        <f ca="1">IFERROR(__xludf.DUMMYFUNCTION("""COMPUTED_VALUE"""),277.2)</f>
        <v>277.2</v>
      </c>
      <c r="C442">
        <f t="shared" ca="1" si="6"/>
        <v>2022</v>
      </c>
    </row>
    <row r="443" spans="1:3" x14ac:dyDescent="0.25">
      <c r="A443" s="3">
        <f ca="1">IFERROR(__xludf.DUMMYFUNCTION("""COMPUTED_VALUE"""),44645.6666666666)</f>
        <v>44645.666666666599</v>
      </c>
      <c r="B443" s="1">
        <f ca="1">IFERROR(__xludf.DUMMYFUNCTION("""COMPUTED_VALUE"""),272)</f>
        <v>272</v>
      </c>
      <c r="C443">
        <f t="shared" ca="1" si="6"/>
        <v>2022</v>
      </c>
    </row>
    <row r="444" spans="1:3" x14ac:dyDescent="0.25">
      <c r="A444" s="3">
        <f ca="1">IFERROR(__xludf.DUMMYFUNCTION("""COMPUTED_VALUE"""),44644.6666666666)</f>
        <v>44644.666666666599</v>
      </c>
      <c r="B444" s="1">
        <f ca="1">IFERROR(__xludf.DUMMYFUNCTION("""COMPUTED_VALUE"""),280)</f>
        <v>280</v>
      </c>
      <c r="C444">
        <f t="shared" ca="1" si="6"/>
        <v>2022</v>
      </c>
    </row>
    <row r="445" spans="1:3" x14ac:dyDescent="0.25">
      <c r="A445" s="3">
        <f ca="1">IFERROR(__xludf.DUMMYFUNCTION("""COMPUTED_VALUE"""),44643.6666666666)</f>
        <v>44643.666666666599</v>
      </c>
      <c r="B445" s="1">
        <f ca="1">IFERROR(__xludf.DUMMYFUNCTION("""COMPUTED_VALUE"""),254.8)</f>
        <v>254.8</v>
      </c>
      <c r="C445">
        <f t="shared" ca="1" si="6"/>
        <v>2022</v>
      </c>
    </row>
    <row r="446" spans="1:3" x14ac:dyDescent="0.25">
      <c r="A446" s="3">
        <f ca="1">IFERROR(__xludf.DUMMYFUNCTION("""COMPUTED_VALUE"""),44642.6666666666)</f>
        <v>44642.666666666599</v>
      </c>
      <c r="B446" s="1">
        <f ca="1">IFERROR(__xludf.DUMMYFUNCTION("""COMPUTED_VALUE"""),260)</f>
        <v>260</v>
      </c>
      <c r="C446">
        <f t="shared" ca="1" si="6"/>
        <v>2022</v>
      </c>
    </row>
    <row r="447" spans="1:3" x14ac:dyDescent="0.25">
      <c r="A447" s="3">
        <f ca="1">IFERROR(__xludf.DUMMYFUNCTION("""COMPUTED_VALUE"""),44641.6666666666)</f>
        <v>44641.666666666599</v>
      </c>
      <c r="B447" s="1">
        <f ca="1">IFERROR(__xludf.DUMMYFUNCTION("""COMPUTED_VALUE"""),251.2)</f>
        <v>251.2</v>
      </c>
      <c r="C447">
        <f t="shared" ca="1" si="6"/>
        <v>2022</v>
      </c>
    </row>
    <row r="448" spans="1:3" x14ac:dyDescent="0.25">
      <c r="A448" s="3">
        <f ca="1">IFERROR(__xludf.DUMMYFUNCTION("""COMPUTED_VALUE"""),44638.6666666666)</f>
        <v>44638.666666666599</v>
      </c>
      <c r="B448" s="1">
        <f ca="1">IFERROR(__xludf.DUMMYFUNCTION("""COMPUTED_VALUE"""),257.6)</f>
        <v>257.60000000000002</v>
      </c>
      <c r="C448">
        <f t="shared" ca="1" si="6"/>
        <v>2022</v>
      </c>
    </row>
    <row r="449" spans="1:3" x14ac:dyDescent="0.25">
      <c r="A449" s="3">
        <f ca="1">IFERROR(__xludf.DUMMYFUNCTION("""COMPUTED_VALUE"""),44637.6666666666)</f>
        <v>44637.666666666599</v>
      </c>
      <c r="B449" s="1">
        <f ca="1">IFERROR(__xludf.DUMMYFUNCTION("""COMPUTED_VALUE"""),252.8)</f>
        <v>252.8</v>
      </c>
      <c r="C449">
        <f t="shared" ca="1" si="6"/>
        <v>2022</v>
      </c>
    </row>
    <row r="450" spans="1:3" x14ac:dyDescent="0.25">
      <c r="A450" s="3">
        <f ca="1">IFERROR(__xludf.DUMMYFUNCTION("""COMPUTED_VALUE"""),44636.6666666666)</f>
        <v>44636.666666666599</v>
      </c>
      <c r="B450" s="1">
        <f ca="1">IFERROR(__xludf.DUMMYFUNCTION("""COMPUTED_VALUE"""),224)</f>
        <v>224</v>
      </c>
      <c r="C450">
        <f t="shared" ref="C450:C513" ca="1" si="7">YEAR(A450)</f>
        <v>2022</v>
      </c>
    </row>
    <row r="451" spans="1:3" x14ac:dyDescent="0.25">
      <c r="A451" s="3">
        <f ca="1">IFERROR(__xludf.DUMMYFUNCTION("""COMPUTED_VALUE"""),44635.6666666666)</f>
        <v>44635.666666666599</v>
      </c>
      <c r="B451" s="1">
        <f ca="1">IFERROR(__xludf.DUMMYFUNCTION("""COMPUTED_VALUE"""),207.2)</f>
        <v>207.2</v>
      </c>
      <c r="C451">
        <f t="shared" ca="1" si="7"/>
        <v>2022</v>
      </c>
    </row>
    <row r="452" spans="1:3" x14ac:dyDescent="0.25">
      <c r="A452" s="3">
        <f ca="1">IFERROR(__xludf.DUMMYFUNCTION("""COMPUTED_VALUE"""),44634.6666666666)</f>
        <v>44634.666666666599</v>
      </c>
      <c r="B452" s="1">
        <f ca="1">IFERROR(__xludf.DUMMYFUNCTION("""COMPUTED_VALUE"""),193.6)</f>
        <v>193.6</v>
      </c>
      <c r="C452">
        <f t="shared" ca="1" si="7"/>
        <v>2022</v>
      </c>
    </row>
    <row r="453" spans="1:3" x14ac:dyDescent="0.25">
      <c r="A453" s="3">
        <f ca="1">IFERROR(__xludf.DUMMYFUNCTION("""COMPUTED_VALUE"""),44631.6666666666)</f>
        <v>44631.666666666599</v>
      </c>
      <c r="B453" s="1">
        <f ca="1">IFERROR(__xludf.DUMMYFUNCTION("""COMPUTED_VALUE"""),202.4)</f>
        <v>202.4</v>
      </c>
      <c r="C453">
        <f t="shared" ca="1" si="7"/>
        <v>2022</v>
      </c>
    </row>
    <row r="454" spans="1:3" x14ac:dyDescent="0.25">
      <c r="A454" s="3">
        <f ca="1">IFERROR(__xludf.DUMMYFUNCTION("""COMPUTED_VALUE"""),44630.6666666666)</f>
        <v>44630.666666666599</v>
      </c>
      <c r="B454" s="1">
        <f ca="1">IFERROR(__xludf.DUMMYFUNCTION("""COMPUTED_VALUE"""),210)</f>
        <v>210</v>
      </c>
      <c r="C454">
        <f t="shared" ca="1" si="7"/>
        <v>2022</v>
      </c>
    </row>
    <row r="455" spans="1:3" x14ac:dyDescent="0.25">
      <c r="A455" s="3">
        <f ca="1">IFERROR(__xludf.DUMMYFUNCTION("""COMPUTED_VALUE"""),44629.6666666666)</f>
        <v>44629.666666666599</v>
      </c>
      <c r="B455" s="1">
        <f ca="1">IFERROR(__xludf.DUMMYFUNCTION("""COMPUTED_VALUE"""),208)</f>
        <v>208</v>
      </c>
      <c r="C455">
        <f t="shared" ca="1" si="7"/>
        <v>2022</v>
      </c>
    </row>
    <row r="456" spans="1:3" x14ac:dyDescent="0.25">
      <c r="A456" s="3">
        <f ca="1">IFERROR(__xludf.DUMMYFUNCTION("""COMPUTED_VALUE"""),44628.6666666666)</f>
        <v>44628.666666666599</v>
      </c>
      <c r="B456" s="1">
        <f ca="1">IFERROR(__xludf.DUMMYFUNCTION("""COMPUTED_VALUE"""),198.4)</f>
        <v>198.4</v>
      </c>
      <c r="C456">
        <f t="shared" ca="1" si="7"/>
        <v>2022</v>
      </c>
    </row>
    <row r="457" spans="1:3" x14ac:dyDescent="0.25">
      <c r="A457" s="3">
        <f ca="1">IFERROR(__xludf.DUMMYFUNCTION("""COMPUTED_VALUE"""),44627.6666666666)</f>
        <v>44627.666666666599</v>
      </c>
      <c r="B457" s="1">
        <f ca="1">IFERROR(__xludf.DUMMYFUNCTION("""COMPUTED_VALUE"""),193.6)</f>
        <v>193.6</v>
      </c>
      <c r="C457">
        <f t="shared" ca="1" si="7"/>
        <v>2022</v>
      </c>
    </row>
    <row r="458" spans="1:3" x14ac:dyDescent="0.25">
      <c r="A458" s="3">
        <f ca="1">IFERROR(__xludf.DUMMYFUNCTION("""COMPUTED_VALUE"""),44624.6666666666)</f>
        <v>44624.666666666599</v>
      </c>
      <c r="B458" s="1">
        <f ca="1">IFERROR(__xludf.DUMMYFUNCTION("""COMPUTED_VALUE"""),190.8)</f>
        <v>190.8</v>
      </c>
      <c r="C458">
        <f t="shared" ca="1" si="7"/>
        <v>2022</v>
      </c>
    </row>
    <row r="459" spans="1:3" x14ac:dyDescent="0.25">
      <c r="A459" s="3">
        <f ca="1">IFERROR(__xludf.DUMMYFUNCTION("""COMPUTED_VALUE"""),44623.6666666666)</f>
        <v>44623.666666666599</v>
      </c>
      <c r="B459" s="1">
        <f ca="1">IFERROR(__xludf.DUMMYFUNCTION("""COMPUTED_VALUE"""),245.6)</f>
        <v>245.6</v>
      </c>
      <c r="C459">
        <f t="shared" ca="1" si="7"/>
        <v>2022</v>
      </c>
    </row>
    <row r="460" spans="1:3" x14ac:dyDescent="0.25">
      <c r="A460" s="3">
        <f ca="1">IFERROR(__xludf.DUMMYFUNCTION("""COMPUTED_VALUE"""),44622.6666666666)</f>
        <v>44622.666666666599</v>
      </c>
      <c r="B460" s="1">
        <f ca="1">IFERROR(__xludf.DUMMYFUNCTION("""COMPUTED_VALUE"""),252.8)</f>
        <v>252.8</v>
      </c>
      <c r="C460">
        <f t="shared" ca="1" si="7"/>
        <v>2022</v>
      </c>
    </row>
    <row r="461" spans="1:3" x14ac:dyDescent="0.25">
      <c r="A461" s="3">
        <f ca="1">IFERROR(__xludf.DUMMYFUNCTION("""COMPUTED_VALUE"""),44621.6666666666)</f>
        <v>44621.666666666599</v>
      </c>
      <c r="B461" s="1">
        <f ca="1">IFERROR(__xludf.DUMMYFUNCTION("""COMPUTED_VALUE"""),250.4)</f>
        <v>250.4</v>
      </c>
      <c r="C461">
        <f t="shared" ca="1" si="7"/>
        <v>2022</v>
      </c>
    </row>
    <row r="462" spans="1:3" x14ac:dyDescent="0.25">
      <c r="A462" s="3">
        <f ca="1">IFERROR(__xludf.DUMMYFUNCTION("""COMPUTED_VALUE"""),44620.6666666666)</f>
        <v>44620.666666666599</v>
      </c>
      <c r="B462" s="1">
        <f ca="1">IFERROR(__xludf.DUMMYFUNCTION("""COMPUTED_VALUE"""),256)</f>
        <v>256</v>
      </c>
      <c r="C462">
        <f t="shared" ca="1" si="7"/>
        <v>2022</v>
      </c>
    </row>
    <row r="463" spans="1:3" x14ac:dyDescent="0.25">
      <c r="A463" s="3">
        <f ca="1">IFERROR(__xludf.DUMMYFUNCTION("""COMPUTED_VALUE"""),44617.6666666666)</f>
        <v>44617.666666666599</v>
      </c>
      <c r="B463" s="1">
        <f ca="1">IFERROR(__xludf.DUMMYFUNCTION("""COMPUTED_VALUE"""),246.8)</f>
        <v>246.8</v>
      </c>
      <c r="C463">
        <f t="shared" ca="1" si="7"/>
        <v>2022</v>
      </c>
    </row>
    <row r="464" spans="1:3" x14ac:dyDescent="0.25">
      <c r="A464" s="3">
        <f ca="1">IFERROR(__xludf.DUMMYFUNCTION("""COMPUTED_VALUE"""),44616.6666666666)</f>
        <v>44616.666666666599</v>
      </c>
      <c r="B464" s="1">
        <f ca="1">IFERROR(__xludf.DUMMYFUNCTION("""COMPUTED_VALUE"""),249.2)</f>
        <v>249.2</v>
      </c>
      <c r="C464">
        <f t="shared" ca="1" si="7"/>
        <v>2022</v>
      </c>
    </row>
    <row r="465" spans="1:3" x14ac:dyDescent="0.25">
      <c r="A465" s="3">
        <f ca="1">IFERROR(__xludf.DUMMYFUNCTION("""COMPUTED_VALUE"""),44615.6666666666)</f>
        <v>44615.666666666599</v>
      </c>
      <c r="B465" s="1">
        <f ca="1">IFERROR(__xludf.DUMMYFUNCTION("""COMPUTED_VALUE"""),236.8)</f>
        <v>236.8</v>
      </c>
      <c r="C465">
        <f t="shared" ca="1" si="7"/>
        <v>2022</v>
      </c>
    </row>
    <row r="466" spans="1:3" x14ac:dyDescent="0.25">
      <c r="A466" s="3">
        <f ca="1">IFERROR(__xludf.DUMMYFUNCTION("""COMPUTED_VALUE"""),44614.6666666666)</f>
        <v>44614.666666666599</v>
      </c>
      <c r="B466" s="1">
        <f ca="1">IFERROR(__xludf.DUMMYFUNCTION("""COMPUTED_VALUE"""),267.6)</f>
        <v>267.60000000000002</v>
      </c>
      <c r="C466">
        <f t="shared" ca="1" si="7"/>
        <v>2022</v>
      </c>
    </row>
    <row r="467" spans="1:3" x14ac:dyDescent="0.25">
      <c r="A467" s="3">
        <f ca="1">IFERROR(__xludf.DUMMYFUNCTION("""COMPUTED_VALUE"""),44610.6666666666)</f>
        <v>44610.666666666599</v>
      </c>
      <c r="B467" s="1">
        <f ca="1">IFERROR(__xludf.DUMMYFUNCTION("""COMPUTED_VALUE"""),264.4)</f>
        <v>264.39999999999998</v>
      </c>
      <c r="C467">
        <f t="shared" ca="1" si="7"/>
        <v>2022</v>
      </c>
    </row>
    <row r="468" spans="1:3" x14ac:dyDescent="0.25">
      <c r="A468" s="3">
        <f ca="1">IFERROR(__xludf.DUMMYFUNCTION("""COMPUTED_VALUE"""),44609.6666666666)</f>
        <v>44609.666666666599</v>
      </c>
      <c r="B468" s="1">
        <f ca="1">IFERROR(__xludf.DUMMYFUNCTION("""COMPUTED_VALUE"""),266)</f>
        <v>266</v>
      </c>
      <c r="C468">
        <f t="shared" ca="1" si="7"/>
        <v>2022</v>
      </c>
    </row>
    <row r="469" spans="1:3" x14ac:dyDescent="0.25">
      <c r="A469" s="3">
        <f ca="1">IFERROR(__xludf.DUMMYFUNCTION("""COMPUTED_VALUE"""),44608.6666666666)</f>
        <v>44608.666666666599</v>
      </c>
      <c r="B469" s="1">
        <f ca="1">IFERROR(__xludf.DUMMYFUNCTION("""COMPUTED_VALUE"""),284.4)</f>
        <v>284.39999999999998</v>
      </c>
      <c r="C469">
        <f t="shared" ca="1" si="7"/>
        <v>2022</v>
      </c>
    </row>
    <row r="470" spans="1:3" x14ac:dyDescent="0.25">
      <c r="A470" s="3">
        <f ca="1">IFERROR(__xludf.DUMMYFUNCTION("""COMPUTED_VALUE"""),44607.6666666666)</f>
        <v>44607.666666666599</v>
      </c>
      <c r="B470" s="1">
        <f ca="1">IFERROR(__xludf.DUMMYFUNCTION("""COMPUTED_VALUE"""),287.2)</f>
        <v>287.2</v>
      </c>
      <c r="C470">
        <f t="shared" ca="1" si="7"/>
        <v>2022</v>
      </c>
    </row>
    <row r="471" spans="1:3" x14ac:dyDescent="0.25">
      <c r="A471" s="3">
        <f ca="1">IFERROR(__xludf.DUMMYFUNCTION("""COMPUTED_VALUE"""),44606.6666666666)</f>
        <v>44606.666666666599</v>
      </c>
      <c r="B471" s="1">
        <f ca="1">IFERROR(__xludf.DUMMYFUNCTION("""COMPUTED_VALUE"""),274.8)</f>
        <v>274.8</v>
      </c>
      <c r="C471">
        <f t="shared" ca="1" si="7"/>
        <v>2022</v>
      </c>
    </row>
    <row r="472" spans="1:3" x14ac:dyDescent="0.25">
      <c r="A472" s="3">
        <f ca="1">IFERROR(__xludf.DUMMYFUNCTION("""COMPUTED_VALUE"""),44603.6666666666)</f>
        <v>44603.666666666599</v>
      </c>
      <c r="B472" s="1">
        <f ca="1">IFERROR(__xludf.DUMMYFUNCTION("""COMPUTED_VALUE"""),276.4)</f>
        <v>276.39999999999998</v>
      </c>
      <c r="C472">
        <f t="shared" ca="1" si="7"/>
        <v>2022</v>
      </c>
    </row>
    <row r="473" spans="1:3" x14ac:dyDescent="0.25">
      <c r="A473" s="3">
        <f ca="1">IFERROR(__xludf.DUMMYFUNCTION("""COMPUTED_VALUE"""),44602.6666666666)</f>
        <v>44602.666666666599</v>
      </c>
      <c r="B473" s="1">
        <f ca="1">IFERROR(__xludf.DUMMYFUNCTION("""COMPUTED_VALUE"""),285.2)</f>
        <v>285.2</v>
      </c>
      <c r="C473">
        <f t="shared" ca="1" si="7"/>
        <v>2022</v>
      </c>
    </row>
    <row r="474" spans="1:3" x14ac:dyDescent="0.25">
      <c r="A474" s="3">
        <f ca="1">IFERROR(__xludf.DUMMYFUNCTION("""COMPUTED_VALUE"""),44601.6666666666)</f>
        <v>44601.666666666599</v>
      </c>
      <c r="B474" s="1">
        <f ca="1">IFERROR(__xludf.DUMMYFUNCTION("""COMPUTED_VALUE"""),278)</f>
        <v>278</v>
      </c>
      <c r="C474">
        <f t="shared" ca="1" si="7"/>
        <v>2022</v>
      </c>
    </row>
    <row r="475" spans="1:3" x14ac:dyDescent="0.25">
      <c r="A475" s="3">
        <f ca="1">IFERROR(__xludf.DUMMYFUNCTION("""COMPUTED_VALUE"""),44600.6666666666)</f>
        <v>44600.666666666599</v>
      </c>
      <c r="B475" s="1">
        <f ca="1">IFERROR(__xludf.DUMMYFUNCTION("""COMPUTED_VALUE"""),278.4)</f>
        <v>278.39999999999998</v>
      </c>
      <c r="C475">
        <f t="shared" ca="1" si="7"/>
        <v>2022</v>
      </c>
    </row>
    <row r="476" spans="1:3" x14ac:dyDescent="0.25">
      <c r="A476" s="3">
        <f ca="1">IFERROR(__xludf.DUMMYFUNCTION("""COMPUTED_VALUE"""),44599.6666666666)</f>
        <v>44599.666666666599</v>
      </c>
      <c r="B476" s="1">
        <f ca="1">IFERROR(__xludf.DUMMYFUNCTION("""COMPUTED_VALUE"""),290.8)</f>
        <v>290.8</v>
      </c>
      <c r="C476">
        <f t="shared" ca="1" si="7"/>
        <v>2022</v>
      </c>
    </row>
    <row r="477" spans="1:3" x14ac:dyDescent="0.25">
      <c r="A477" s="3">
        <f ca="1">IFERROR(__xludf.DUMMYFUNCTION("""COMPUTED_VALUE"""),44596.6666666666)</f>
        <v>44596.666666666599</v>
      </c>
      <c r="B477" s="1">
        <f ca="1">IFERROR(__xludf.DUMMYFUNCTION("""COMPUTED_VALUE"""),291.6)</f>
        <v>291.60000000000002</v>
      </c>
      <c r="C477">
        <f t="shared" ca="1" si="7"/>
        <v>2022</v>
      </c>
    </row>
    <row r="478" spans="1:3" x14ac:dyDescent="0.25">
      <c r="A478" s="3">
        <f ca="1">IFERROR(__xludf.DUMMYFUNCTION("""COMPUTED_VALUE"""),44595.6666666666)</f>
        <v>44595.666666666599</v>
      </c>
      <c r="B478" s="1">
        <f ca="1">IFERROR(__xludf.DUMMYFUNCTION("""COMPUTED_VALUE"""),280.8)</f>
        <v>280.8</v>
      </c>
      <c r="C478">
        <f t="shared" ca="1" si="7"/>
        <v>2022</v>
      </c>
    </row>
    <row r="479" spans="1:3" x14ac:dyDescent="0.25">
      <c r="A479" s="3">
        <f ca="1">IFERROR(__xludf.DUMMYFUNCTION("""COMPUTED_VALUE"""),44594.6666666666)</f>
        <v>44594.666666666599</v>
      </c>
      <c r="B479" s="1">
        <f ca="1">IFERROR(__xludf.DUMMYFUNCTION("""COMPUTED_VALUE"""),290)</f>
        <v>290</v>
      </c>
      <c r="C479">
        <f t="shared" ca="1" si="7"/>
        <v>2022</v>
      </c>
    </row>
    <row r="480" spans="1:3" x14ac:dyDescent="0.25">
      <c r="A480" s="3">
        <f ca="1">IFERROR(__xludf.DUMMYFUNCTION("""COMPUTED_VALUE"""),44593.6666666666)</f>
        <v>44593.666666666599</v>
      </c>
      <c r="B480" s="1">
        <f ca="1">IFERROR(__xludf.DUMMYFUNCTION("""COMPUTED_VALUE"""),309.2)</f>
        <v>309.2</v>
      </c>
      <c r="C480">
        <f t="shared" ca="1" si="7"/>
        <v>2022</v>
      </c>
    </row>
    <row r="481" spans="1:3" x14ac:dyDescent="0.25">
      <c r="A481" s="3">
        <f ca="1">IFERROR(__xludf.DUMMYFUNCTION("""COMPUTED_VALUE"""),44592.6666666666)</f>
        <v>44592.666666666599</v>
      </c>
      <c r="B481" s="1">
        <f ca="1">IFERROR(__xludf.DUMMYFUNCTION("""COMPUTED_VALUE"""),297.2)</f>
        <v>297.2</v>
      </c>
      <c r="C481">
        <f t="shared" ca="1" si="7"/>
        <v>2022</v>
      </c>
    </row>
    <row r="482" spans="1:3" x14ac:dyDescent="0.25">
      <c r="A482" s="3">
        <f ca="1">IFERROR(__xludf.DUMMYFUNCTION("""COMPUTED_VALUE"""),44589.6666666666)</f>
        <v>44589.666666666599</v>
      </c>
      <c r="B482" s="1">
        <f ca="1">IFERROR(__xludf.DUMMYFUNCTION("""COMPUTED_VALUE"""),282.4)</f>
        <v>282.39999999999998</v>
      </c>
      <c r="C482">
        <f t="shared" ca="1" si="7"/>
        <v>2022</v>
      </c>
    </row>
    <row r="483" spans="1:3" x14ac:dyDescent="0.25">
      <c r="A483" s="3">
        <f ca="1">IFERROR(__xludf.DUMMYFUNCTION("""COMPUTED_VALUE"""),44588.6666666666)</f>
        <v>44588.666666666599</v>
      </c>
      <c r="B483" s="1">
        <f ca="1">IFERROR(__xludf.DUMMYFUNCTION("""COMPUTED_VALUE"""),277.6)</f>
        <v>277.60000000000002</v>
      </c>
      <c r="C483">
        <f t="shared" ca="1" si="7"/>
        <v>2022</v>
      </c>
    </row>
    <row r="484" spans="1:3" x14ac:dyDescent="0.25">
      <c r="A484" s="3">
        <f ca="1">IFERROR(__xludf.DUMMYFUNCTION("""COMPUTED_VALUE"""),44587.6666666666)</f>
        <v>44587.666666666599</v>
      </c>
      <c r="B484" s="1">
        <f ca="1">IFERROR(__xludf.DUMMYFUNCTION("""COMPUTED_VALUE"""),313.6)</f>
        <v>313.60000000000002</v>
      </c>
      <c r="C484">
        <f t="shared" ca="1" si="7"/>
        <v>2022</v>
      </c>
    </row>
    <row r="485" spans="1:3" x14ac:dyDescent="0.25">
      <c r="A485" s="3">
        <f ca="1">IFERROR(__xludf.DUMMYFUNCTION("""COMPUTED_VALUE"""),44586.6666666666)</f>
        <v>44586.666666666599</v>
      </c>
      <c r="B485" s="1">
        <f ca="1">IFERROR(__xludf.DUMMYFUNCTION("""COMPUTED_VALUE"""),326.4)</f>
        <v>326.39999999999998</v>
      </c>
      <c r="C485">
        <f t="shared" ca="1" si="7"/>
        <v>2022</v>
      </c>
    </row>
    <row r="486" spans="1:3" x14ac:dyDescent="0.25">
      <c r="A486" s="3">
        <f ca="1">IFERROR(__xludf.DUMMYFUNCTION("""COMPUTED_VALUE"""),44585.6666666666)</f>
        <v>44585.666666666599</v>
      </c>
      <c r="B486" s="1">
        <f ca="1">IFERROR(__xludf.DUMMYFUNCTION("""COMPUTED_VALUE"""),319.2)</f>
        <v>319.2</v>
      </c>
      <c r="C486">
        <f t="shared" ca="1" si="7"/>
        <v>2022</v>
      </c>
    </row>
    <row r="487" spans="1:3" x14ac:dyDescent="0.25">
      <c r="A487" s="3">
        <f ca="1">IFERROR(__xludf.DUMMYFUNCTION("""COMPUTED_VALUE"""),44582.6666666666)</f>
        <v>44582.666666666599</v>
      </c>
      <c r="B487" s="1">
        <f ca="1">IFERROR(__xludf.DUMMYFUNCTION("""COMPUTED_VALUE"""),354)</f>
        <v>354</v>
      </c>
      <c r="C487">
        <f t="shared" ca="1" si="7"/>
        <v>2022</v>
      </c>
    </row>
    <row r="488" spans="1:3" x14ac:dyDescent="0.25">
      <c r="A488" s="3">
        <f ca="1">IFERROR(__xludf.DUMMYFUNCTION("""COMPUTED_VALUE"""),44581.6666666666)</f>
        <v>44581.666666666599</v>
      </c>
      <c r="B488" s="1">
        <f ca="1">IFERROR(__xludf.DUMMYFUNCTION("""COMPUTED_VALUE"""),368)</f>
        <v>368</v>
      </c>
      <c r="C488">
        <f t="shared" ca="1" si="7"/>
        <v>2022</v>
      </c>
    </row>
    <row r="489" spans="1:3" x14ac:dyDescent="0.25">
      <c r="A489" s="3">
        <f ca="1">IFERROR(__xludf.DUMMYFUNCTION("""COMPUTED_VALUE"""),44580.6666666666)</f>
        <v>44580.666666666599</v>
      </c>
      <c r="B489" s="1">
        <f ca="1">IFERROR(__xludf.DUMMYFUNCTION("""COMPUTED_VALUE"""),376)</f>
        <v>376</v>
      </c>
      <c r="C489">
        <f t="shared" ca="1" si="7"/>
        <v>2022</v>
      </c>
    </row>
    <row r="490" spans="1:3" x14ac:dyDescent="0.25">
      <c r="A490" s="3">
        <f ca="1">IFERROR(__xludf.DUMMYFUNCTION("""COMPUTED_VALUE"""),44579.6666666666)</f>
        <v>44579.666666666599</v>
      </c>
      <c r="B490" s="1">
        <f ca="1">IFERROR(__xludf.DUMMYFUNCTION("""COMPUTED_VALUE"""),364)</f>
        <v>364</v>
      </c>
      <c r="C490">
        <f t="shared" ca="1" si="7"/>
        <v>2022</v>
      </c>
    </row>
    <row r="491" spans="1:3" x14ac:dyDescent="0.25">
      <c r="A491" s="3">
        <f ca="1">IFERROR(__xludf.DUMMYFUNCTION("""COMPUTED_VALUE"""),44575.6666666666)</f>
        <v>44575.666666666599</v>
      </c>
      <c r="B491" s="1">
        <f ca="1">IFERROR(__xludf.DUMMYFUNCTION("""COMPUTED_VALUE"""),370)</f>
        <v>370</v>
      </c>
      <c r="C491">
        <f t="shared" ca="1" si="7"/>
        <v>2022</v>
      </c>
    </row>
    <row r="492" spans="1:3" x14ac:dyDescent="0.25">
      <c r="A492" s="3">
        <f ca="1">IFERROR(__xludf.DUMMYFUNCTION("""COMPUTED_VALUE"""),44574.6666666666)</f>
        <v>44574.666666666599</v>
      </c>
      <c r="B492" s="1">
        <f ca="1">IFERROR(__xludf.DUMMYFUNCTION("""COMPUTED_VALUE"""),388.8)</f>
        <v>388.8</v>
      </c>
      <c r="C492">
        <f t="shared" ca="1" si="7"/>
        <v>2022</v>
      </c>
    </row>
    <row r="493" spans="1:3" x14ac:dyDescent="0.25">
      <c r="A493" s="3">
        <f ca="1">IFERROR(__xludf.DUMMYFUNCTION("""COMPUTED_VALUE"""),44573.6666666666)</f>
        <v>44573.666666666599</v>
      </c>
      <c r="B493" s="1">
        <f ca="1">IFERROR(__xludf.DUMMYFUNCTION("""COMPUTED_VALUE"""),387.6)</f>
        <v>387.6</v>
      </c>
      <c r="C493">
        <f t="shared" ca="1" si="7"/>
        <v>2022</v>
      </c>
    </row>
    <row r="494" spans="1:3" x14ac:dyDescent="0.25">
      <c r="A494" s="3">
        <f ca="1">IFERROR(__xludf.DUMMYFUNCTION("""COMPUTED_VALUE"""),44572.6666666666)</f>
        <v>44572.666666666599</v>
      </c>
      <c r="B494" s="1">
        <f ca="1">IFERROR(__xludf.DUMMYFUNCTION("""COMPUTED_VALUE"""),381.6)</f>
        <v>381.6</v>
      </c>
      <c r="C494">
        <f t="shared" ca="1" si="7"/>
        <v>2022</v>
      </c>
    </row>
    <row r="495" spans="1:3" x14ac:dyDescent="0.25">
      <c r="A495" s="3">
        <f ca="1">IFERROR(__xludf.DUMMYFUNCTION("""COMPUTED_VALUE"""),44571.6666666666)</f>
        <v>44571.666666666599</v>
      </c>
      <c r="B495" s="1">
        <f ca="1">IFERROR(__xludf.DUMMYFUNCTION("""COMPUTED_VALUE"""),378.8)</f>
        <v>378.8</v>
      </c>
      <c r="C495">
        <f t="shared" ca="1" si="7"/>
        <v>2022</v>
      </c>
    </row>
    <row r="496" spans="1:3" x14ac:dyDescent="0.25">
      <c r="A496" s="3">
        <f ca="1">IFERROR(__xludf.DUMMYFUNCTION("""COMPUTED_VALUE"""),44568.6666666666)</f>
        <v>44568.666666666599</v>
      </c>
      <c r="B496" s="1">
        <f ca="1">IFERROR(__xludf.DUMMYFUNCTION("""COMPUTED_VALUE"""),368.4)</f>
        <v>368.4</v>
      </c>
      <c r="C496">
        <f t="shared" ca="1" si="7"/>
        <v>2022</v>
      </c>
    </row>
    <row r="497" spans="1:3" x14ac:dyDescent="0.25">
      <c r="A497" s="3">
        <f ca="1">IFERROR(__xludf.DUMMYFUNCTION("""COMPUTED_VALUE"""),44567.6666666666)</f>
        <v>44567.666666666599</v>
      </c>
      <c r="B497" s="1">
        <f ca="1">IFERROR(__xludf.DUMMYFUNCTION("""COMPUTED_VALUE"""),365.6)</f>
        <v>365.6</v>
      </c>
      <c r="C497">
        <f t="shared" ca="1" si="7"/>
        <v>2022</v>
      </c>
    </row>
    <row r="498" spans="1:3" x14ac:dyDescent="0.25">
      <c r="A498" s="3">
        <f ca="1">IFERROR(__xludf.DUMMYFUNCTION("""COMPUTED_VALUE"""),44566.6666666666)</f>
        <v>44566.666666666599</v>
      </c>
      <c r="B498" s="1">
        <f ca="1">IFERROR(__xludf.DUMMYFUNCTION("""COMPUTED_VALUE"""),374)</f>
        <v>374</v>
      </c>
      <c r="C498">
        <f t="shared" ca="1" si="7"/>
        <v>2022</v>
      </c>
    </row>
    <row r="499" spans="1:3" x14ac:dyDescent="0.25">
      <c r="A499" s="3">
        <f ca="1">IFERROR(__xludf.DUMMYFUNCTION("""COMPUTED_VALUE"""),44565.6666666666)</f>
        <v>44565.666666666599</v>
      </c>
      <c r="B499" s="1">
        <f ca="1">IFERROR(__xludf.DUMMYFUNCTION("""COMPUTED_VALUE"""),368.8)</f>
        <v>368.8</v>
      </c>
      <c r="C499">
        <f t="shared" ca="1" si="7"/>
        <v>2022</v>
      </c>
    </row>
    <row r="500" spans="1:3" x14ac:dyDescent="0.25">
      <c r="A500" s="3">
        <f ca="1">IFERROR(__xludf.DUMMYFUNCTION("""COMPUTED_VALUE"""),44564.6666666666)</f>
        <v>44564.666666666599</v>
      </c>
      <c r="B500" s="1">
        <f ca="1">IFERROR(__xludf.DUMMYFUNCTION("""COMPUTED_VALUE"""),369.2)</f>
        <v>369.2</v>
      </c>
      <c r="C500">
        <f t="shared" ca="1" si="7"/>
        <v>2022</v>
      </c>
    </row>
    <row r="501" spans="1:3" x14ac:dyDescent="0.25">
      <c r="A501" s="3">
        <f ca="1">IFERROR(__xludf.DUMMYFUNCTION("""COMPUTED_VALUE"""),44561.6666666666)</f>
        <v>44561.666666666599</v>
      </c>
      <c r="B501" s="1">
        <f ca="1">IFERROR(__xludf.DUMMYFUNCTION("""COMPUTED_VALUE"""),344)</f>
        <v>344</v>
      </c>
      <c r="C501">
        <f t="shared" ca="1" si="7"/>
        <v>2021</v>
      </c>
    </row>
    <row r="502" spans="1:3" x14ac:dyDescent="0.25">
      <c r="A502" s="3">
        <f ca="1">IFERROR(__xludf.DUMMYFUNCTION("""COMPUTED_VALUE"""),44560.6666666666)</f>
        <v>44560.666666666599</v>
      </c>
      <c r="B502" s="1">
        <f ca="1">IFERROR(__xludf.DUMMYFUNCTION("""COMPUTED_VALUE"""),344.4)</f>
        <v>344.4</v>
      </c>
      <c r="C502">
        <f t="shared" ca="1" si="7"/>
        <v>2021</v>
      </c>
    </row>
    <row r="503" spans="1:3" x14ac:dyDescent="0.25">
      <c r="A503" s="3">
        <f ca="1">IFERROR(__xludf.DUMMYFUNCTION("""COMPUTED_VALUE"""),44559.6666666666)</f>
        <v>44559.666666666599</v>
      </c>
      <c r="B503" s="1">
        <f ca="1">IFERROR(__xludf.DUMMYFUNCTION("""COMPUTED_VALUE"""),336)</f>
        <v>336</v>
      </c>
      <c r="C503">
        <f t="shared" ca="1" si="7"/>
        <v>2021</v>
      </c>
    </row>
    <row r="504" spans="1:3" x14ac:dyDescent="0.25">
      <c r="A504" s="3">
        <f ca="1">IFERROR(__xludf.DUMMYFUNCTION("""COMPUTED_VALUE"""),44558.6666666666)</f>
        <v>44558.666666666599</v>
      </c>
      <c r="B504" s="1">
        <f ca="1">IFERROR(__xludf.DUMMYFUNCTION("""COMPUTED_VALUE"""),341.2)</f>
        <v>341.2</v>
      </c>
      <c r="C504">
        <f t="shared" ca="1" si="7"/>
        <v>2021</v>
      </c>
    </row>
    <row r="505" spans="1:3" x14ac:dyDescent="0.25">
      <c r="A505" s="3">
        <f ca="1">IFERROR(__xludf.DUMMYFUNCTION("""COMPUTED_VALUE"""),44557.6666666666)</f>
        <v>44557.666666666599</v>
      </c>
      <c r="B505" s="1">
        <f ca="1">IFERROR(__xludf.DUMMYFUNCTION("""COMPUTED_VALUE"""),344)</f>
        <v>344</v>
      </c>
      <c r="C505">
        <f t="shared" ca="1" si="7"/>
        <v>2021</v>
      </c>
    </row>
    <row r="506" spans="1:3" x14ac:dyDescent="0.25">
      <c r="A506" s="3">
        <f ca="1">IFERROR(__xludf.DUMMYFUNCTION("""COMPUTED_VALUE"""),44553.6666666666)</f>
        <v>44553.666666666599</v>
      </c>
      <c r="B506" s="1">
        <f ca="1">IFERROR(__xludf.DUMMYFUNCTION("""COMPUTED_VALUE"""),321.6)</f>
        <v>321.60000000000002</v>
      </c>
      <c r="C506">
        <f t="shared" ca="1" si="7"/>
        <v>2021</v>
      </c>
    </row>
    <row r="507" spans="1:3" x14ac:dyDescent="0.25">
      <c r="A507" s="3">
        <f ca="1">IFERROR(__xludf.DUMMYFUNCTION("""COMPUTED_VALUE"""),44552.6666666666)</f>
        <v>44552.666666666599</v>
      </c>
      <c r="B507" s="1">
        <f ca="1">IFERROR(__xludf.DUMMYFUNCTION("""COMPUTED_VALUE"""),315.6)</f>
        <v>315.60000000000002</v>
      </c>
      <c r="C507">
        <f t="shared" ca="1" si="7"/>
        <v>2021</v>
      </c>
    </row>
    <row r="508" spans="1:3" x14ac:dyDescent="0.25">
      <c r="A508" s="3">
        <f ca="1">IFERROR(__xludf.DUMMYFUNCTION("""COMPUTED_VALUE"""),44551.6666666666)</f>
        <v>44551.666666666599</v>
      </c>
      <c r="B508" s="1">
        <f ca="1">IFERROR(__xludf.DUMMYFUNCTION("""COMPUTED_VALUE"""),320.8)</f>
        <v>320.8</v>
      </c>
      <c r="C508">
        <f t="shared" ca="1" si="7"/>
        <v>2021</v>
      </c>
    </row>
    <row r="509" spans="1:3" x14ac:dyDescent="0.25">
      <c r="A509" s="3">
        <f ca="1">IFERROR(__xludf.DUMMYFUNCTION("""COMPUTED_VALUE"""),44550.6666666666)</f>
        <v>44550.666666666599</v>
      </c>
      <c r="B509" s="1">
        <f ca="1">IFERROR(__xludf.DUMMYFUNCTION("""COMPUTED_VALUE"""),323.6)</f>
        <v>323.60000000000002</v>
      </c>
      <c r="C509">
        <f t="shared" ca="1" si="7"/>
        <v>2021</v>
      </c>
    </row>
    <row r="510" spans="1:3" x14ac:dyDescent="0.25">
      <c r="A510" s="3">
        <f ca="1">IFERROR(__xludf.DUMMYFUNCTION("""COMPUTED_VALUE"""),44547.6666666666)</f>
        <v>44547.666666666599</v>
      </c>
      <c r="B510" s="1">
        <f ca="1">IFERROR(__xludf.DUMMYFUNCTION("""COMPUTED_VALUE"""),320.4)</f>
        <v>320.39999999999998</v>
      </c>
      <c r="C510">
        <f t="shared" ca="1" si="7"/>
        <v>2021</v>
      </c>
    </row>
    <row r="511" spans="1:3" x14ac:dyDescent="0.25">
      <c r="A511" s="3">
        <f ca="1">IFERROR(__xludf.DUMMYFUNCTION("""COMPUTED_VALUE"""),44546.6666666666)</f>
        <v>44546.666666666599</v>
      </c>
      <c r="B511" s="1">
        <f ca="1">IFERROR(__xludf.DUMMYFUNCTION("""COMPUTED_VALUE"""),312.8)</f>
        <v>312.8</v>
      </c>
      <c r="C511">
        <f t="shared" ca="1" si="7"/>
        <v>2021</v>
      </c>
    </row>
    <row r="512" spans="1:3" x14ac:dyDescent="0.25">
      <c r="A512" s="3">
        <f ca="1">IFERROR(__xludf.DUMMYFUNCTION("""COMPUTED_VALUE"""),44545.6666666666)</f>
        <v>44545.666666666599</v>
      </c>
      <c r="B512" s="1">
        <f ca="1">IFERROR(__xludf.DUMMYFUNCTION("""COMPUTED_VALUE"""),302.4)</f>
        <v>302.39999999999998</v>
      </c>
      <c r="C512">
        <f t="shared" ca="1" si="7"/>
        <v>2021</v>
      </c>
    </row>
    <row r="513" spans="1:3" x14ac:dyDescent="0.25">
      <c r="A513" s="3">
        <f ca="1">IFERROR(__xludf.DUMMYFUNCTION("""COMPUTED_VALUE"""),44544.6666666666)</f>
        <v>44544.666666666599</v>
      </c>
      <c r="B513" s="1">
        <f ca="1">IFERROR(__xludf.DUMMYFUNCTION("""COMPUTED_VALUE"""),301.2)</f>
        <v>301.2</v>
      </c>
      <c r="C513">
        <f t="shared" ca="1" si="7"/>
        <v>2021</v>
      </c>
    </row>
    <row r="514" spans="1:3" x14ac:dyDescent="0.25">
      <c r="A514" s="3">
        <f ca="1">IFERROR(__xludf.DUMMYFUNCTION("""COMPUTED_VALUE"""),44543.6666666666)</f>
        <v>44543.666666666599</v>
      </c>
      <c r="B514" s="1">
        <f ca="1">IFERROR(__xludf.DUMMYFUNCTION("""COMPUTED_VALUE"""),316.8)</f>
        <v>316.8</v>
      </c>
      <c r="C514">
        <f t="shared" ref="C514:C577" ca="1" si="8">YEAR(A514)</f>
        <v>2021</v>
      </c>
    </row>
    <row r="515" spans="1:3" x14ac:dyDescent="0.25">
      <c r="A515" s="3">
        <f ca="1">IFERROR(__xludf.DUMMYFUNCTION("""COMPUTED_VALUE"""),44540.6666666666)</f>
        <v>44540.666666666599</v>
      </c>
      <c r="B515" s="1">
        <f ca="1">IFERROR(__xludf.DUMMYFUNCTION("""COMPUTED_VALUE"""),347.2)</f>
        <v>347.2</v>
      </c>
      <c r="C515">
        <f t="shared" ca="1" si="8"/>
        <v>2021</v>
      </c>
    </row>
    <row r="516" spans="1:3" x14ac:dyDescent="0.25">
      <c r="A516" s="3">
        <f ca="1">IFERROR(__xludf.DUMMYFUNCTION("""COMPUTED_VALUE"""),44539.6666666666)</f>
        <v>44539.666666666599</v>
      </c>
      <c r="B516" s="1">
        <f ca="1">IFERROR(__xludf.DUMMYFUNCTION("""COMPUTED_VALUE"""),337.6)</f>
        <v>337.6</v>
      </c>
      <c r="C516">
        <f t="shared" ca="1" si="8"/>
        <v>2021</v>
      </c>
    </row>
    <row r="517" spans="1:3" x14ac:dyDescent="0.25">
      <c r="A517" s="3">
        <f ca="1">IFERROR(__xludf.DUMMYFUNCTION("""COMPUTED_VALUE"""),44538.6666666666)</f>
        <v>44538.666666666599</v>
      </c>
      <c r="B517" s="1">
        <f ca="1">IFERROR(__xludf.DUMMYFUNCTION("""COMPUTED_VALUE"""),349.2)</f>
        <v>349.2</v>
      </c>
      <c r="C517">
        <f t="shared" ca="1" si="8"/>
        <v>2021</v>
      </c>
    </row>
    <row r="518" spans="1:3" x14ac:dyDescent="0.25">
      <c r="A518" s="3">
        <f ca="1">IFERROR(__xludf.DUMMYFUNCTION("""COMPUTED_VALUE"""),44537.6666666666)</f>
        <v>44537.666666666599</v>
      </c>
      <c r="B518" s="1">
        <f ca="1">IFERROR(__xludf.DUMMYFUNCTION("""COMPUTED_VALUE"""),341.2)</f>
        <v>341.2</v>
      </c>
      <c r="C518">
        <f t="shared" ca="1" si="8"/>
        <v>2021</v>
      </c>
    </row>
    <row r="519" spans="1:3" x14ac:dyDescent="0.25">
      <c r="A519" s="3">
        <f ca="1">IFERROR(__xludf.DUMMYFUNCTION("""COMPUTED_VALUE"""),44536.6666666666)</f>
        <v>44536.666666666599</v>
      </c>
      <c r="B519" s="1">
        <f ca="1">IFERROR(__xludf.DUMMYFUNCTION("""COMPUTED_VALUE"""),340.8)</f>
        <v>340.8</v>
      </c>
      <c r="C519">
        <f t="shared" ca="1" si="8"/>
        <v>2021</v>
      </c>
    </row>
    <row r="520" spans="1:3" x14ac:dyDescent="0.25">
      <c r="A520" s="3">
        <f ca="1">IFERROR(__xludf.DUMMYFUNCTION("""COMPUTED_VALUE"""),44533.6666666666)</f>
        <v>44533.666666666599</v>
      </c>
      <c r="B520" s="1">
        <f ca="1">IFERROR(__xludf.DUMMYFUNCTION("""COMPUTED_VALUE"""),306.8)</f>
        <v>306.8</v>
      </c>
      <c r="C520">
        <f t="shared" ca="1" si="8"/>
        <v>2021</v>
      </c>
    </row>
    <row r="521" spans="1:3" x14ac:dyDescent="0.25">
      <c r="A521" s="3">
        <f ca="1">IFERROR(__xludf.DUMMYFUNCTION("""COMPUTED_VALUE"""),44532.6666666666)</f>
        <v>44532.666666666599</v>
      </c>
      <c r="B521" s="1">
        <f ca="1">IFERROR(__xludf.DUMMYFUNCTION("""COMPUTED_VALUE"""),336)</f>
        <v>336</v>
      </c>
      <c r="C521">
        <f t="shared" ca="1" si="8"/>
        <v>2021</v>
      </c>
    </row>
    <row r="522" spans="1:3" x14ac:dyDescent="0.25">
      <c r="A522" s="3">
        <f ca="1">IFERROR(__xludf.DUMMYFUNCTION("""COMPUTED_VALUE"""),44531.6666666666)</f>
        <v>44531.666666666599</v>
      </c>
      <c r="B522" s="1">
        <f ca="1">IFERROR(__xludf.DUMMYFUNCTION("""COMPUTED_VALUE"""),338.4)</f>
        <v>338.4</v>
      </c>
      <c r="C522">
        <f t="shared" ca="1" si="8"/>
        <v>2021</v>
      </c>
    </row>
    <row r="523" spans="1:3" x14ac:dyDescent="0.25">
      <c r="A523" s="3">
        <f ca="1">IFERROR(__xludf.DUMMYFUNCTION("""COMPUTED_VALUE"""),44530.6666666666)</f>
        <v>44530.666666666599</v>
      </c>
      <c r="B523" s="1">
        <f ca="1">IFERROR(__xludf.DUMMYFUNCTION("""COMPUTED_VALUE"""),347.6)</f>
        <v>347.6</v>
      </c>
      <c r="C523">
        <f t="shared" ca="1" si="8"/>
        <v>2021</v>
      </c>
    </row>
    <row r="524" spans="1:3" x14ac:dyDescent="0.25">
      <c r="A524" s="3">
        <f ca="1">IFERROR(__xludf.DUMMYFUNCTION("""COMPUTED_VALUE"""),44529.6666666666)</f>
        <v>44529.666666666599</v>
      </c>
      <c r="B524" s="1">
        <f ca="1">IFERROR(__xludf.DUMMYFUNCTION("""COMPUTED_VALUE"""),366)</f>
        <v>366</v>
      </c>
      <c r="C524">
        <f t="shared" ca="1" si="8"/>
        <v>2021</v>
      </c>
    </row>
    <row r="525" spans="1:3" x14ac:dyDescent="0.25">
      <c r="A525" s="3">
        <f ca="1">IFERROR(__xludf.DUMMYFUNCTION("""COMPUTED_VALUE"""),44526.5416666666)</f>
        <v>44526.541666666599</v>
      </c>
      <c r="B525" s="1">
        <f ca="1">IFERROR(__xludf.DUMMYFUNCTION("""COMPUTED_VALUE"""),359.2)</f>
        <v>359.2</v>
      </c>
      <c r="C525">
        <f t="shared" ca="1" si="8"/>
        <v>2021</v>
      </c>
    </row>
    <row r="526" spans="1:3" x14ac:dyDescent="0.25">
      <c r="A526" s="3">
        <f ca="1">IFERROR(__xludf.DUMMYFUNCTION("""COMPUTED_VALUE"""),44524.6666666666)</f>
        <v>44524.666666666599</v>
      </c>
      <c r="B526" s="1">
        <f ca="1">IFERROR(__xludf.DUMMYFUNCTION("""COMPUTED_VALUE"""),370)</f>
        <v>370</v>
      </c>
      <c r="C526">
        <f t="shared" ca="1" si="8"/>
        <v>2021</v>
      </c>
    </row>
    <row r="527" spans="1:3" x14ac:dyDescent="0.25">
      <c r="A527" s="3">
        <f ca="1">IFERROR(__xludf.DUMMYFUNCTION("""COMPUTED_VALUE"""),44523.6666666666)</f>
        <v>44523.666666666599</v>
      </c>
      <c r="B527" s="1">
        <f ca="1">IFERROR(__xludf.DUMMYFUNCTION("""COMPUTED_VALUE"""),362.8)</f>
        <v>362.8</v>
      </c>
      <c r="C527">
        <f t="shared" ca="1" si="8"/>
        <v>2021</v>
      </c>
    </row>
    <row r="528" spans="1:3" x14ac:dyDescent="0.25">
      <c r="A528" s="3">
        <f ca="1">IFERROR(__xludf.DUMMYFUNCTION("""COMPUTED_VALUE"""),44522.6666666666)</f>
        <v>44522.666666666599</v>
      </c>
      <c r="B528" s="1">
        <f ca="1">IFERROR(__xludf.DUMMYFUNCTION("""COMPUTED_VALUE"""),375.2)</f>
        <v>375.2</v>
      </c>
      <c r="C528">
        <f t="shared" ca="1" si="8"/>
        <v>2021</v>
      </c>
    </row>
    <row r="529" spans="1:3" x14ac:dyDescent="0.25">
      <c r="A529" s="3">
        <f ca="1">IFERROR(__xludf.DUMMYFUNCTION("""COMPUTED_VALUE"""),44519.6666666666)</f>
        <v>44519.666666666599</v>
      </c>
      <c r="B529" s="1">
        <f ca="1">IFERROR(__xludf.DUMMYFUNCTION("""COMPUTED_VALUE"""),348.4)</f>
        <v>348.4</v>
      </c>
      <c r="C529">
        <f t="shared" ca="1" si="8"/>
        <v>2021</v>
      </c>
    </row>
    <row r="530" spans="1:3" x14ac:dyDescent="0.25">
      <c r="A530" s="3">
        <f ca="1">IFERROR(__xludf.DUMMYFUNCTION("""COMPUTED_VALUE"""),44518.6666666666)</f>
        <v>44518.666666666599</v>
      </c>
      <c r="B530" s="1">
        <f ca="1">IFERROR(__xludf.DUMMYFUNCTION("""COMPUTED_VALUE"""),334.4)</f>
        <v>334.4</v>
      </c>
      <c r="C530">
        <f t="shared" ca="1" si="8"/>
        <v>2021</v>
      </c>
    </row>
    <row r="531" spans="1:3" x14ac:dyDescent="0.25">
      <c r="A531" s="3">
        <f ca="1">IFERROR(__xludf.DUMMYFUNCTION("""COMPUTED_VALUE"""),44517.6666666666)</f>
        <v>44517.666666666599</v>
      </c>
      <c r="B531" s="1">
        <f ca="1">IFERROR(__xludf.DUMMYFUNCTION("""COMPUTED_VALUE"""),348.8)</f>
        <v>348.8</v>
      </c>
      <c r="C531">
        <f t="shared" ca="1" si="8"/>
        <v>2021</v>
      </c>
    </row>
    <row r="532" spans="1:3" x14ac:dyDescent="0.25">
      <c r="A532" s="3">
        <f ca="1">IFERROR(__xludf.DUMMYFUNCTION("""COMPUTED_VALUE"""),44516.6666666666)</f>
        <v>44516.666666666599</v>
      </c>
      <c r="B532" s="1">
        <f ca="1">IFERROR(__xludf.DUMMYFUNCTION("""COMPUTED_VALUE"""),366.4)</f>
        <v>366.4</v>
      </c>
      <c r="C532">
        <f t="shared" ca="1" si="8"/>
        <v>2021</v>
      </c>
    </row>
    <row r="533" spans="1:3" x14ac:dyDescent="0.25">
      <c r="A533" s="3">
        <f ca="1">IFERROR(__xludf.DUMMYFUNCTION("""COMPUTED_VALUE"""),44515.6666666666)</f>
        <v>44515.666666666599</v>
      </c>
      <c r="B533" s="1">
        <f ca="1">IFERROR(__xludf.DUMMYFUNCTION("""COMPUTED_VALUE"""),379.6)</f>
        <v>379.6</v>
      </c>
      <c r="C533">
        <f t="shared" ca="1" si="8"/>
        <v>2021</v>
      </c>
    </row>
    <row r="534" spans="1:3" x14ac:dyDescent="0.25">
      <c r="A534" s="3">
        <f ca="1">IFERROR(__xludf.DUMMYFUNCTION("""COMPUTED_VALUE"""),44512.6666666666)</f>
        <v>44512.666666666599</v>
      </c>
      <c r="B534" s="1">
        <f ca="1">IFERROR(__xludf.DUMMYFUNCTION("""COMPUTED_VALUE"""),367.2)</f>
        <v>367.2</v>
      </c>
      <c r="C534">
        <f t="shared" ca="1" si="8"/>
        <v>2021</v>
      </c>
    </row>
    <row r="535" spans="1:3" x14ac:dyDescent="0.25">
      <c r="A535" s="3">
        <f ca="1">IFERROR(__xludf.DUMMYFUNCTION("""COMPUTED_VALUE"""),44511.6666666666)</f>
        <v>44511.666666666599</v>
      </c>
      <c r="B535" s="1">
        <f ca="1">IFERROR(__xludf.DUMMYFUNCTION("""COMPUTED_VALUE"""),382.8)</f>
        <v>382.8</v>
      </c>
      <c r="C535">
        <f t="shared" ca="1" si="8"/>
        <v>2021</v>
      </c>
    </row>
    <row r="536" spans="1:3" x14ac:dyDescent="0.25">
      <c r="A536" s="3">
        <f ca="1">IFERROR(__xludf.DUMMYFUNCTION("""COMPUTED_VALUE"""),44510.6666666666)</f>
        <v>44510.666666666599</v>
      </c>
      <c r="B536" s="1">
        <f ca="1">IFERROR(__xludf.DUMMYFUNCTION("""COMPUTED_VALUE"""),385.6)</f>
        <v>385.6</v>
      </c>
      <c r="C536">
        <f t="shared" ca="1" si="8"/>
        <v>2021</v>
      </c>
    </row>
    <row r="537" spans="1:3" x14ac:dyDescent="0.25">
      <c r="A537" s="3">
        <f ca="1">IFERROR(__xludf.DUMMYFUNCTION("""COMPUTED_VALUE"""),44509.6666666666)</f>
        <v>44509.666666666599</v>
      </c>
      <c r="B537" s="1">
        <f ca="1">IFERROR(__xludf.DUMMYFUNCTION("""COMPUTED_VALUE"""),390)</f>
        <v>390</v>
      </c>
      <c r="C537">
        <f t="shared" ca="1" si="8"/>
        <v>2021</v>
      </c>
    </row>
    <row r="538" spans="1:3" x14ac:dyDescent="0.25">
      <c r="A538" s="3">
        <f ca="1">IFERROR(__xludf.DUMMYFUNCTION("""COMPUTED_VALUE"""),44508.6666666666)</f>
        <v>44508.666666666599</v>
      </c>
      <c r="B538" s="1">
        <f ca="1">IFERROR(__xludf.DUMMYFUNCTION("""COMPUTED_VALUE"""),381.6)</f>
        <v>381.6</v>
      </c>
      <c r="C538">
        <f t="shared" ca="1" si="8"/>
        <v>2021</v>
      </c>
    </row>
    <row r="539" spans="1:3" x14ac:dyDescent="0.25">
      <c r="A539" s="3">
        <f ca="1">IFERROR(__xludf.DUMMYFUNCTION("""COMPUTED_VALUE"""),44505.6666666666)</f>
        <v>44505.666666666599</v>
      </c>
      <c r="B539" s="1">
        <f ca="1">IFERROR(__xludf.DUMMYFUNCTION("""COMPUTED_VALUE"""),396.4)</f>
        <v>396.4</v>
      </c>
      <c r="C539">
        <f t="shared" ca="1" si="8"/>
        <v>2021</v>
      </c>
    </row>
    <row r="540" spans="1:3" x14ac:dyDescent="0.25">
      <c r="A540" s="3">
        <f ca="1">IFERROR(__xludf.DUMMYFUNCTION("""COMPUTED_VALUE"""),44504.6666666666)</f>
        <v>44504.666666666599</v>
      </c>
      <c r="B540" s="1">
        <f ca="1">IFERROR(__xludf.DUMMYFUNCTION("""COMPUTED_VALUE"""),381.2)</f>
        <v>381.2</v>
      </c>
      <c r="C540">
        <f t="shared" ca="1" si="8"/>
        <v>2021</v>
      </c>
    </row>
    <row r="541" spans="1:3" x14ac:dyDescent="0.25">
      <c r="A541" s="3">
        <f ca="1">IFERROR(__xludf.DUMMYFUNCTION("""COMPUTED_VALUE"""),44503.6666666666)</f>
        <v>44503.666666666599</v>
      </c>
      <c r="B541" s="1">
        <f ca="1">IFERROR(__xludf.DUMMYFUNCTION("""COMPUTED_VALUE"""),380.4)</f>
        <v>380.4</v>
      </c>
      <c r="C541">
        <f t="shared" ca="1" si="8"/>
        <v>2021</v>
      </c>
    </row>
    <row r="542" spans="1:3" x14ac:dyDescent="0.25">
      <c r="A542" s="3">
        <f ca="1">IFERROR(__xludf.DUMMYFUNCTION("""COMPUTED_VALUE"""),44502.6666666666)</f>
        <v>44502.666666666599</v>
      </c>
      <c r="B542" s="1">
        <f ca="1">IFERROR(__xludf.DUMMYFUNCTION("""COMPUTED_VALUE"""),388.4)</f>
        <v>388.4</v>
      </c>
      <c r="C542">
        <f t="shared" ca="1" si="8"/>
        <v>2021</v>
      </c>
    </row>
    <row r="543" spans="1:3" x14ac:dyDescent="0.25">
      <c r="A543" s="3">
        <f ca="1">IFERROR(__xludf.DUMMYFUNCTION("""COMPUTED_VALUE"""),44501.6666666666)</f>
        <v>44501.666666666599</v>
      </c>
      <c r="B543" s="1">
        <f ca="1">IFERROR(__xludf.DUMMYFUNCTION("""COMPUTED_VALUE"""),395.6)</f>
        <v>395.6</v>
      </c>
      <c r="C543">
        <f t="shared" ca="1" si="8"/>
        <v>2021</v>
      </c>
    </row>
    <row r="544" spans="1:3" x14ac:dyDescent="0.25">
      <c r="A544" s="3">
        <f ca="1">IFERROR(__xludf.DUMMYFUNCTION("""COMPUTED_VALUE"""),44498.6666666666)</f>
        <v>44498.666666666599</v>
      </c>
      <c r="B544" s="1">
        <f ca="1">IFERROR(__xludf.DUMMYFUNCTION("""COMPUTED_VALUE"""),408.4)</f>
        <v>408.4</v>
      </c>
      <c r="C544">
        <f t="shared" ca="1" si="8"/>
        <v>2021</v>
      </c>
    </row>
    <row r="545" spans="1:3" x14ac:dyDescent="0.25">
      <c r="A545" s="3">
        <f ca="1">IFERROR(__xludf.DUMMYFUNCTION("""COMPUTED_VALUE"""),44497.6666666666)</f>
        <v>44497.666666666599</v>
      </c>
      <c r="B545" s="1">
        <f ca="1">IFERROR(__xludf.DUMMYFUNCTION("""COMPUTED_VALUE"""),422.8)</f>
        <v>422.8</v>
      </c>
      <c r="C545">
        <f t="shared" ca="1" si="8"/>
        <v>2021</v>
      </c>
    </row>
    <row r="546" spans="1:3" x14ac:dyDescent="0.25">
      <c r="A546" s="3">
        <f ca="1">IFERROR(__xludf.DUMMYFUNCTION("""COMPUTED_VALUE"""),44496.6666666666)</f>
        <v>44496.666666666599</v>
      </c>
      <c r="B546" s="1">
        <f ca="1">IFERROR(__xludf.DUMMYFUNCTION("""COMPUTED_VALUE"""),414.4)</f>
        <v>414.4</v>
      </c>
      <c r="C546">
        <f t="shared" ca="1" si="8"/>
        <v>2021</v>
      </c>
    </row>
    <row r="547" spans="1:3" x14ac:dyDescent="0.25">
      <c r="A547" s="3">
        <f ca="1">IFERROR(__xludf.DUMMYFUNCTION("""COMPUTED_VALUE"""),44495.6666666666)</f>
        <v>44495.666666666599</v>
      </c>
      <c r="B547" s="1">
        <f ca="1">IFERROR(__xludf.DUMMYFUNCTION("""COMPUTED_VALUE"""),494)</f>
        <v>494</v>
      </c>
      <c r="C547">
        <f t="shared" ca="1" si="8"/>
        <v>2021</v>
      </c>
    </row>
    <row r="548" spans="1:3" x14ac:dyDescent="0.25">
      <c r="A548" s="3">
        <f ca="1">IFERROR(__xludf.DUMMYFUNCTION("""COMPUTED_VALUE"""),44494.6666666666)</f>
        <v>44494.666666666599</v>
      </c>
      <c r="B548" s="1">
        <f ca="1">IFERROR(__xludf.DUMMYFUNCTION("""COMPUTED_VALUE"""),527.2)</f>
        <v>527.20000000000005</v>
      </c>
      <c r="C548">
        <f t="shared" ca="1" si="8"/>
        <v>2021</v>
      </c>
    </row>
    <row r="549" spans="1:3" x14ac:dyDescent="0.25">
      <c r="A549" s="3">
        <f ca="1">IFERROR(__xludf.DUMMYFUNCTION("""COMPUTED_VALUE"""),44491.6666666666)</f>
        <v>44491.666666666599</v>
      </c>
      <c r="B549" s="1">
        <f ca="1">IFERROR(__xludf.DUMMYFUNCTION("""COMPUTED_VALUE"""),520.8)</f>
        <v>520.79999999999995</v>
      </c>
      <c r="C549">
        <f t="shared" ca="1" si="8"/>
        <v>2021</v>
      </c>
    </row>
    <row r="550" spans="1:3" x14ac:dyDescent="0.25">
      <c r="A550" s="3">
        <f ca="1">IFERROR(__xludf.DUMMYFUNCTION("""COMPUTED_VALUE"""),44490.6666666666)</f>
        <v>44490.666666666599</v>
      </c>
      <c r="B550" s="1">
        <f ca="1">IFERROR(__xludf.DUMMYFUNCTION("""COMPUTED_VALUE"""),471.2)</f>
        <v>471.2</v>
      </c>
      <c r="C550">
        <f t="shared" ca="1" si="8"/>
        <v>2021</v>
      </c>
    </row>
    <row r="551" spans="1:3" x14ac:dyDescent="0.25">
      <c r="A551" s="3">
        <f ca="1">IFERROR(__xludf.DUMMYFUNCTION("""COMPUTED_VALUE"""),44489.6666666666)</f>
        <v>44489.666666666599</v>
      </c>
      <c r="B551" s="1">
        <f ca="1">IFERROR(__xludf.DUMMYFUNCTION("""COMPUTED_VALUE"""),415.2)</f>
        <v>415.2</v>
      </c>
      <c r="C551">
        <f t="shared" ca="1" si="8"/>
        <v>2021</v>
      </c>
    </row>
    <row r="552" spans="1:3" x14ac:dyDescent="0.25">
      <c r="A552" s="3">
        <f ca="1">IFERROR(__xludf.DUMMYFUNCTION("""COMPUTED_VALUE"""),44488.6666666666)</f>
        <v>44488.666666666599</v>
      </c>
      <c r="B552" s="1">
        <f ca="1">IFERROR(__xludf.DUMMYFUNCTION("""COMPUTED_VALUE"""),374.8)</f>
        <v>374.8</v>
      </c>
      <c r="C552">
        <f t="shared" ca="1" si="8"/>
        <v>2021</v>
      </c>
    </row>
    <row r="553" spans="1:3" x14ac:dyDescent="0.25">
      <c r="A553" s="3">
        <f ca="1">IFERROR(__xludf.DUMMYFUNCTION("""COMPUTED_VALUE"""),44487.6666666666)</f>
        <v>44487.666666666599</v>
      </c>
      <c r="B553" s="1">
        <f ca="1">IFERROR(__xludf.DUMMYFUNCTION("""COMPUTED_VALUE"""),416)</f>
        <v>416</v>
      </c>
      <c r="C553">
        <f t="shared" ca="1" si="8"/>
        <v>2021</v>
      </c>
    </row>
    <row r="554" spans="1:3" x14ac:dyDescent="0.25">
      <c r="A554" s="3">
        <f ca="1">IFERROR(__xludf.DUMMYFUNCTION("""COMPUTED_VALUE"""),44484.6666666666)</f>
        <v>44484.666666666599</v>
      </c>
      <c r="B554" s="1">
        <f ca="1">IFERROR(__xludf.DUMMYFUNCTION("""COMPUTED_VALUE"""),402)</f>
        <v>402</v>
      </c>
      <c r="C554">
        <f t="shared" ca="1" si="8"/>
        <v>2021</v>
      </c>
    </row>
    <row r="555" spans="1:3" x14ac:dyDescent="0.25">
      <c r="A555" s="3">
        <f ca="1">IFERROR(__xludf.DUMMYFUNCTION("""COMPUTED_VALUE"""),44483.6666666666)</f>
        <v>44483.666666666599</v>
      </c>
      <c r="B555" s="1">
        <f ca="1">IFERROR(__xludf.DUMMYFUNCTION("""COMPUTED_VALUE"""),393.6)</f>
        <v>393.6</v>
      </c>
      <c r="C555">
        <f t="shared" ca="1" si="8"/>
        <v>2021</v>
      </c>
    </row>
    <row r="556" spans="1:3" x14ac:dyDescent="0.25">
      <c r="A556" s="3">
        <f ca="1">IFERROR(__xludf.DUMMYFUNCTION("""COMPUTED_VALUE"""),44482.6666666666)</f>
        <v>44482.666666666599</v>
      </c>
      <c r="B556" s="1">
        <f ca="1">IFERROR(__xludf.DUMMYFUNCTION("""COMPUTED_VALUE"""),399.6)</f>
        <v>399.6</v>
      </c>
      <c r="C556">
        <f t="shared" ca="1" si="8"/>
        <v>2021</v>
      </c>
    </row>
    <row r="557" spans="1:3" x14ac:dyDescent="0.25">
      <c r="A557" s="3">
        <f ca="1">IFERROR(__xludf.DUMMYFUNCTION("""COMPUTED_VALUE"""),44481.6666666666)</f>
        <v>44481.666666666599</v>
      </c>
      <c r="B557" s="1">
        <f ca="1">IFERROR(__xludf.DUMMYFUNCTION("""COMPUTED_VALUE"""),399.2)</f>
        <v>399.2</v>
      </c>
      <c r="C557">
        <f t="shared" ca="1" si="8"/>
        <v>2021</v>
      </c>
    </row>
    <row r="558" spans="1:3" x14ac:dyDescent="0.25">
      <c r="A558" s="3">
        <f ca="1">IFERROR(__xludf.DUMMYFUNCTION("""COMPUTED_VALUE"""),44480.6666666666)</f>
        <v>44480.666666666599</v>
      </c>
      <c r="B558" s="1">
        <f ca="1">IFERROR(__xludf.DUMMYFUNCTION("""COMPUTED_VALUE"""),399.2)</f>
        <v>399.2</v>
      </c>
      <c r="C558">
        <f t="shared" ca="1" si="8"/>
        <v>2021</v>
      </c>
    </row>
    <row r="559" spans="1:3" x14ac:dyDescent="0.25">
      <c r="A559" s="3">
        <f ca="1">IFERROR(__xludf.DUMMYFUNCTION("""COMPUTED_VALUE"""),44477.6666666666)</f>
        <v>44477.666666666599</v>
      </c>
      <c r="B559" s="1">
        <f ca="1">IFERROR(__xludf.DUMMYFUNCTION("""COMPUTED_VALUE"""),399.2)</f>
        <v>399.2</v>
      </c>
      <c r="C559">
        <f t="shared" ca="1" si="8"/>
        <v>2021</v>
      </c>
    </row>
    <row r="560" spans="1:3" x14ac:dyDescent="0.25">
      <c r="A560" s="3">
        <f ca="1">IFERROR(__xludf.DUMMYFUNCTION("""COMPUTED_VALUE"""),44476.6666666666)</f>
        <v>44476.666666666599</v>
      </c>
      <c r="B560" s="1">
        <f ca="1">IFERROR(__xludf.DUMMYFUNCTION("""COMPUTED_VALUE"""),400)</f>
        <v>400</v>
      </c>
      <c r="C560">
        <f t="shared" ca="1" si="8"/>
        <v>2021</v>
      </c>
    </row>
    <row r="561" spans="1:3" x14ac:dyDescent="0.25">
      <c r="A561" s="3">
        <f ca="1">IFERROR(__xludf.DUMMYFUNCTION("""COMPUTED_VALUE"""),44475.6666666666)</f>
        <v>44475.666666666599</v>
      </c>
      <c r="B561" s="1">
        <f ca="1">IFERROR(__xludf.DUMMYFUNCTION("""COMPUTED_VALUE"""),399.2)</f>
        <v>399.2</v>
      </c>
      <c r="C561">
        <f t="shared" ca="1" si="8"/>
        <v>2021</v>
      </c>
    </row>
    <row r="562" spans="1:3" x14ac:dyDescent="0.25">
      <c r="A562" s="3">
        <f ca="1">IFERROR(__xludf.DUMMYFUNCTION("""COMPUTED_VALUE"""),44474.6666666666)</f>
        <v>44474.666666666599</v>
      </c>
      <c r="B562" s="1">
        <f ca="1">IFERROR(__xludf.DUMMYFUNCTION("""COMPUTED_VALUE"""),399.6)</f>
        <v>399.6</v>
      </c>
      <c r="C562">
        <f t="shared" ca="1" si="8"/>
        <v>2021</v>
      </c>
    </row>
    <row r="563" spans="1:3" x14ac:dyDescent="0.25">
      <c r="A563" s="3">
        <f ca="1">IFERROR(__xludf.DUMMYFUNCTION("""COMPUTED_VALUE"""),44473.6666666666)</f>
        <v>44473.666666666599</v>
      </c>
      <c r="B563" s="1">
        <f ca="1">IFERROR(__xludf.DUMMYFUNCTION("""COMPUTED_VALUE"""),399.6)</f>
        <v>399.6</v>
      </c>
      <c r="C563">
        <f t="shared" ca="1" si="8"/>
        <v>2021</v>
      </c>
    </row>
    <row r="564" spans="1:3" x14ac:dyDescent="0.25">
      <c r="A564" s="3">
        <f ca="1">IFERROR(__xludf.DUMMYFUNCTION("""COMPUTED_VALUE"""),44470.6666666666)</f>
        <v>44470.666666666599</v>
      </c>
      <c r="B564" s="1">
        <f ca="1">IFERROR(__xludf.DUMMYFUNCTION("""COMPUTED_VALUE"""),400)</f>
        <v>400</v>
      </c>
      <c r="C564">
        <f t="shared" ca="1" si="8"/>
        <v>2021</v>
      </c>
    </row>
    <row r="565" spans="1:3" x14ac:dyDescent="0.25">
      <c r="A565" s="3">
        <f ca="1">IFERROR(__xludf.DUMMYFUNCTION("""COMPUTED_VALUE"""),44469.6666666666)</f>
        <v>44469.666666666599</v>
      </c>
      <c r="B565" s="1">
        <f ca="1">IFERROR(__xludf.DUMMYFUNCTION("""COMPUTED_VALUE"""),400)</f>
        <v>400</v>
      </c>
      <c r="C565">
        <f t="shared" ca="1" si="8"/>
        <v>2021</v>
      </c>
    </row>
    <row r="566" spans="1:3" x14ac:dyDescent="0.25">
      <c r="A566" s="3">
        <f ca="1">IFERROR(__xludf.DUMMYFUNCTION("""COMPUTED_VALUE"""),44468.6666666666)</f>
        <v>44468.666666666599</v>
      </c>
      <c r="B566" s="1">
        <f ca="1">IFERROR(__xludf.DUMMYFUNCTION("""COMPUTED_VALUE"""),401.2)</f>
        <v>401.2</v>
      </c>
      <c r="C566">
        <f t="shared" ca="1" si="8"/>
        <v>2021</v>
      </c>
    </row>
    <row r="567" spans="1:3" x14ac:dyDescent="0.25">
      <c r="A567" s="3">
        <f ca="1">IFERROR(__xludf.DUMMYFUNCTION("""COMPUTED_VALUE"""),44467.6666666666)</f>
        <v>44467.666666666599</v>
      </c>
      <c r="B567" s="1">
        <f ca="1">IFERROR(__xludf.DUMMYFUNCTION("""COMPUTED_VALUE"""),401.6)</f>
        <v>401.6</v>
      </c>
      <c r="C567">
        <f t="shared" ca="1" si="8"/>
        <v>2021</v>
      </c>
    </row>
    <row r="568" spans="1:3" x14ac:dyDescent="0.25">
      <c r="A568" s="3">
        <f ca="1">IFERROR(__xludf.DUMMYFUNCTION("""COMPUTED_VALUE"""),44466.6666666666)</f>
        <v>44466.666666666599</v>
      </c>
      <c r="B568" s="1">
        <f ca="1">IFERROR(__xludf.DUMMYFUNCTION("""COMPUTED_VALUE"""),404.8)</f>
        <v>404.8</v>
      </c>
      <c r="C568">
        <f t="shared" ca="1" si="8"/>
        <v>2021</v>
      </c>
    </row>
    <row r="569" spans="1:3" x14ac:dyDescent="0.25">
      <c r="A569" s="3">
        <f ca="1">IFERROR(__xludf.DUMMYFUNCTION("""COMPUTED_VALUE"""),44463.6666666666)</f>
        <v>44463.666666666599</v>
      </c>
      <c r="B569" s="1">
        <f ca="1">IFERROR(__xludf.DUMMYFUNCTION("""COMPUTED_VALUE"""),400.8)</f>
        <v>400.8</v>
      </c>
      <c r="C569">
        <f t="shared" ca="1" si="8"/>
        <v>2021</v>
      </c>
    </row>
    <row r="570" spans="1:3" x14ac:dyDescent="0.25">
      <c r="A570" s="3">
        <f ca="1">IFERROR(__xludf.DUMMYFUNCTION("""COMPUTED_VALUE"""),44462.6666666666)</f>
        <v>44462.666666666599</v>
      </c>
      <c r="B570" s="1">
        <f ca="1">IFERROR(__xludf.DUMMYFUNCTION("""COMPUTED_VALUE"""),399.2)</f>
        <v>399.2</v>
      </c>
      <c r="C570">
        <f t="shared" ca="1" si="8"/>
        <v>2021</v>
      </c>
    </row>
    <row r="571" spans="1:3" x14ac:dyDescent="0.25">
      <c r="A571" s="3">
        <f ca="1">IFERROR(__xludf.DUMMYFUNCTION("""COMPUTED_VALUE"""),44461.6666666666)</f>
        <v>44461.666666666599</v>
      </c>
      <c r="B571" s="1">
        <f ca="1">IFERROR(__xludf.DUMMYFUNCTION("""COMPUTED_VALUE"""),399.2)</f>
        <v>399.2</v>
      </c>
      <c r="C571">
        <f t="shared" ca="1" si="8"/>
        <v>2021</v>
      </c>
    </row>
    <row r="572" spans="1:3" x14ac:dyDescent="0.25">
      <c r="A572" s="3">
        <f ca="1">IFERROR(__xludf.DUMMYFUNCTION("""COMPUTED_VALUE"""),44460.6666666666)</f>
        <v>44460.666666666599</v>
      </c>
      <c r="B572" s="1">
        <f ca="1">IFERROR(__xludf.DUMMYFUNCTION("""COMPUTED_VALUE"""),399.6)</f>
        <v>399.6</v>
      </c>
      <c r="C572">
        <f t="shared" ca="1" si="8"/>
        <v>2021</v>
      </c>
    </row>
    <row r="573" spans="1:3" x14ac:dyDescent="0.25">
      <c r="A573" s="3">
        <f ca="1">IFERROR(__xludf.DUMMYFUNCTION("""COMPUTED_VALUE"""),44459.6666666666)</f>
        <v>44459.666666666599</v>
      </c>
      <c r="B573" s="1">
        <f ca="1">IFERROR(__xludf.DUMMYFUNCTION("""COMPUTED_VALUE"""),399.6)</f>
        <v>399.6</v>
      </c>
      <c r="C573">
        <f t="shared" ca="1" si="8"/>
        <v>2021</v>
      </c>
    </row>
    <row r="574" spans="1:3" x14ac:dyDescent="0.25">
      <c r="A574" s="3">
        <f ca="1">IFERROR(__xludf.DUMMYFUNCTION("""COMPUTED_VALUE"""),44456.6666666666)</f>
        <v>44456.666666666599</v>
      </c>
      <c r="B574" s="1">
        <f ca="1">IFERROR(__xludf.DUMMYFUNCTION("""COMPUTED_VALUE"""),399.6)</f>
        <v>399.6</v>
      </c>
      <c r="C574">
        <f t="shared" ca="1" si="8"/>
        <v>2021</v>
      </c>
    </row>
    <row r="575" spans="1:3" x14ac:dyDescent="0.25">
      <c r="A575" s="3">
        <f ca="1">IFERROR(__xludf.DUMMYFUNCTION("""COMPUTED_VALUE"""),44455.6666666666)</f>
        <v>44455.666666666599</v>
      </c>
      <c r="B575" s="1">
        <f ca="1">IFERROR(__xludf.DUMMYFUNCTION("""COMPUTED_VALUE"""),400)</f>
        <v>400</v>
      </c>
      <c r="C575">
        <f t="shared" ca="1" si="8"/>
        <v>2021</v>
      </c>
    </row>
    <row r="576" spans="1:3" x14ac:dyDescent="0.25">
      <c r="A576" s="3">
        <f ca="1">IFERROR(__xludf.DUMMYFUNCTION("""COMPUTED_VALUE"""),44454.6666666666)</f>
        <v>44454.666666666599</v>
      </c>
      <c r="B576" s="1">
        <f ca="1">IFERROR(__xludf.DUMMYFUNCTION("""COMPUTED_VALUE"""),397.6)</f>
        <v>397.6</v>
      </c>
      <c r="C576">
        <f t="shared" ca="1" si="8"/>
        <v>2021</v>
      </c>
    </row>
    <row r="577" spans="1:3" x14ac:dyDescent="0.25">
      <c r="A577" s="3">
        <f ca="1">IFERROR(__xludf.DUMMYFUNCTION("""COMPUTED_VALUE"""),44453.6666666666)</f>
        <v>44453.666666666599</v>
      </c>
      <c r="B577" s="1">
        <f ca="1">IFERROR(__xludf.DUMMYFUNCTION("""COMPUTED_VALUE"""),397.6)</f>
        <v>397.6</v>
      </c>
      <c r="C577">
        <f t="shared" ca="1" si="8"/>
        <v>2021</v>
      </c>
    </row>
    <row r="578" spans="1:3" x14ac:dyDescent="0.25">
      <c r="A578" s="3">
        <f ca="1">IFERROR(__xludf.DUMMYFUNCTION("""COMPUTED_VALUE"""),44452.6666666666)</f>
        <v>44452.666666666599</v>
      </c>
      <c r="B578" s="1">
        <f ca="1">IFERROR(__xludf.DUMMYFUNCTION("""COMPUTED_VALUE"""),398)</f>
        <v>398</v>
      </c>
      <c r="C578">
        <f t="shared" ref="C578:C641" ca="1" si="9">YEAR(A578)</f>
        <v>2021</v>
      </c>
    </row>
    <row r="579" spans="1:3" x14ac:dyDescent="0.25">
      <c r="A579" s="3">
        <f ca="1">IFERROR(__xludf.DUMMYFUNCTION("""COMPUTED_VALUE"""),44449.6666666666)</f>
        <v>44449.666666666599</v>
      </c>
      <c r="B579" s="1">
        <f ca="1">IFERROR(__xludf.DUMMYFUNCTION("""COMPUTED_VALUE"""),398)</f>
        <v>398</v>
      </c>
      <c r="C579">
        <f t="shared" ca="1" si="9"/>
        <v>2021</v>
      </c>
    </row>
    <row r="580" spans="1:3" x14ac:dyDescent="0.25">
      <c r="A580" s="3">
        <f ca="1">IFERROR(__xludf.DUMMYFUNCTION("""COMPUTED_VALUE"""),44448.6666666666)</f>
        <v>44448.666666666599</v>
      </c>
      <c r="B580" s="1">
        <f ca="1">IFERROR(__xludf.DUMMYFUNCTION("""COMPUTED_VALUE"""),398)</f>
        <v>398</v>
      </c>
      <c r="C580">
        <f t="shared" ca="1" si="9"/>
        <v>2021</v>
      </c>
    </row>
    <row r="581" spans="1:3" x14ac:dyDescent="0.25">
      <c r="A581" s="3">
        <f ca="1">IFERROR(__xludf.DUMMYFUNCTION("""COMPUTED_VALUE"""),44447.6666666666)</f>
        <v>44447.666666666599</v>
      </c>
      <c r="B581" s="1">
        <f ca="1">IFERROR(__xludf.DUMMYFUNCTION("""COMPUTED_VALUE"""),398.4)</f>
        <v>398.4</v>
      </c>
      <c r="C581">
        <f t="shared" ca="1" si="9"/>
        <v>2021</v>
      </c>
    </row>
    <row r="582" spans="1:3" x14ac:dyDescent="0.25">
      <c r="A582" s="3">
        <f ca="1">IFERROR(__xludf.DUMMYFUNCTION("""COMPUTED_VALUE"""),44446.6666666666)</f>
        <v>44446.666666666599</v>
      </c>
      <c r="B582" s="1">
        <f ca="1">IFERROR(__xludf.DUMMYFUNCTION("""COMPUTED_VALUE"""),398.4)</f>
        <v>398.4</v>
      </c>
      <c r="C582">
        <f t="shared" ca="1" si="9"/>
        <v>2021</v>
      </c>
    </row>
    <row r="583" spans="1:3" x14ac:dyDescent="0.25">
      <c r="A583" s="3">
        <f ca="1">IFERROR(__xludf.DUMMYFUNCTION("""COMPUTED_VALUE"""),44442.6666666666)</f>
        <v>44442.666666666599</v>
      </c>
      <c r="B583" s="1">
        <f ca="1">IFERROR(__xludf.DUMMYFUNCTION("""COMPUTED_VALUE"""),397.6)</f>
        <v>397.6</v>
      </c>
      <c r="C583">
        <f t="shared" ca="1" si="9"/>
        <v>2021</v>
      </c>
    </row>
    <row r="584" spans="1:3" x14ac:dyDescent="0.25">
      <c r="A584" s="3">
        <f ca="1">IFERROR(__xludf.DUMMYFUNCTION("""COMPUTED_VALUE"""),44441.6666666666)</f>
        <v>44441.666666666599</v>
      </c>
      <c r="B584" s="1">
        <f ca="1">IFERROR(__xludf.DUMMYFUNCTION("""COMPUTED_VALUE"""),397.6)</f>
        <v>397.6</v>
      </c>
      <c r="C584">
        <f t="shared" ca="1" si="9"/>
        <v>2021</v>
      </c>
    </row>
    <row r="585" spans="1:3" x14ac:dyDescent="0.25">
      <c r="A585" s="3">
        <f ca="1">IFERROR(__xludf.DUMMYFUNCTION("""COMPUTED_VALUE"""),44440.6666666666)</f>
        <v>44440.666666666599</v>
      </c>
      <c r="B585" s="1">
        <f ca="1">IFERROR(__xludf.DUMMYFUNCTION("""COMPUTED_VALUE"""),397.6)</f>
        <v>397.6</v>
      </c>
      <c r="C585">
        <f t="shared" ca="1" si="9"/>
        <v>2021</v>
      </c>
    </row>
    <row r="586" spans="1:3" x14ac:dyDescent="0.25">
      <c r="A586" s="3">
        <f ca="1">IFERROR(__xludf.DUMMYFUNCTION("""COMPUTED_VALUE"""),44439.6666666666)</f>
        <v>44439.666666666599</v>
      </c>
      <c r="B586" s="1">
        <f ca="1">IFERROR(__xludf.DUMMYFUNCTION("""COMPUTED_VALUE"""),397.2)</f>
        <v>397.2</v>
      </c>
      <c r="C586">
        <f t="shared" ca="1" si="9"/>
        <v>2021</v>
      </c>
    </row>
    <row r="587" spans="1:3" x14ac:dyDescent="0.25">
      <c r="A587" s="3">
        <f ca="1">IFERROR(__xludf.DUMMYFUNCTION("""COMPUTED_VALUE"""),44438.6666666666)</f>
        <v>44438.666666666599</v>
      </c>
      <c r="B587" s="1">
        <f ca="1">IFERROR(__xludf.DUMMYFUNCTION("""COMPUTED_VALUE"""),396.8)</f>
        <v>396.8</v>
      </c>
      <c r="C587">
        <f t="shared" ca="1" si="9"/>
        <v>2021</v>
      </c>
    </row>
    <row r="588" spans="1:3" x14ac:dyDescent="0.25">
      <c r="A588" s="3">
        <f ca="1">IFERROR(__xludf.DUMMYFUNCTION("""COMPUTED_VALUE"""),44435.6666666666)</f>
        <v>44435.666666666599</v>
      </c>
      <c r="B588" s="1">
        <f ca="1">IFERROR(__xludf.DUMMYFUNCTION("""COMPUTED_VALUE"""),396.8)</f>
        <v>396.8</v>
      </c>
      <c r="C588">
        <f t="shared" ca="1" si="9"/>
        <v>2021</v>
      </c>
    </row>
    <row r="589" spans="1:3" x14ac:dyDescent="0.25">
      <c r="A589" s="3">
        <f ca="1">IFERROR(__xludf.DUMMYFUNCTION("""COMPUTED_VALUE"""),44434.6666666666)</f>
        <v>44434.666666666599</v>
      </c>
      <c r="B589" s="1">
        <f ca="1">IFERROR(__xludf.DUMMYFUNCTION("""COMPUTED_VALUE"""),396.8)</f>
        <v>396.8</v>
      </c>
      <c r="C589">
        <f t="shared" ca="1" si="9"/>
        <v>2021</v>
      </c>
    </row>
    <row r="590" spans="1:3" x14ac:dyDescent="0.25">
      <c r="A590" s="3">
        <f ca="1">IFERROR(__xludf.DUMMYFUNCTION("""COMPUTED_VALUE"""),44433.6666666666)</f>
        <v>44433.666666666599</v>
      </c>
      <c r="B590" s="1">
        <f ca="1">IFERROR(__xludf.DUMMYFUNCTION("""COMPUTED_VALUE"""),397.2)</f>
        <v>397.2</v>
      </c>
      <c r="C590">
        <f t="shared" ca="1" si="9"/>
        <v>2021</v>
      </c>
    </row>
    <row r="591" spans="1:3" x14ac:dyDescent="0.25">
      <c r="A591" s="3">
        <f ca="1">IFERROR(__xludf.DUMMYFUNCTION("""COMPUTED_VALUE"""),44432.6666666666)</f>
        <v>44432.666666666599</v>
      </c>
      <c r="B591" s="1">
        <f ca="1">IFERROR(__xludf.DUMMYFUNCTION("""COMPUTED_VALUE"""),397.2)</f>
        <v>397.2</v>
      </c>
      <c r="C591">
        <f t="shared" ca="1" si="9"/>
        <v>2021</v>
      </c>
    </row>
    <row r="592" spans="1:3" x14ac:dyDescent="0.25">
      <c r="A592" s="3">
        <f ca="1">IFERROR(__xludf.DUMMYFUNCTION("""COMPUTED_VALUE"""),44431.6666666666)</f>
        <v>44431.666666666599</v>
      </c>
      <c r="B592" s="1">
        <f ca="1">IFERROR(__xludf.DUMMYFUNCTION("""COMPUTED_VALUE"""),397.6)</f>
        <v>397.6</v>
      </c>
      <c r="C592">
        <f t="shared" ca="1" si="9"/>
        <v>2021</v>
      </c>
    </row>
    <row r="593" spans="1:3" x14ac:dyDescent="0.25">
      <c r="A593" s="3">
        <f ca="1">IFERROR(__xludf.DUMMYFUNCTION("""COMPUTED_VALUE"""),44428.6666666666)</f>
        <v>44428.666666666599</v>
      </c>
      <c r="B593" s="1">
        <f ca="1">IFERROR(__xludf.DUMMYFUNCTION("""COMPUTED_VALUE"""),396.8)</f>
        <v>396.8</v>
      </c>
      <c r="C593">
        <f t="shared" ca="1" si="9"/>
        <v>2021</v>
      </c>
    </row>
    <row r="594" spans="1:3" x14ac:dyDescent="0.25">
      <c r="A594" s="3">
        <f ca="1">IFERROR(__xludf.DUMMYFUNCTION("""COMPUTED_VALUE"""),44427.6666666666)</f>
        <v>44427.666666666599</v>
      </c>
      <c r="B594" s="1">
        <f ca="1">IFERROR(__xludf.DUMMYFUNCTION("""COMPUTED_VALUE"""),396.8)</f>
        <v>396.8</v>
      </c>
      <c r="C594">
        <f t="shared" ca="1" si="9"/>
        <v>2021</v>
      </c>
    </row>
    <row r="595" spans="1:3" x14ac:dyDescent="0.25">
      <c r="A595" s="3">
        <f ca="1">IFERROR(__xludf.DUMMYFUNCTION("""COMPUTED_VALUE"""),44426.6666666666)</f>
        <v>44426.666666666599</v>
      </c>
      <c r="B595" s="1">
        <f ca="1">IFERROR(__xludf.DUMMYFUNCTION("""COMPUTED_VALUE"""),398)</f>
        <v>398</v>
      </c>
      <c r="C595">
        <f t="shared" ca="1" si="9"/>
        <v>2021</v>
      </c>
    </row>
    <row r="596" spans="1:3" x14ac:dyDescent="0.25">
      <c r="A596" s="3">
        <f ca="1">IFERROR(__xludf.DUMMYFUNCTION("""COMPUTED_VALUE"""),44425.6666666666)</f>
        <v>44425.666666666599</v>
      </c>
      <c r="B596" s="1">
        <f ca="1">IFERROR(__xludf.DUMMYFUNCTION("""COMPUTED_VALUE"""),397.6)</f>
        <v>397.6</v>
      </c>
      <c r="C596">
        <f t="shared" ca="1" si="9"/>
        <v>2021</v>
      </c>
    </row>
    <row r="597" spans="1:3" x14ac:dyDescent="0.25">
      <c r="A597" s="3">
        <f ca="1">IFERROR(__xludf.DUMMYFUNCTION("""COMPUTED_VALUE"""),44424.6666666666)</f>
        <v>44424.666666666599</v>
      </c>
      <c r="B597" s="1">
        <f ca="1">IFERROR(__xludf.DUMMYFUNCTION("""COMPUTED_VALUE"""),397.6)</f>
        <v>397.6</v>
      </c>
      <c r="C597">
        <f t="shared" ca="1" si="9"/>
        <v>2021</v>
      </c>
    </row>
    <row r="598" spans="1:3" x14ac:dyDescent="0.25">
      <c r="A598" s="3">
        <f ca="1">IFERROR(__xludf.DUMMYFUNCTION("""COMPUTED_VALUE"""),44421.6666666666)</f>
        <v>44421.666666666599</v>
      </c>
      <c r="B598" s="1">
        <f ca="1">IFERROR(__xludf.DUMMYFUNCTION("""COMPUTED_VALUE"""),396)</f>
        <v>396</v>
      </c>
      <c r="C598">
        <f t="shared" ca="1" si="9"/>
        <v>2021</v>
      </c>
    </row>
    <row r="599" spans="1:3" x14ac:dyDescent="0.25">
      <c r="A599" s="3">
        <f ca="1">IFERROR(__xludf.DUMMYFUNCTION("""COMPUTED_VALUE"""),44420.6666666666)</f>
        <v>44420.666666666599</v>
      </c>
      <c r="B599" s="1">
        <f ca="1">IFERROR(__xludf.DUMMYFUNCTION("""COMPUTED_VALUE"""),398)</f>
        <v>398</v>
      </c>
      <c r="C599">
        <f t="shared" ca="1" si="9"/>
        <v>2021</v>
      </c>
    </row>
    <row r="600" spans="1:3" x14ac:dyDescent="0.25">
      <c r="A600" s="3">
        <f ca="1">IFERROR(__xludf.DUMMYFUNCTION("""COMPUTED_VALUE"""),44419.6666666666)</f>
        <v>44419.666666666599</v>
      </c>
      <c r="B600" s="1">
        <f ca="1">IFERROR(__xludf.DUMMYFUNCTION("""COMPUTED_VALUE"""),399.6)</f>
        <v>399.6</v>
      </c>
      <c r="C600">
        <f t="shared" ca="1" si="9"/>
        <v>2021</v>
      </c>
    </row>
    <row r="601" spans="1:3" x14ac:dyDescent="0.25">
      <c r="A601" s="3">
        <f ca="1">IFERROR(__xludf.DUMMYFUNCTION("""COMPUTED_VALUE"""),44418.6666666666)</f>
        <v>44418.666666666599</v>
      </c>
      <c r="B601" s="1">
        <f ca="1">IFERROR(__xludf.DUMMYFUNCTION("""COMPUTED_VALUE"""),399.2)</f>
        <v>399.2</v>
      </c>
      <c r="C601">
        <f t="shared" ca="1" si="9"/>
        <v>2021</v>
      </c>
    </row>
    <row r="602" spans="1:3" x14ac:dyDescent="0.25">
      <c r="A602" s="3">
        <f ca="1">IFERROR(__xludf.DUMMYFUNCTION("""COMPUTED_VALUE"""),44417.6666666666)</f>
        <v>44417.666666666599</v>
      </c>
      <c r="B602" s="1">
        <f ca="1">IFERROR(__xludf.DUMMYFUNCTION("""COMPUTED_VALUE"""),399.2)</f>
        <v>399.2</v>
      </c>
      <c r="C602">
        <f t="shared" ca="1" si="9"/>
        <v>2021</v>
      </c>
    </row>
    <row r="603" spans="1:3" x14ac:dyDescent="0.25">
      <c r="A603" s="3">
        <f ca="1">IFERROR(__xludf.DUMMYFUNCTION("""COMPUTED_VALUE"""),44414.6666666666)</f>
        <v>44414.666666666599</v>
      </c>
      <c r="B603" s="1">
        <f ca="1">IFERROR(__xludf.DUMMYFUNCTION("""COMPUTED_VALUE"""),398)</f>
        <v>398</v>
      </c>
      <c r="C603">
        <f t="shared" ca="1" si="9"/>
        <v>2021</v>
      </c>
    </row>
    <row r="604" spans="1:3" x14ac:dyDescent="0.25">
      <c r="A604" s="3">
        <f ca="1">IFERROR(__xludf.DUMMYFUNCTION("""COMPUTED_VALUE"""),44413.6666666666)</f>
        <v>44413.666666666599</v>
      </c>
      <c r="B604" s="1">
        <f ca="1">IFERROR(__xludf.DUMMYFUNCTION("""COMPUTED_VALUE"""),400)</f>
        <v>400</v>
      </c>
      <c r="C604">
        <f t="shared" ca="1" si="9"/>
        <v>2021</v>
      </c>
    </row>
    <row r="605" spans="1:3" x14ac:dyDescent="0.25">
      <c r="A605" s="3">
        <f ca="1">IFERROR(__xludf.DUMMYFUNCTION("""COMPUTED_VALUE"""),44412.6666666666)</f>
        <v>44412.666666666599</v>
      </c>
      <c r="B605" s="1">
        <f ca="1">IFERROR(__xludf.DUMMYFUNCTION("""COMPUTED_VALUE"""),403.6)</f>
        <v>403.6</v>
      </c>
      <c r="C605">
        <f t="shared" ca="1" si="9"/>
        <v>2021</v>
      </c>
    </row>
    <row r="606" spans="1:3" x14ac:dyDescent="0.25">
      <c r="A606" s="3">
        <f ca="1">IFERROR(__xludf.DUMMYFUNCTION("""COMPUTED_VALUE"""),44411.6666666666)</f>
        <v>44411.666666666599</v>
      </c>
      <c r="B606" s="1">
        <f ca="1">IFERROR(__xludf.DUMMYFUNCTION("""COMPUTED_VALUE"""),407.2)</f>
        <v>407.2</v>
      </c>
      <c r="C606">
        <f t="shared" ca="1" si="9"/>
        <v>2021</v>
      </c>
    </row>
    <row r="607" spans="1:3" x14ac:dyDescent="0.25">
      <c r="A607" s="3">
        <f ca="1">IFERROR(__xludf.DUMMYFUNCTION("""COMPUTED_VALUE"""),44410.6666666666)</f>
        <v>44410.666666666599</v>
      </c>
      <c r="B607" s="1">
        <f ca="1">IFERROR(__xludf.DUMMYFUNCTION("""COMPUTED_VALUE"""),414.4)</f>
        <v>414.4</v>
      </c>
      <c r="C607">
        <f t="shared" ca="1" si="9"/>
        <v>2021</v>
      </c>
    </row>
    <row r="608" spans="1:3" x14ac:dyDescent="0.25">
      <c r="A608" s="3">
        <f ca="1">IFERROR(__xludf.DUMMYFUNCTION("""COMPUTED_VALUE"""),44407.6666666666)</f>
        <v>44407.666666666599</v>
      </c>
      <c r="B608" s="1">
        <f ca="1">IFERROR(__xludf.DUMMYFUNCTION("""COMPUTED_VALUE"""),422.8)</f>
        <v>422.8</v>
      </c>
      <c r="C608">
        <f t="shared" ca="1" si="9"/>
        <v>2021</v>
      </c>
    </row>
    <row r="609" spans="1:3" x14ac:dyDescent="0.25">
      <c r="A609" s="3">
        <f ca="1">IFERROR(__xludf.DUMMYFUNCTION("""COMPUTED_VALUE"""),44406.6666666666)</f>
        <v>44406.666666666599</v>
      </c>
      <c r="B609" s="1">
        <f ca="1">IFERROR(__xludf.DUMMYFUNCTION("""COMPUTED_VALUE"""),423.2)</f>
        <v>423.2</v>
      </c>
      <c r="C609">
        <f t="shared" ca="1" si="9"/>
        <v>2021</v>
      </c>
    </row>
    <row r="610" spans="1:3" x14ac:dyDescent="0.25">
      <c r="A610" s="3">
        <f ca="1">IFERROR(__xludf.DUMMYFUNCTION("""COMPUTED_VALUE"""),44405.6666666666)</f>
        <v>44405.666666666599</v>
      </c>
      <c r="B610" s="1">
        <f ca="1">IFERROR(__xludf.DUMMYFUNCTION("""COMPUTED_VALUE"""),423.2)</f>
        <v>423.2</v>
      </c>
      <c r="C610">
        <f t="shared" ca="1" si="9"/>
        <v>2021</v>
      </c>
    </row>
    <row r="611" spans="1:3" x14ac:dyDescent="0.25">
      <c r="A611" s="3">
        <f ca="1">IFERROR(__xludf.DUMMYFUNCTION("""COMPUTED_VALUE"""),44404.6666666666)</f>
        <v>44404.666666666599</v>
      </c>
      <c r="B611" s="1">
        <f ca="1">IFERROR(__xludf.DUMMYFUNCTION("""COMPUTED_VALUE"""),421.2)</f>
        <v>421.2</v>
      </c>
      <c r="C611">
        <f t="shared" ca="1" si="9"/>
        <v>2021</v>
      </c>
    </row>
    <row r="612" spans="1:3" x14ac:dyDescent="0.25">
      <c r="A612" s="3">
        <f ca="1">IFERROR(__xludf.DUMMYFUNCTION("""COMPUTED_VALUE"""),44403.6666666666)</f>
        <v>44403.666666666599</v>
      </c>
      <c r="B612" s="1">
        <f ca="1">IFERROR(__xludf.DUMMYFUNCTION("""COMPUTED_VALUE"""),420.4)</f>
        <v>420.4</v>
      </c>
      <c r="C612">
        <f t="shared" ca="1" si="9"/>
        <v>2021</v>
      </c>
    </row>
    <row r="613" spans="1:3" x14ac:dyDescent="0.25">
      <c r="A613" s="3">
        <f ca="1">IFERROR(__xludf.DUMMYFUNCTION("""COMPUTED_VALUE"""),44400.6666666666)</f>
        <v>44400.666666666599</v>
      </c>
      <c r="B613" s="1">
        <f ca="1">IFERROR(__xludf.DUMMYFUNCTION("""COMPUTED_VALUE"""),409.2)</f>
        <v>409.2</v>
      </c>
      <c r="C613">
        <f t="shared" ca="1" si="9"/>
        <v>2021</v>
      </c>
    </row>
    <row r="614" spans="1:3" x14ac:dyDescent="0.25">
      <c r="A614" s="3">
        <f ca="1">IFERROR(__xludf.DUMMYFUNCTION("""COMPUTED_VALUE"""),44399.6666666666)</f>
        <v>44399.666666666599</v>
      </c>
      <c r="B614" s="1">
        <f ca="1">IFERROR(__xludf.DUMMYFUNCTION("""COMPUTED_VALUE"""),418.8)</f>
        <v>418.8</v>
      </c>
      <c r="C614">
        <f t="shared" ca="1" si="9"/>
        <v>2021</v>
      </c>
    </row>
    <row r="615" spans="1:3" x14ac:dyDescent="0.25">
      <c r="A615" s="3">
        <f ca="1">IFERROR(__xludf.DUMMYFUNCTION("""COMPUTED_VALUE"""),44398.6666666666)</f>
        <v>44398.666666666599</v>
      </c>
      <c r="B615" s="1">
        <f ca="1">IFERROR(__xludf.DUMMYFUNCTION("""COMPUTED_VALUE"""),431.6)</f>
        <v>431.6</v>
      </c>
      <c r="C615">
        <f t="shared" ca="1" si="9"/>
        <v>2021</v>
      </c>
    </row>
    <row r="616" spans="1:3" x14ac:dyDescent="0.25">
      <c r="A616" s="3">
        <f ca="1">IFERROR(__xludf.DUMMYFUNCTION("""COMPUTED_VALUE"""),44397.6666666666)</f>
        <v>44397.666666666599</v>
      </c>
      <c r="B616" s="1">
        <f ca="1">IFERROR(__xludf.DUMMYFUNCTION("""COMPUTED_VALUE"""),431.6)</f>
        <v>431.6</v>
      </c>
      <c r="C616">
        <f t="shared" ca="1" si="9"/>
        <v>2021</v>
      </c>
    </row>
    <row r="617" spans="1:3" x14ac:dyDescent="0.25">
      <c r="A617" s="3">
        <f ca="1">IFERROR(__xludf.DUMMYFUNCTION("""COMPUTED_VALUE"""),44396.6666666666)</f>
        <v>44396.666666666599</v>
      </c>
      <c r="B617" s="1">
        <f ca="1">IFERROR(__xludf.DUMMYFUNCTION("""COMPUTED_VALUE"""),419.6)</f>
        <v>419.6</v>
      </c>
      <c r="C617">
        <f t="shared" ca="1" si="9"/>
        <v>2021</v>
      </c>
    </row>
    <row r="618" spans="1:3" x14ac:dyDescent="0.25">
      <c r="A618" s="3">
        <f ca="1">IFERROR(__xludf.DUMMYFUNCTION("""COMPUTED_VALUE"""),44393.6666666666)</f>
        <v>44393.666666666599</v>
      </c>
      <c r="B618" s="1">
        <f ca="1">IFERROR(__xludf.DUMMYFUNCTION("""COMPUTED_VALUE"""),431.6)</f>
        <v>431.6</v>
      </c>
      <c r="C618">
        <f t="shared" ca="1" si="9"/>
        <v>2021</v>
      </c>
    </row>
    <row r="619" spans="1:3" x14ac:dyDescent="0.25">
      <c r="A619" s="3">
        <f ca="1">IFERROR(__xludf.DUMMYFUNCTION("""COMPUTED_VALUE"""),44392.6666666666)</f>
        <v>44392.666666666599</v>
      </c>
      <c r="B619" s="1">
        <f ca="1">IFERROR(__xludf.DUMMYFUNCTION("""COMPUTED_VALUE"""),429.2)</f>
        <v>429.2</v>
      </c>
      <c r="C619">
        <f t="shared" ca="1" si="9"/>
        <v>2021</v>
      </c>
    </row>
    <row r="620" spans="1:3" x14ac:dyDescent="0.25">
      <c r="A620" s="3">
        <f ca="1">IFERROR(__xludf.DUMMYFUNCTION("""COMPUTED_VALUE"""),44391.6666666666)</f>
        <v>44391.666666666599</v>
      </c>
      <c r="B620" s="1">
        <f ca="1">IFERROR(__xludf.DUMMYFUNCTION("""COMPUTED_VALUE"""),430)</f>
        <v>430</v>
      </c>
      <c r="C620">
        <f t="shared" ca="1" si="9"/>
        <v>2021</v>
      </c>
    </row>
    <row r="621" spans="1:3" x14ac:dyDescent="0.25">
      <c r="A621" s="3">
        <f ca="1">IFERROR(__xludf.DUMMYFUNCTION("""COMPUTED_VALUE"""),44390.6666666666)</f>
        <v>44390.666666666599</v>
      </c>
      <c r="B621" s="1">
        <f ca="1">IFERROR(__xludf.DUMMYFUNCTION("""COMPUTED_VALUE"""),441.2)</f>
        <v>441.2</v>
      </c>
      <c r="C621">
        <f t="shared" ca="1" si="9"/>
        <v>2021</v>
      </c>
    </row>
    <row r="622" spans="1:3" x14ac:dyDescent="0.25">
      <c r="A622" s="3">
        <f ca="1">IFERROR(__xludf.DUMMYFUNCTION("""COMPUTED_VALUE"""),44389.6666666666)</f>
        <v>44389.666666666599</v>
      </c>
      <c r="B622" s="1">
        <f ca="1">IFERROR(__xludf.DUMMYFUNCTION("""COMPUTED_VALUE"""),440.8)</f>
        <v>440.8</v>
      </c>
      <c r="C622">
        <f t="shared" ca="1" si="9"/>
        <v>2021</v>
      </c>
    </row>
    <row r="623" spans="1:3" x14ac:dyDescent="0.25">
      <c r="A623" s="3">
        <f ca="1">IFERROR(__xludf.DUMMYFUNCTION("""COMPUTED_VALUE"""),44386.6666666666)</f>
        <v>44386.666666666599</v>
      </c>
      <c r="B623" s="1">
        <f ca="1">IFERROR(__xludf.DUMMYFUNCTION("""COMPUTED_VALUE"""),444.8)</f>
        <v>444.8</v>
      </c>
      <c r="C623">
        <f t="shared" ca="1" si="9"/>
        <v>2021</v>
      </c>
    </row>
    <row r="624" spans="1:3" x14ac:dyDescent="0.25">
      <c r="A624" s="3">
        <f ca="1">IFERROR(__xludf.DUMMYFUNCTION("""COMPUTED_VALUE"""),44385.6666666666)</f>
        <v>44385.666666666599</v>
      </c>
      <c r="B624" s="1">
        <f ca="1">IFERROR(__xludf.DUMMYFUNCTION("""COMPUTED_VALUE"""),442)</f>
        <v>442</v>
      </c>
      <c r="C624">
        <f t="shared" ca="1" si="9"/>
        <v>2021</v>
      </c>
    </row>
    <row r="625" spans="1:3" x14ac:dyDescent="0.25">
      <c r="A625" s="3">
        <f ca="1">IFERROR(__xludf.DUMMYFUNCTION("""COMPUTED_VALUE"""),44384.6666666666)</f>
        <v>44384.666666666599</v>
      </c>
      <c r="B625" s="1">
        <f ca="1">IFERROR(__xludf.DUMMYFUNCTION("""COMPUTED_VALUE"""),453.2)</f>
        <v>453.2</v>
      </c>
      <c r="C625">
        <f t="shared" ca="1" si="9"/>
        <v>2021</v>
      </c>
    </row>
    <row r="626" spans="1:3" x14ac:dyDescent="0.25">
      <c r="A626" s="3">
        <f ca="1">IFERROR(__xludf.DUMMYFUNCTION("""COMPUTED_VALUE"""),44383.6666666666)</f>
        <v>44383.666666666599</v>
      </c>
      <c r="B626" s="1">
        <f ca="1">IFERROR(__xludf.DUMMYFUNCTION("""COMPUTED_VALUE"""),460)</f>
        <v>460</v>
      </c>
      <c r="C626">
        <f t="shared" ca="1" si="9"/>
        <v>2021</v>
      </c>
    </row>
    <row r="627" spans="1:3" x14ac:dyDescent="0.25">
      <c r="A627" s="3">
        <f ca="1">IFERROR(__xludf.DUMMYFUNCTION("""COMPUTED_VALUE"""),44379.6666666666)</f>
        <v>44379.666666666599</v>
      </c>
      <c r="B627" s="1">
        <f ca="1">IFERROR(__xludf.DUMMYFUNCTION("""COMPUTED_VALUE"""),459.2)</f>
        <v>459.2</v>
      </c>
      <c r="C627">
        <f t="shared" ca="1" si="9"/>
        <v>2021</v>
      </c>
    </row>
    <row r="628" spans="1:3" x14ac:dyDescent="0.25">
      <c r="A628" s="3">
        <f ca="1">IFERROR(__xludf.DUMMYFUNCTION("""COMPUTED_VALUE"""),44378.6666666666)</f>
        <v>44378.666666666599</v>
      </c>
      <c r="B628" s="1">
        <f ca="1">IFERROR(__xludf.DUMMYFUNCTION("""COMPUTED_VALUE"""),459.2)</f>
        <v>459.2</v>
      </c>
      <c r="C628">
        <f t="shared" ca="1" si="9"/>
        <v>2021</v>
      </c>
    </row>
    <row r="629" spans="1:3" x14ac:dyDescent="0.25">
      <c r="A629" s="3">
        <f ca="1">IFERROR(__xludf.DUMMYFUNCTION("""COMPUTED_VALUE"""),44377.6666666666)</f>
        <v>44377.666666666599</v>
      </c>
      <c r="B629" s="1">
        <f ca="1">IFERROR(__xludf.DUMMYFUNCTION("""COMPUTED_VALUE"""),460)</f>
        <v>460</v>
      </c>
      <c r="C629">
        <f t="shared" ca="1" si="9"/>
        <v>2021</v>
      </c>
    </row>
    <row r="630" spans="1:3" x14ac:dyDescent="0.25">
      <c r="A630" s="3">
        <f ca="1">IFERROR(__xludf.DUMMYFUNCTION("""COMPUTED_VALUE"""),44376.6666666666)</f>
        <v>44376.666666666599</v>
      </c>
      <c r="B630" s="1">
        <f ca="1">IFERROR(__xludf.DUMMYFUNCTION("""COMPUTED_VALUE"""),456.4)</f>
        <v>456.4</v>
      </c>
      <c r="C630">
        <f t="shared" ca="1" si="9"/>
        <v>2021</v>
      </c>
    </row>
    <row r="631" spans="1:3" x14ac:dyDescent="0.25">
      <c r="A631" s="3">
        <f ca="1">IFERROR(__xludf.DUMMYFUNCTION("""COMPUTED_VALUE"""),44375.6666666666)</f>
        <v>44375.666666666599</v>
      </c>
      <c r="B631" s="1">
        <f ca="1">IFERROR(__xludf.DUMMYFUNCTION("""COMPUTED_VALUE"""),456.8)</f>
        <v>456.8</v>
      </c>
      <c r="C631">
        <f t="shared" ca="1" si="9"/>
        <v>2021</v>
      </c>
    </row>
    <row r="632" spans="1:3" x14ac:dyDescent="0.25">
      <c r="A632" s="3">
        <f ca="1">IFERROR(__xludf.DUMMYFUNCTION("""COMPUTED_VALUE"""),44372.6666666666)</f>
        <v>44372.666666666599</v>
      </c>
      <c r="B632" s="1">
        <f ca="1">IFERROR(__xludf.DUMMYFUNCTION("""COMPUTED_VALUE"""),453.6)</f>
        <v>453.6</v>
      </c>
      <c r="C632">
        <f t="shared" ca="1" si="9"/>
        <v>2021</v>
      </c>
    </row>
    <row r="633" spans="1:3" x14ac:dyDescent="0.25">
      <c r="A633" s="3">
        <f ca="1">IFERROR(__xludf.DUMMYFUNCTION("""COMPUTED_VALUE"""),44371.6666666666)</f>
        <v>44371.666666666599</v>
      </c>
      <c r="B633" s="1">
        <f ca="1">IFERROR(__xludf.DUMMYFUNCTION("""COMPUTED_VALUE"""),447.2)</f>
        <v>447.2</v>
      </c>
      <c r="C633">
        <f t="shared" ca="1" si="9"/>
        <v>2021</v>
      </c>
    </row>
    <row r="634" spans="1:3" x14ac:dyDescent="0.25">
      <c r="A634" s="3">
        <f ca="1">IFERROR(__xludf.DUMMYFUNCTION("""COMPUTED_VALUE"""),44370.6666666666)</f>
        <v>44370.666666666599</v>
      </c>
      <c r="B634" s="1">
        <f ca="1">IFERROR(__xludf.DUMMYFUNCTION("""COMPUTED_VALUE"""),446)</f>
        <v>446</v>
      </c>
      <c r="C634">
        <f t="shared" ca="1" si="9"/>
        <v>2021</v>
      </c>
    </row>
    <row r="635" spans="1:3" x14ac:dyDescent="0.25">
      <c r="A635" s="3">
        <f ca="1">IFERROR(__xludf.DUMMYFUNCTION("""COMPUTED_VALUE"""),44369.6666666666)</f>
        <v>44369.666666666599</v>
      </c>
      <c r="B635" s="1">
        <f ca="1">IFERROR(__xludf.DUMMYFUNCTION("""COMPUTED_VALUE"""),456)</f>
        <v>456</v>
      </c>
      <c r="C635">
        <f t="shared" ca="1" si="9"/>
        <v>2021</v>
      </c>
    </row>
    <row r="636" spans="1:3" x14ac:dyDescent="0.25">
      <c r="A636" s="3">
        <f ca="1">IFERROR(__xludf.DUMMYFUNCTION("""COMPUTED_VALUE"""),44368.6666666666)</f>
        <v>44368.666666666599</v>
      </c>
      <c r="B636" s="1">
        <f ca="1">IFERROR(__xludf.DUMMYFUNCTION("""COMPUTED_VALUE"""),465.6)</f>
        <v>465.6</v>
      </c>
      <c r="C636">
        <f t="shared" ca="1" si="9"/>
        <v>2021</v>
      </c>
    </row>
    <row r="637" spans="1:3" x14ac:dyDescent="0.25">
      <c r="A637" s="3">
        <f ca="1">IFERROR(__xludf.DUMMYFUNCTION("""COMPUTED_VALUE"""),44365.6666666666)</f>
        <v>44365.666666666599</v>
      </c>
      <c r="B637" s="1">
        <f ca="1">IFERROR(__xludf.DUMMYFUNCTION("""COMPUTED_VALUE"""),454)</f>
        <v>454</v>
      </c>
      <c r="C637">
        <f t="shared" ca="1" si="9"/>
        <v>2021</v>
      </c>
    </row>
    <row r="638" spans="1:3" x14ac:dyDescent="0.25">
      <c r="A638" s="3">
        <f ca="1">IFERROR(__xludf.DUMMYFUNCTION("""COMPUTED_VALUE"""),44364.6666666666)</f>
        <v>44364.666666666599</v>
      </c>
      <c r="B638" s="1">
        <f ca="1">IFERROR(__xludf.DUMMYFUNCTION("""COMPUTED_VALUE"""),464.8)</f>
        <v>464.8</v>
      </c>
      <c r="C638">
        <f t="shared" ca="1" si="9"/>
        <v>2021</v>
      </c>
    </row>
    <row r="639" spans="1:3" x14ac:dyDescent="0.25">
      <c r="A639" s="3">
        <f ca="1">IFERROR(__xludf.DUMMYFUNCTION("""COMPUTED_VALUE"""),44363.6666666666)</f>
        <v>44363.666666666599</v>
      </c>
      <c r="B639" s="1">
        <f ca="1">IFERROR(__xludf.DUMMYFUNCTION("""COMPUTED_VALUE"""),460.8)</f>
        <v>460.8</v>
      </c>
      <c r="C639">
        <f t="shared" ca="1" si="9"/>
        <v>2021</v>
      </c>
    </row>
    <row r="640" spans="1:3" x14ac:dyDescent="0.25">
      <c r="A640" s="3">
        <f ca="1">IFERROR(__xludf.DUMMYFUNCTION("""COMPUTED_VALUE"""),44362.6666666666)</f>
        <v>44362.666666666599</v>
      </c>
      <c r="B640" s="1">
        <f ca="1">IFERROR(__xludf.DUMMYFUNCTION("""COMPUTED_VALUE"""),474.4)</f>
        <v>474.4</v>
      </c>
      <c r="C640">
        <f t="shared" ca="1" si="9"/>
        <v>2021</v>
      </c>
    </row>
    <row r="641" spans="1:3" x14ac:dyDescent="0.25">
      <c r="A641" s="3">
        <f ca="1">IFERROR(__xludf.DUMMYFUNCTION("""COMPUTED_VALUE"""),44361.6666666666)</f>
        <v>44361.666666666599</v>
      </c>
      <c r="B641" s="1">
        <f ca="1">IFERROR(__xludf.DUMMYFUNCTION("""COMPUTED_VALUE"""),482)</f>
        <v>482</v>
      </c>
      <c r="C641">
        <f t="shared" ca="1" si="9"/>
        <v>2021</v>
      </c>
    </row>
    <row r="642" spans="1:3" x14ac:dyDescent="0.25">
      <c r="A642" s="3">
        <f ca="1">IFERROR(__xludf.DUMMYFUNCTION("""COMPUTED_VALUE"""),44358.6666666666)</f>
        <v>44358.666666666599</v>
      </c>
      <c r="B642" s="1">
        <f ca="1">IFERROR(__xludf.DUMMYFUNCTION("""COMPUTED_VALUE"""),482)</f>
        <v>482</v>
      </c>
      <c r="C642">
        <f t="shared" ref="C642:C705" ca="1" si="10">YEAR(A642)</f>
        <v>2021</v>
      </c>
    </row>
    <row r="643" spans="1:3" x14ac:dyDescent="0.25">
      <c r="A643" s="3">
        <f ca="1">IFERROR(__xludf.DUMMYFUNCTION("""COMPUTED_VALUE"""),44357.6666666666)</f>
        <v>44357.666666666599</v>
      </c>
      <c r="B643" s="1">
        <f ca="1">IFERROR(__xludf.DUMMYFUNCTION("""COMPUTED_VALUE"""),478.4)</f>
        <v>478.4</v>
      </c>
      <c r="C643">
        <f t="shared" ca="1" si="10"/>
        <v>2021</v>
      </c>
    </row>
    <row r="644" spans="1:3" x14ac:dyDescent="0.25">
      <c r="A644" s="3">
        <f ca="1">IFERROR(__xludf.DUMMYFUNCTION("""COMPUTED_VALUE"""),44356.6666666666)</f>
        <v>44356.666666666599</v>
      </c>
      <c r="B644" s="1">
        <f ca="1">IFERROR(__xludf.DUMMYFUNCTION("""COMPUTED_VALUE"""),484)</f>
        <v>484</v>
      </c>
      <c r="C644">
        <f t="shared" ca="1" si="10"/>
        <v>2021</v>
      </c>
    </row>
    <row r="645" spans="1:3" x14ac:dyDescent="0.25">
      <c r="A645" s="3">
        <f ca="1">IFERROR(__xludf.DUMMYFUNCTION("""COMPUTED_VALUE"""),44355.6666666666)</f>
        <v>44355.666666666599</v>
      </c>
      <c r="B645" s="1">
        <f ca="1">IFERROR(__xludf.DUMMYFUNCTION("""COMPUTED_VALUE"""),484)</f>
        <v>484</v>
      </c>
      <c r="C645">
        <f t="shared" ca="1" si="10"/>
        <v>2021</v>
      </c>
    </row>
    <row r="646" spans="1:3" x14ac:dyDescent="0.25">
      <c r="A646" s="3">
        <f ca="1">IFERROR(__xludf.DUMMYFUNCTION("""COMPUTED_VALUE"""),44354.6666666666)</f>
        <v>44354.666666666599</v>
      </c>
      <c r="B646" s="1">
        <f ca="1">IFERROR(__xludf.DUMMYFUNCTION("""COMPUTED_VALUE"""),476)</f>
        <v>476</v>
      </c>
      <c r="C646">
        <f t="shared" ca="1" si="10"/>
        <v>2021</v>
      </c>
    </row>
    <row r="647" spans="1:3" x14ac:dyDescent="0.25">
      <c r="A647" s="3">
        <f ca="1">IFERROR(__xludf.DUMMYFUNCTION("""COMPUTED_VALUE"""),44351.6666666666)</f>
        <v>44351.666666666599</v>
      </c>
      <c r="B647" s="1">
        <f ca="1">IFERROR(__xludf.DUMMYFUNCTION("""COMPUTED_VALUE"""),476)</f>
        <v>476</v>
      </c>
      <c r="C647">
        <f t="shared" ca="1" si="10"/>
        <v>2021</v>
      </c>
    </row>
    <row r="648" spans="1:3" x14ac:dyDescent="0.25">
      <c r="A648" s="3">
        <f ca="1">IFERROR(__xludf.DUMMYFUNCTION("""COMPUTED_VALUE"""),44350.6666666666)</f>
        <v>44350.666666666599</v>
      </c>
      <c r="B648" s="1">
        <f ca="1">IFERROR(__xludf.DUMMYFUNCTION("""COMPUTED_VALUE"""),479.6)</f>
        <v>479.6</v>
      </c>
      <c r="C648">
        <f t="shared" ca="1" si="10"/>
        <v>2021</v>
      </c>
    </row>
    <row r="649" spans="1:3" x14ac:dyDescent="0.25">
      <c r="A649" s="3">
        <f ca="1">IFERROR(__xludf.DUMMYFUNCTION("""COMPUTED_VALUE"""),44349.6666666666)</f>
        <v>44349.666666666599</v>
      </c>
      <c r="B649" s="1">
        <f ca="1">IFERROR(__xludf.DUMMYFUNCTION("""COMPUTED_VALUE"""),486)</f>
        <v>486</v>
      </c>
      <c r="C649">
        <f t="shared" ca="1" si="10"/>
        <v>2021</v>
      </c>
    </row>
    <row r="650" spans="1:3" x14ac:dyDescent="0.25">
      <c r="A650" s="3">
        <f ca="1">IFERROR(__xludf.DUMMYFUNCTION("""COMPUTED_VALUE"""),44348.6666666666)</f>
        <v>44348.666666666599</v>
      </c>
      <c r="B650" s="1">
        <f ca="1">IFERROR(__xludf.DUMMYFUNCTION("""COMPUTED_VALUE"""),488)</f>
        <v>488</v>
      </c>
      <c r="C650">
        <f t="shared" ca="1" si="10"/>
        <v>2021</v>
      </c>
    </row>
    <row r="651" spans="1:3" x14ac:dyDescent="0.25">
      <c r="A651" s="3">
        <f ca="1">IFERROR(__xludf.DUMMYFUNCTION("""COMPUTED_VALUE"""),44344.6666666666)</f>
        <v>44344.666666666599</v>
      </c>
      <c r="B651" s="1">
        <f ca="1">IFERROR(__xludf.DUMMYFUNCTION("""COMPUTED_VALUE"""),491.2)</f>
        <v>491.2</v>
      </c>
      <c r="C651">
        <f t="shared" ca="1" si="10"/>
        <v>2021</v>
      </c>
    </row>
    <row r="652" spans="1:3" x14ac:dyDescent="0.25">
      <c r="A652" s="3">
        <f ca="1">IFERROR(__xludf.DUMMYFUNCTION("""COMPUTED_VALUE"""),44343.6666666666)</f>
        <v>44343.666666666599</v>
      </c>
      <c r="B652" s="1">
        <f ca="1">IFERROR(__xludf.DUMMYFUNCTION("""COMPUTED_VALUE"""),490.8)</f>
        <v>490.8</v>
      </c>
      <c r="C652">
        <f t="shared" ca="1" si="10"/>
        <v>2021</v>
      </c>
    </row>
    <row r="653" spans="1:3" x14ac:dyDescent="0.25">
      <c r="A653" s="3">
        <f ca="1">IFERROR(__xludf.DUMMYFUNCTION("""COMPUTED_VALUE"""),44342.6666666666)</f>
        <v>44342.666666666599</v>
      </c>
      <c r="B653" s="1">
        <f ca="1">IFERROR(__xludf.DUMMYFUNCTION("""COMPUTED_VALUE"""),492)</f>
        <v>492</v>
      </c>
      <c r="C653">
        <f t="shared" ca="1" si="10"/>
        <v>2021</v>
      </c>
    </row>
    <row r="654" spans="1:3" x14ac:dyDescent="0.25">
      <c r="A654" s="3">
        <f ca="1">IFERROR(__xludf.DUMMYFUNCTION("""COMPUTED_VALUE"""),44341.6666666666)</f>
        <v>44341.666666666599</v>
      </c>
      <c r="B654" s="1">
        <f ca="1">IFERROR(__xludf.DUMMYFUNCTION("""COMPUTED_VALUE"""),488.4)</f>
        <v>488.4</v>
      </c>
      <c r="C654">
        <f t="shared" ca="1" si="10"/>
        <v>2021</v>
      </c>
    </row>
    <row r="655" spans="1:3" x14ac:dyDescent="0.25">
      <c r="A655" s="3">
        <f ca="1">IFERROR(__xludf.DUMMYFUNCTION("""COMPUTED_VALUE"""),44340.6666666666)</f>
        <v>44340.666666666599</v>
      </c>
      <c r="B655" s="1">
        <f ca="1">IFERROR(__xludf.DUMMYFUNCTION("""COMPUTED_VALUE"""),496.8)</f>
        <v>496.8</v>
      </c>
      <c r="C655">
        <f t="shared" ca="1" si="10"/>
        <v>2021</v>
      </c>
    </row>
    <row r="656" spans="1:3" x14ac:dyDescent="0.25">
      <c r="A656" s="3">
        <f ca="1">IFERROR(__xludf.DUMMYFUNCTION("""COMPUTED_VALUE"""),44337.6666666666)</f>
        <v>44337.666666666599</v>
      </c>
      <c r="B656" s="1">
        <f ca="1">IFERROR(__xludf.DUMMYFUNCTION("""COMPUTED_VALUE"""),510.8)</f>
        <v>510.8</v>
      </c>
      <c r="C656">
        <f t="shared" ca="1" si="10"/>
        <v>2021</v>
      </c>
    </row>
    <row r="657" spans="1:3" x14ac:dyDescent="0.25">
      <c r="A657" s="3">
        <f ca="1">IFERROR(__xludf.DUMMYFUNCTION("""COMPUTED_VALUE"""),44336.6666666666)</f>
        <v>44336.666666666599</v>
      </c>
      <c r="B657" s="1">
        <f ca="1">IFERROR(__xludf.DUMMYFUNCTION("""COMPUTED_VALUE"""),526.4)</f>
        <v>526.4</v>
      </c>
      <c r="C657">
        <f t="shared" ca="1" si="10"/>
        <v>2021</v>
      </c>
    </row>
    <row r="658" spans="1:3" x14ac:dyDescent="0.25">
      <c r="A658" s="3">
        <f ca="1">IFERROR(__xludf.DUMMYFUNCTION("""COMPUTED_VALUE"""),44335.6666666666)</f>
        <v>44335.666666666599</v>
      </c>
      <c r="B658" s="1">
        <f ca="1">IFERROR(__xludf.DUMMYFUNCTION("""COMPUTED_VALUE"""),513.6)</f>
        <v>513.6</v>
      </c>
      <c r="C658">
        <f t="shared" ca="1" si="10"/>
        <v>2021</v>
      </c>
    </row>
    <row r="659" spans="1:3" x14ac:dyDescent="0.25">
      <c r="A659" s="3">
        <f ca="1">IFERROR(__xludf.DUMMYFUNCTION("""COMPUTED_VALUE"""),44334.6666666666)</f>
        <v>44334.666666666599</v>
      </c>
      <c r="B659" s="1">
        <f ca="1">IFERROR(__xludf.DUMMYFUNCTION("""COMPUTED_VALUE"""),524.8)</f>
        <v>524.79999999999995</v>
      </c>
      <c r="C659">
        <f t="shared" ca="1" si="10"/>
        <v>2021</v>
      </c>
    </row>
    <row r="660" spans="1:3" x14ac:dyDescent="0.25">
      <c r="A660" s="3">
        <f ca="1">IFERROR(__xludf.DUMMYFUNCTION("""COMPUTED_VALUE"""),44333.6666666666)</f>
        <v>44333.666666666599</v>
      </c>
      <c r="B660" s="1">
        <f ca="1">IFERROR(__xludf.DUMMYFUNCTION("""COMPUTED_VALUE"""),500)</f>
        <v>500</v>
      </c>
      <c r="C660">
        <f t="shared" ca="1" si="10"/>
        <v>2021</v>
      </c>
    </row>
    <row r="661" spans="1:3" x14ac:dyDescent="0.25">
      <c r="A661" s="3">
        <f ca="1">IFERROR(__xludf.DUMMYFUNCTION("""COMPUTED_VALUE"""),44330.6666666666)</f>
        <v>44330.666666666599</v>
      </c>
      <c r="B661" s="1">
        <f ca="1">IFERROR(__xludf.DUMMYFUNCTION("""COMPUTED_VALUE"""),495.2)</f>
        <v>495.2</v>
      </c>
      <c r="C661">
        <f t="shared" ca="1" si="10"/>
        <v>2021</v>
      </c>
    </row>
    <row r="662" spans="1:3" x14ac:dyDescent="0.25">
      <c r="A662" s="3">
        <f ca="1">IFERROR(__xludf.DUMMYFUNCTION("""COMPUTED_VALUE"""),44329.6666666666)</f>
        <v>44329.666666666599</v>
      </c>
      <c r="B662" s="1">
        <f ca="1">IFERROR(__xludf.DUMMYFUNCTION("""COMPUTED_VALUE"""),486.4)</f>
        <v>486.4</v>
      </c>
      <c r="C662">
        <f t="shared" ca="1" si="10"/>
        <v>2021</v>
      </c>
    </row>
    <row r="663" spans="1:3" x14ac:dyDescent="0.25">
      <c r="A663" s="3">
        <f ca="1">IFERROR(__xludf.DUMMYFUNCTION("""COMPUTED_VALUE"""),44328.6666666666)</f>
        <v>44328.666666666599</v>
      </c>
      <c r="B663" s="1">
        <f ca="1">IFERROR(__xludf.DUMMYFUNCTION("""COMPUTED_VALUE"""),480.8)</f>
        <v>480.8</v>
      </c>
      <c r="C663">
        <f t="shared" ca="1" si="10"/>
        <v>2021</v>
      </c>
    </row>
    <row r="664" spans="1:3" x14ac:dyDescent="0.25">
      <c r="A664" s="3">
        <f ca="1">IFERROR(__xludf.DUMMYFUNCTION("""COMPUTED_VALUE"""),44327.6666666666)</f>
        <v>44327.666666666599</v>
      </c>
      <c r="B664" s="1">
        <f ca="1">IFERROR(__xludf.DUMMYFUNCTION("""COMPUTED_VALUE"""),471.6)</f>
        <v>471.6</v>
      </c>
      <c r="C664">
        <f t="shared" ca="1" si="10"/>
        <v>2021</v>
      </c>
    </row>
    <row r="665" spans="1:3" x14ac:dyDescent="0.25">
      <c r="A665" s="3">
        <f ca="1">IFERROR(__xludf.DUMMYFUNCTION("""COMPUTED_VALUE"""),44326.6666666666)</f>
        <v>44326.666666666599</v>
      </c>
      <c r="B665" s="1">
        <f ca="1">IFERROR(__xludf.DUMMYFUNCTION("""COMPUTED_VALUE"""),474.8)</f>
        <v>474.8</v>
      </c>
      <c r="C665">
        <f t="shared" ca="1" si="10"/>
        <v>2021</v>
      </c>
    </row>
    <row r="666" spans="1:3" x14ac:dyDescent="0.25">
      <c r="A666" s="3">
        <f ca="1">IFERROR(__xludf.DUMMYFUNCTION("""COMPUTED_VALUE"""),44323.6666666666)</f>
        <v>44323.666666666599</v>
      </c>
      <c r="B666" s="1">
        <f ca="1">IFERROR(__xludf.DUMMYFUNCTION("""COMPUTED_VALUE"""),474.8)</f>
        <v>474.8</v>
      </c>
      <c r="C666">
        <f t="shared" ca="1" si="10"/>
        <v>2021</v>
      </c>
    </row>
    <row r="667" spans="1:3" x14ac:dyDescent="0.25">
      <c r="A667" s="3">
        <f ca="1">IFERROR(__xludf.DUMMYFUNCTION("""COMPUTED_VALUE"""),44322.6666666666)</f>
        <v>44322.666666666599</v>
      </c>
      <c r="B667" s="1">
        <f ca="1">IFERROR(__xludf.DUMMYFUNCTION("""COMPUTED_VALUE"""),478)</f>
        <v>478</v>
      </c>
      <c r="C667">
        <f t="shared" ca="1" si="10"/>
        <v>2021</v>
      </c>
    </row>
    <row r="668" spans="1:3" x14ac:dyDescent="0.25">
      <c r="A668" s="3">
        <f ca="1">IFERROR(__xludf.DUMMYFUNCTION("""COMPUTED_VALUE"""),44321.6666666666)</f>
        <v>44321.666666666599</v>
      </c>
      <c r="B668" s="1">
        <f ca="1">IFERROR(__xludf.DUMMYFUNCTION("""COMPUTED_VALUE"""),481.6)</f>
        <v>481.6</v>
      </c>
      <c r="C668">
        <f t="shared" ca="1" si="10"/>
        <v>2021</v>
      </c>
    </row>
    <row r="669" spans="1:3" x14ac:dyDescent="0.25">
      <c r="A669" s="3">
        <f ca="1">IFERROR(__xludf.DUMMYFUNCTION("""COMPUTED_VALUE"""),44320.6666666666)</f>
        <v>44320.666666666599</v>
      </c>
      <c r="B669" s="1">
        <f ca="1">IFERROR(__xludf.DUMMYFUNCTION("""COMPUTED_VALUE"""),488)</f>
        <v>488</v>
      </c>
      <c r="C669">
        <f t="shared" ca="1" si="10"/>
        <v>2021</v>
      </c>
    </row>
    <row r="670" spans="1:3" x14ac:dyDescent="0.25">
      <c r="A670" s="3">
        <f ca="1">IFERROR(__xludf.DUMMYFUNCTION("""COMPUTED_VALUE"""),44319.6666666666)</f>
        <v>44319.666666666599</v>
      </c>
      <c r="B670" s="1">
        <f ca="1">IFERROR(__xludf.DUMMYFUNCTION("""COMPUTED_VALUE"""),484.8)</f>
        <v>484.8</v>
      </c>
      <c r="C670">
        <f t="shared" ca="1" si="10"/>
        <v>2021</v>
      </c>
    </row>
    <row r="671" spans="1:3" x14ac:dyDescent="0.25">
      <c r="A671" s="3">
        <f ca="1">IFERROR(__xludf.DUMMYFUNCTION("""COMPUTED_VALUE"""),44316.6666666666)</f>
        <v>44316.666666666599</v>
      </c>
      <c r="B671" s="1">
        <f ca="1">IFERROR(__xludf.DUMMYFUNCTION("""COMPUTED_VALUE"""),488)</f>
        <v>488</v>
      </c>
      <c r="C671">
        <f t="shared" ca="1" si="10"/>
        <v>2021</v>
      </c>
    </row>
    <row r="672" spans="1:3" x14ac:dyDescent="0.25">
      <c r="A672" s="3">
        <f ca="1">IFERROR(__xludf.DUMMYFUNCTION("""COMPUTED_VALUE"""),44315.6666666666)</f>
        <v>44315.666666666599</v>
      </c>
      <c r="B672" s="1">
        <f ca="1">IFERROR(__xludf.DUMMYFUNCTION("""COMPUTED_VALUE"""),483.6)</f>
        <v>483.6</v>
      </c>
      <c r="C672">
        <f t="shared" ca="1" si="10"/>
        <v>2021</v>
      </c>
    </row>
    <row r="673" spans="1:3" x14ac:dyDescent="0.25">
      <c r="A673" s="3">
        <f ca="1">IFERROR(__xludf.DUMMYFUNCTION("""COMPUTED_VALUE"""),44314.6666666666)</f>
        <v>44314.666666666599</v>
      </c>
      <c r="B673" s="1">
        <f ca="1">IFERROR(__xludf.DUMMYFUNCTION("""COMPUTED_VALUE"""),458.4)</f>
        <v>458.4</v>
      </c>
      <c r="C673">
        <f t="shared" ca="1" si="10"/>
        <v>2021</v>
      </c>
    </row>
    <row r="674" spans="1:3" x14ac:dyDescent="0.25">
      <c r="A674" s="3">
        <f ca="1">IFERROR(__xludf.DUMMYFUNCTION("""COMPUTED_VALUE"""),44313.6666666666)</f>
        <v>44313.666666666599</v>
      </c>
      <c r="B674" s="1">
        <f ca="1">IFERROR(__xludf.DUMMYFUNCTION("""COMPUTED_VALUE"""),463.6)</f>
        <v>463.6</v>
      </c>
      <c r="C674">
        <f t="shared" ca="1" si="10"/>
        <v>2021</v>
      </c>
    </row>
    <row r="675" spans="1:3" x14ac:dyDescent="0.25">
      <c r="A675" s="3">
        <f ca="1">IFERROR(__xludf.DUMMYFUNCTION("""COMPUTED_VALUE"""),44312.6666666666)</f>
        <v>44312.666666666599</v>
      </c>
      <c r="B675" s="1">
        <f ca="1">IFERROR(__xludf.DUMMYFUNCTION("""COMPUTED_VALUE"""),458)</f>
        <v>458</v>
      </c>
      <c r="C675">
        <f t="shared" ca="1" si="10"/>
        <v>2021</v>
      </c>
    </row>
    <row r="676" spans="1:3" x14ac:dyDescent="0.25">
      <c r="A676" s="3">
        <f ca="1">IFERROR(__xludf.DUMMYFUNCTION("""COMPUTED_VALUE"""),44309.6666666666)</f>
        <v>44309.666666666599</v>
      </c>
      <c r="B676" s="1">
        <f ca="1">IFERROR(__xludf.DUMMYFUNCTION("""COMPUTED_VALUE"""),477.2)</f>
        <v>477.2</v>
      </c>
      <c r="C676">
        <f t="shared" ca="1" si="10"/>
        <v>2021</v>
      </c>
    </row>
    <row r="677" spans="1:3" x14ac:dyDescent="0.25">
      <c r="A677" s="3">
        <f ca="1">IFERROR(__xludf.DUMMYFUNCTION("""COMPUTED_VALUE"""),44308.6666666666)</f>
        <v>44308.666666666599</v>
      </c>
      <c r="B677" s="1">
        <f ca="1">IFERROR(__xludf.DUMMYFUNCTION("""COMPUTED_VALUE"""),480.8)</f>
        <v>480.8</v>
      </c>
      <c r="C677">
        <f t="shared" ca="1" si="10"/>
        <v>2021</v>
      </c>
    </row>
    <row r="678" spans="1:3" x14ac:dyDescent="0.25">
      <c r="A678" s="3">
        <f ca="1">IFERROR(__xludf.DUMMYFUNCTION("""COMPUTED_VALUE"""),44307.6666666666)</f>
        <v>44307.666666666599</v>
      </c>
      <c r="B678" s="1">
        <f ca="1">IFERROR(__xludf.DUMMYFUNCTION("""COMPUTED_VALUE"""),478)</f>
        <v>478</v>
      </c>
      <c r="C678">
        <f t="shared" ca="1" si="10"/>
        <v>2021</v>
      </c>
    </row>
    <row r="679" spans="1:3" x14ac:dyDescent="0.25">
      <c r="A679" s="3">
        <f ca="1">IFERROR(__xludf.DUMMYFUNCTION("""COMPUTED_VALUE"""),44306.6666666666)</f>
        <v>44306.666666666599</v>
      </c>
      <c r="B679" s="1">
        <f ca="1">IFERROR(__xludf.DUMMYFUNCTION("""COMPUTED_VALUE"""),460)</f>
        <v>460</v>
      </c>
      <c r="C679">
        <f t="shared" ca="1" si="10"/>
        <v>2021</v>
      </c>
    </row>
    <row r="680" spans="1:3" x14ac:dyDescent="0.25">
      <c r="A680" s="3">
        <f ca="1">IFERROR(__xludf.DUMMYFUNCTION("""COMPUTED_VALUE"""),44305.6666666666)</f>
        <v>44305.666666666599</v>
      </c>
      <c r="B680" s="1">
        <f ca="1">IFERROR(__xludf.DUMMYFUNCTION("""COMPUTED_VALUE"""),472.4)</f>
        <v>472.4</v>
      </c>
      <c r="C680">
        <f t="shared" ca="1" si="10"/>
        <v>2021</v>
      </c>
    </row>
    <row r="681" spans="1:3" x14ac:dyDescent="0.25">
      <c r="A681" s="3">
        <f ca="1">IFERROR(__xludf.DUMMYFUNCTION("""COMPUTED_VALUE"""),44302.6666666666)</f>
        <v>44302.666666666599</v>
      </c>
      <c r="B681" s="1">
        <f ca="1">IFERROR(__xludf.DUMMYFUNCTION("""COMPUTED_VALUE"""),482.8)</f>
        <v>482.8</v>
      </c>
      <c r="C681">
        <f t="shared" ca="1" si="10"/>
        <v>2021</v>
      </c>
    </row>
    <row r="682" spans="1:3" x14ac:dyDescent="0.25">
      <c r="A682" s="3">
        <f ca="1">IFERROR(__xludf.DUMMYFUNCTION("""COMPUTED_VALUE"""),44301.6666666666)</f>
        <v>44301.666666666599</v>
      </c>
      <c r="B682" s="1">
        <f ca="1">IFERROR(__xludf.DUMMYFUNCTION("""COMPUTED_VALUE"""),526.4)</f>
        <v>526.4</v>
      </c>
      <c r="C682">
        <f t="shared" ca="1" si="10"/>
        <v>2021</v>
      </c>
    </row>
    <row r="683" spans="1:3" x14ac:dyDescent="0.25">
      <c r="A683" s="3">
        <f ca="1">IFERROR(__xludf.DUMMYFUNCTION("""COMPUTED_VALUE"""),44300.6666666666)</f>
        <v>44300.666666666599</v>
      </c>
      <c r="B683" s="1">
        <f ca="1">IFERROR(__xludf.DUMMYFUNCTION("""COMPUTED_VALUE"""),498)</f>
        <v>498</v>
      </c>
      <c r="C683">
        <f t="shared" ca="1" si="10"/>
        <v>2021</v>
      </c>
    </row>
    <row r="684" spans="1:3" x14ac:dyDescent="0.25">
      <c r="A684" s="3">
        <f ca="1">IFERROR(__xludf.DUMMYFUNCTION("""COMPUTED_VALUE"""),44299.6666666666)</f>
        <v>44299.666666666599</v>
      </c>
      <c r="B684" s="1">
        <f ca="1">IFERROR(__xludf.DUMMYFUNCTION("""COMPUTED_VALUE"""),542)</f>
        <v>542</v>
      </c>
      <c r="C684">
        <f t="shared" ca="1" si="10"/>
        <v>2021</v>
      </c>
    </row>
    <row r="685" spans="1:3" x14ac:dyDescent="0.25">
      <c r="A685" s="3">
        <f ca="1">IFERROR(__xludf.DUMMYFUNCTION("""COMPUTED_VALUE"""),44298.6666666666)</f>
        <v>44298.666666666599</v>
      </c>
      <c r="B685" s="1">
        <f ca="1">IFERROR(__xludf.DUMMYFUNCTION("""COMPUTED_VALUE"""),543.2)</f>
        <v>543.20000000000005</v>
      </c>
      <c r="C685">
        <f t="shared" ca="1" si="10"/>
        <v>2021</v>
      </c>
    </row>
    <row r="686" spans="1:3" x14ac:dyDescent="0.25">
      <c r="A686" s="3">
        <f ca="1">IFERROR(__xludf.DUMMYFUNCTION("""COMPUTED_VALUE"""),44295.6666666666)</f>
        <v>44295.666666666599</v>
      </c>
      <c r="B686" s="1">
        <f ca="1">IFERROR(__xludf.DUMMYFUNCTION("""COMPUTED_VALUE"""),519.6)</f>
        <v>519.6</v>
      </c>
      <c r="C686">
        <f t="shared" ca="1" si="10"/>
        <v>2021</v>
      </c>
    </row>
    <row r="687" spans="1:3" x14ac:dyDescent="0.25">
      <c r="A687" s="3">
        <f ca="1">IFERROR(__xludf.DUMMYFUNCTION("""COMPUTED_VALUE"""),44294.6666666666)</f>
        <v>44294.666666666599</v>
      </c>
      <c r="B687" s="1">
        <f ca="1">IFERROR(__xludf.DUMMYFUNCTION("""COMPUTED_VALUE"""),510.8)</f>
        <v>510.8</v>
      </c>
      <c r="C687">
        <f t="shared" ca="1" si="10"/>
        <v>2021</v>
      </c>
    </row>
    <row r="688" spans="1:3" x14ac:dyDescent="0.25">
      <c r="A688" s="3">
        <f ca="1">IFERROR(__xludf.DUMMYFUNCTION("""COMPUTED_VALUE"""),44293.6666666666)</f>
        <v>44293.666666666599</v>
      </c>
      <c r="B688" s="1">
        <f ca="1">IFERROR(__xludf.DUMMYFUNCTION("""COMPUTED_VALUE"""),499.6)</f>
        <v>499.6</v>
      </c>
      <c r="C688">
        <f t="shared" ca="1" si="10"/>
        <v>2021</v>
      </c>
    </row>
    <row r="689" spans="1:3" x14ac:dyDescent="0.25">
      <c r="A689" s="3">
        <f ca="1">IFERROR(__xludf.DUMMYFUNCTION("""COMPUTED_VALUE"""),44292.6666666666)</f>
        <v>44292.666666666599</v>
      </c>
      <c r="B689" s="1">
        <f ca="1">IFERROR(__xludf.DUMMYFUNCTION("""COMPUTED_VALUE"""),528)</f>
        <v>528</v>
      </c>
      <c r="C689">
        <f t="shared" ca="1" si="10"/>
        <v>2021</v>
      </c>
    </row>
    <row r="690" spans="1:3" x14ac:dyDescent="0.25">
      <c r="A690" s="3">
        <f ca="1">IFERROR(__xludf.DUMMYFUNCTION("""COMPUTED_VALUE"""),44291.6666666666)</f>
        <v>44291.666666666599</v>
      </c>
      <c r="B690" s="1">
        <f ca="1">IFERROR(__xludf.DUMMYFUNCTION("""COMPUTED_VALUE"""),548.4)</f>
        <v>548.4</v>
      </c>
      <c r="C690">
        <f t="shared" ca="1" si="10"/>
        <v>2021</v>
      </c>
    </row>
    <row r="691" spans="1:3" x14ac:dyDescent="0.25">
      <c r="A691" s="3">
        <f ca="1">IFERROR(__xludf.DUMMYFUNCTION("""COMPUTED_VALUE"""),44287.6666666666)</f>
        <v>44287.666666666599</v>
      </c>
      <c r="B691" s="1">
        <f ca="1">IFERROR(__xludf.DUMMYFUNCTION("""COMPUTED_VALUE"""),517.2)</f>
        <v>517.20000000000005</v>
      </c>
      <c r="C691">
        <f t="shared" ca="1" si="10"/>
        <v>2021</v>
      </c>
    </row>
    <row r="692" spans="1:3" x14ac:dyDescent="0.25">
      <c r="A692" s="3">
        <f ca="1">IFERROR(__xludf.DUMMYFUNCTION("""COMPUTED_VALUE"""),44286.6666666666)</f>
        <v>44286.666666666599</v>
      </c>
      <c r="B692" s="1">
        <f ca="1">IFERROR(__xludf.DUMMYFUNCTION("""COMPUTED_VALUE"""),467.2)</f>
        <v>467.2</v>
      </c>
      <c r="C692">
        <f t="shared" ca="1" si="10"/>
        <v>2021</v>
      </c>
    </row>
    <row r="693" spans="1:3" x14ac:dyDescent="0.25">
      <c r="A693" s="3">
        <f ca="1">IFERROR(__xludf.DUMMYFUNCTION("""COMPUTED_VALUE"""),44285.6666666666)</f>
        <v>44285.666666666599</v>
      </c>
      <c r="B693" s="1">
        <f ca="1">IFERROR(__xludf.DUMMYFUNCTION("""COMPUTED_VALUE"""),451.6)</f>
        <v>451.6</v>
      </c>
      <c r="C693">
        <f t="shared" ca="1" si="10"/>
        <v>2021</v>
      </c>
    </row>
    <row r="694" spans="1:3" x14ac:dyDescent="0.25">
      <c r="A694" s="3">
        <f ca="1">IFERROR(__xludf.DUMMYFUNCTION("""COMPUTED_VALUE"""),44284.6666666666)</f>
        <v>44284.666666666599</v>
      </c>
      <c r="B694" s="1">
        <f ca="1">IFERROR(__xludf.DUMMYFUNCTION("""COMPUTED_VALUE"""),440)</f>
        <v>440</v>
      </c>
      <c r="C694">
        <f t="shared" ca="1" si="10"/>
        <v>2021</v>
      </c>
    </row>
    <row r="695" spans="1:3" x14ac:dyDescent="0.25">
      <c r="A695" s="3">
        <f ca="1">IFERROR(__xludf.DUMMYFUNCTION("""COMPUTED_VALUE"""),44281.6666666666)</f>
        <v>44281.666666666599</v>
      </c>
      <c r="B695" s="1">
        <f ca="1">IFERROR(__xludf.DUMMYFUNCTION("""COMPUTED_VALUE"""),468.4)</f>
        <v>468.4</v>
      </c>
      <c r="C695">
        <f t="shared" ca="1" si="10"/>
        <v>2021</v>
      </c>
    </row>
    <row r="696" spans="1:3" x14ac:dyDescent="0.25">
      <c r="A696" s="3">
        <f ca="1">IFERROR(__xludf.DUMMYFUNCTION("""COMPUTED_VALUE"""),44280.6666666666)</f>
        <v>44280.666666666599</v>
      </c>
      <c r="B696" s="1">
        <f ca="1">IFERROR(__xludf.DUMMYFUNCTION("""COMPUTED_VALUE"""),389.4)</f>
        <v>389.4</v>
      </c>
      <c r="C696">
        <f t="shared" ca="1" si="10"/>
        <v>2021</v>
      </c>
    </row>
    <row r="697" spans="1:3" x14ac:dyDescent="0.25">
      <c r="A697" s="3">
        <f ca="1">IFERROR(__xludf.DUMMYFUNCTION("""COMPUTED_VALUE"""),44279.6666666666)</f>
        <v>44279.666666666599</v>
      </c>
      <c r="B697" s="1">
        <f ca="1">IFERROR(__xludf.DUMMYFUNCTION("""COMPUTED_VALUE"""),393.2)</f>
        <v>393.2</v>
      </c>
      <c r="C697">
        <f t="shared" ca="1" si="10"/>
        <v>2021</v>
      </c>
    </row>
    <row r="698" spans="1:3" x14ac:dyDescent="0.25">
      <c r="A698" s="3">
        <f ca="1">IFERROR(__xludf.DUMMYFUNCTION("""COMPUTED_VALUE"""),44278.6666666666)</f>
        <v>44278.666666666599</v>
      </c>
      <c r="B698" s="1">
        <f ca="1">IFERROR(__xludf.DUMMYFUNCTION("""COMPUTED_VALUE"""),394)</f>
        <v>394</v>
      </c>
      <c r="C698">
        <f t="shared" ca="1" si="10"/>
        <v>2021</v>
      </c>
    </row>
    <row r="699" spans="1:3" x14ac:dyDescent="0.25">
      <c r="A699" s="3">
        <f ca="1">IFERROR(__xludf.DUMMYFUNCTION("""COMPUTED_VALUE"""),44277.6666666666)</f>
        <v>44277.666666666599</v>
      </c>
      <c r="B699" s="1">
        <f ca="1">IFERROR(__xludf.DUMMYFUNCTION("""COMPUTED_VALUE"""),404.8)</f>
        <v>404.8</v>
      </c>
      <c r="C699">
        <f t="shared" ca="1" si="10"/>
        <v>2021</v>
      </c>
    </row>
    <row r="700" spans="1:3" x14ac:dyDescent="0.25">
      <c r="A700" s="3">
        <f ca="1">IFERROR(__xludf.DUMMYFUNCTION("""COMPUTED_VALUE"""),44274.6666666666)</f>
        <v>44274.666666666599</v>
      </c>
      <c r="B700" s="1">
        <f ca="1">IFERROR(__xludf.DUMMYFUNCTION("""COMPUTED_VALUE"""),404.8)</f>
        <v>404.8</v>
      </c>
      <c r="C700">
        <f t="shared" ca="1" si="10"/>
        <v>2021</v>
      </c>
    </row>
    <row r="701" spans="1:3" x14ac:dyDescent="0.25">
      <c r="A701" s="3">
        <f ca="1">IFERROR(__xludf.DUMMYFUNCTION("""COMPUTED_VALUE"""),44273.6666666666)</f>
        <v>44273.666666666599</v>
      </c>
      <c r="B701" s="1">
        <f ca="1">IFERROR(__xludf.DUMMYFUNCTION("""COMPUTED_VALUE"""),405.2)</f>
        <v>405.2</v>
      </c>
      <c r="C701">
        <f t="shared" ca="1" si="10"/>
        <v>2021</v>
      </c>
    </row>
    <row r="702" spans="1:3" x14ac:dyDescent="0.25">
      <c r="A702" s="3">
        <f ca="1">IFERROR(__xludf.DUMMYFUNCTION("""COMPUTED_VALUE"""),44272.6666666666)</f>
        <v>44272.666666666599</v>
      </c>
      <c r="B702" s="1">
        <f ca="1">IFERROR(__xludf.DUMMYFUNCTION("""COMPUTED_VALUE"""),398)</f>
        <v>398</v>
      </c>
      <c r="C702">
        <f t="shared" ca="1" si="10"/>
        <v>2021</v>
      </c>
    </row>
    <row r="703" spans="1:3" x14ac:dyDescent="0.25">
      <c r="A703" s="3">
        <f ca="1">IFERROR(__xludf.DUMMYFUNCTION("""COMPUTED_VALUE"""),44271.6666666666)</f>
        <v>44271.666666666599</v>
      </c>
      <c r="B703" s="1">
        <f ca="1">IFERROR(__xludf.DUMMYFUNCTION("""COMPUTED_VALUE"""),402.4)</f>
        <v>402.4</v>
      </c>
      <c r="C703">
        <f t="shared" ca="1" si="10"/>
        <v>2021</v>
      </c>
    </row>
    <row r="704" spans="1:3" x14ac:dyDescent="0.25">
      <c r="A704" s="3">
        <f ca="1">IFERROR(__xludf.DUMMYFUNCTION("""COMPUTED_VALUE"""),44270.6666666666)</f>
        <v>44270.666666666599</v>
      </c>
      <c r="B704" s="1">
        <f ca="1">IFERROR(__xludf.DUMMYFUNCTION("""COMPUTED_VALUE"""),400)</f>
        <v>400</v>
      </c>
      <c r="C704">
        <f t="shared" ca="1" si="10"/>
        <v>2021</v>
      </c>
    </row>
    <row r="705" spans="1:3" x14ac:dyDescent="0.25">
      <c r="A705" s="3">
        <f ca="1">IFERROR(__xludf.DUMMYFUNCTION("""COMPUTED_VALUE"""),44267.6666666666)</f>
        <v>44267.666666666599</v>
      </c>
      <c r="B705" s="1">
        <f ca="1">IFERROR(__xludf.DUMMYFUNCTION("""COMPUTED_VALUE"""),402.8)</f>
        <v>402.8</v>
      </c>
      <c r="C705">
        <f t="shared" ca="1" si="10"/>
        <v>2021</v>
      </c>
    </row>
    <row r="706" spans="1:3" x14ac:dyDescent="0.25">
      <c r="A706" s="3">
        <f ca="1">IFERROR(__xludf.DUMMYFUNCTION("""COMPUTED_VALUE"""),44266.6666666666)</f>
        <v>44266.666666666599</v>
      </c>
      <c r="B706" s="1">
        <f ca="1">IFERROR(__xludf.DUMMYFUNCTION("""COMPUTED_VALUE"""),403.6)</f>
        <v>403.6</v>
      </c>
      <c r="C706">
        <f t="shared" ref="C706:C769" ca="1" si="11">YEAR(A706)</f>
        <v>2021</v>
      </c>
    </row>
    <row r="707" spans="1:3" x14ac:dyDescent="0.25">
      <c r="A707" s="3">
        <f ca="1">IFERROR(__xludf.DUMMYFUNCTION("""COMPUTED_VALUE"""),44265.6666666666)</f>
        <v>44265.666666666599</v>
      </c>
      <c r="B707" s="1">
        <f ca="1">IFERROR(__xludf.DUMMYFUNCTION("""COMPUTED_VALUE"""),400.8)</f>
        <v>400.8</v>
      </c>
      <c r="C707">
        <f t="shared" ca="1" si="11"/>
        <v>2021</v>
      </c>
    </row>
    <row r="708" spans="1:3" x14ac:dyDescent="0.25">
      <c r="A708" s="3">
        <f ca="1">IFERROR(__xludf.DUMMYFUNCTION("""COMPUTED_VALUE"""),44264.6666666666)</f>
        <v>44264.666666666599</v>
      </c>
      <c r="B708" s="1">
        <f ca="1">IFERROR(__xludf.DUMMYFUNCTION("""COMPUTED_VALUE"""),399.2)</f>
        <v>399.2</v>
      </c>
      <c r="C708">
        <f t="shared" ca="1" si="11"/>
        <v>2021</v>
      </c>
    </row>
    <row r="709" spans="1:3" x14ac:dyDescent="0.25">
      <c r="A709" s="3">
        <f ca="1">IFERROR(__xludf.DUMMYFUNCTION("""COMPUTED_VALUE"""),44263.6666666666)</f>
        <v>44263.666666666599</v>
      </c>
      <c r="B709" s="1">
        <f ca="1">IFERROR(__xludf.DUMMYFUNCTION("""COMPUTED_VALUE"""),405.2)</f>
        <v>405.2</v>
      </c>
      <c r="C709">
        <f t="shared" ca="1" si="11"/>
        <v>2021</v>
      </c>
    </row>
    <row r="710" spans="1:3" x14ac:dyDescent="0.25">
      <c r="A710" s="3">
        <f ca="1">IFERROR(__xludf.DUMMYFUNCTION("""COMPUTED_VALUE"""),44260.6666666666)</f>
        <v>44260.666666666599</v>
      </c>
      <c r="B710" s="1">
        <f ca="1">IFERROR(__xludf.DUMMYFUNCTION("""COMPUTED_VALUE"""),400.8)</f>
        <v>400.8</v>
      </c>
      <c r="C710">
        <f t="shared" ca="1" si="11"/>
        <v>2021</v>
      </c>
    </row>
    <row r="711" spans="1:3" x14ac:dyDescent="0.25">
      <c r="A711" s="3">
        <f ca="1">IFERROR(__xludf.DUMMYFUNCTION("""COMPUTED_VALUE"""),44259.6666666666)</f>
        <v>44259.666666666599</v>
      </c>
      <c r="B711" s="1">
        <f ca="1">IFERROR(__xludf.DUMMYFUNCTION("""COMPUTED_VALUE"""),402)</f>
        <v>402</v>
      </c>
      <c r="C711">
        <f t="shared" ca="1" si="11"/>
        <v>2021</v>
      </c>
    </row>
    <row r="712" spans="1:3" x14ac:dyDescent="0.25">
      <c r="A712" s="3">
        <f ca="1">IFERROR(__xludf.DUMMYFUNCTION("""COMPUTED_VALUE"""),44258.6666666666)</f>
        <v>44258.666666666599</v>
      </c>
      <c r="B712" s="1">
        <f ca="1">IFERROR(__xludf.DUMMYFUNCTION("""COMPUTED_VALUE"""),402.8)</f>
        <v>402.8</v>
      </c>
      <c r="C712">
        <f t="shared" ca="1" si="11"/>
        <v>2021</v>
      </c>
    </row>
    <row r="713" spans="1:3" x14ac:dyDescent="0.25">
      <c r="A713" s="3">
        <f ca="1">IFERROR(__xludf.DUMMYFUNCTION("""COMPUTED_VALUE"""),44257.6666666666)</f>
        <v>44257.666666666599</v>
      </c>
      <c r="B713" s="1">
        <f ca="1">IFERROR(__xludf.DUMMYFUNCTION("""COMPUTED_VALUE"""),411.2)</f>
        <v>411.2</v>
      </c>
      <c r="C713">
        <f t="shared" ca="1" si="11"/>
        <v>2021</v>
      </c>
    </row>
    <row r="714" spans="1:3" x14ac:dyDescent="0.25">
      <c r="A714" s="3">
        <f ca="1">IFERROR(__xludf.DUMMYFUNCTION("""COMPUTED_VALUE"""),44256.6666666666)</f>
        <v>44256.666666666599</v>
      </c>
      <c r="B714" s="1">
        <f ca="1">IFERROR(__xludf.DUMMYFUNCTION("""COMPUTED_VALUE"""),420)</f>
        <v>420</v>
      </c>
      <c r="C714">
        <f t="shared" ca="1" si="11"/>
        <v>2021</v>
      </c>
    </row>
    <row r="715" spans="1:3" x14ac:dyDescent="0.25">
      <c r="A715" s="3">
        <f ca="1">IFERROR(__xludf.DUMMYFUNCTION("""COMPUTED_VALUE"""),44253.6666666666)</f>
        <v>44253.666666666599</v>
      </c>
      <c r="B715" s="1">
        <f ca="1">IFERROR(__xludf.DUMMYFUNCTION("""COMPUTED_VALUE"""),420)</f>
        <v>420</v>
      </c>
      <c r="C715">
        <f t="shared" ca="1" si="11"/>
        <v>2021</v>
      </c>
    </row>
    <row r="716" spans="1:3" x14ac:dyDescent="0.25">
      <c r="A716" s="3">
        <f ca="1">IFERROR(__xludf.DUMMYFUNCTION("""COMPUTED_VALUE"""),44252.6666666666)</f>
        <v>44252.666666666599</v>
      </c>
      <c r="B716" s="1">
        <f ca="1">IFERROR(__xludf.DUMMYFUNCTION("""COMPUTED_VALUE"""),424.8)</f>
        <v>424.8</v>
      </c>
      <c r="C716">
        <f t="shared" ca="1" si="11"/>
        <v>2021</v>
      </c>
    </row>
    <row r="717" spans="1:3" x14ac:dyDescent="0.25">
      <c r="A717" s="3">
        <f ca="1">IFERROR(__xludf.DUMMYFUNCTION("""COMPUTED_VALUE"""),44251.6666666666)</f>
        <v>44251.666666666599</v>
      </c>
      <c r="B717" s="1">
        <f ca="1">IFERROR(__xludf.DUMMYFUNCTION("""COMPUTED_VALUE"""),432.4)</f>
        <v>432.4</v>
      </c>
      <c r="C717">
        <f t="shared" ca="1" si="11"/>
        <v>2021</v>
      </c>
    </row>
    <row r="718" spans="1:3" x14ac:dyDescent="0.25">
      <c r="A718" s="3">
        <f ca="1">IFERROR(__xludf.DUMMYFUNCTION("""COMPUTED_VALUE"""),44250.6666666666)</f>
        <v>44250.666666666599</v>
      </c>
      <c r="B718" s="1">
        <f ca="1">IFERROR(__xludf.DUMMYFUNCTION("""COMPUTED_VALUE"""),436.4)</f>
        <v>436.4</v>
      </c>
      <c r="C718">
        <f t="shared" ca="1" si="11"/>
        <v>2021</v>
      </c>
    </row>
    <row r="719" spans="1:3" x14ac:dyDescent="0.25">
      <c r="A719" s="3">
        <f ca="1">IFERROR(__xludf.DUMMYFUNCTION("""COMPUTED_VALUE"""),44249.6666666666)</f>
        <v>44249.666666666599</v>
      </c>
      <c r="B719" s="1">
        <f ca="1">IFERROR(__xludf.DUMMYFUNCTION("""COMPUTED_VALUE"""),436)</f>
        <v>436</v>
      </c>
      <c r="C719">
        <f t="shared" ca="1" si="11"/>
        <v>2021</v>
      </c>
    </row>
    <row r="720" spans="1:3" x14ac:dyDescent="0.25">
      <c r="A720" s="3">
        <f ca="1">IFERROR(__xludf.DUMMYFUNCTION("""COMPUTED_VALUE"""),44246.6666666666)</f>
        <v>44246.666666666599</v>
      </c>
      <c r="B720" s="1">
        <f ca="1">IFERROR(__xludf.DUMMYFUNCTION("""COMPUTED_VALUE"""),440.8)</f>
        <v>440.8</v>
      </c>
      <c r="C720">
        <f t="shared" ca="1" si="11"/>
        <v>2021</v>
      </c>
    </row>
    <row r="721" spans="1:3" x14ac:dyDescent="0.25">
      <c r="A721" s="3">
        <f ca="1">IFERROR(__xludf.DUMMYFUNCTION("""COMPUTED_VALUE"""),44245.6666666666)</f>
        <v>44245.666666666599</v>
      </c>
      <c r="B721" s="1">
        <f ca="1">IFERROR(__xludf.DUMMYFUNCTION("""COMPUTED_VALUE"""),434)</f>
        <v>434</v>
      </c>
      <c r="C721">
        <f t="shared" ca="1" si="11"/>
        <v>2021</v>
      </c>
    </row>
    <row r="722" spans="1:3" x14ac:dyDescent="0.25">
      <c r="A722" s="3">
        <f ca="1">IFERROR(__xludf.DUMMYFUNCTION("""COMPUTED_VALUE"""),44244.6666666666)</f>
        <v>44244.666666666599</v>
      </c>
      <c r="B722" s="1">
        <f ca="1">IFERROR(__xludf.DUMMYFUNCTION("""COMPUTED_VALUE"""),426)</f>
        <v>426</v>
      </c>
      <c r="C722">
        <f t="shared" ca="1" si="11"/>
        <v>2021</v>
      </c>
    </row>
    <row r="723" spans="1:3" x14ac:dyDescent="0.25">
      <c r="A723" s="3">
        <f ca="1">IFERROR(__xludf.DUMMYFUNCTION("""COMPUTED_VALUE"""),44243.6666666666)</f>
        <v>44243.666666666599</v>
      </c>
      <c r="B723" s="1">
        <f ca="1">IFERROR(__xludf.DUMMYFUNCTION("""COMPUTED_VALUE"""),433.6)</f>
        <v>433.6</v>
      </c>
      <c r="C723">
        <f t="shared" ca="1" si="11"/>
        <v>2021</v>
      </c>
    </row>
    <row r="724" spans="1:3" x14ac:dyDescent="0.25">
      <c r="A724" s="3">
        <f ca="1">IFERROR(__xludf.DUMMYFUNCTION("""COMPUTED_VALUE"""),44239.6666666666)</f>
        <v>44239.666666666599</v>
      </c>
      <c r="B724" s="1">
        <f ca="1">IFERROR(__xludf.DUMMYFUNCTION("""COMPUTED_VALUE"""),424.4)</f>
        <v>424.4</v>
      </c>
      <c r="C724">
        <f t="shared" ca="1" si="11"/>
        <v>2021</v>
      </c>
    </row>
    <row r="725" spans="1:3" x14ac:dyDescent="0.25">
      <c r="A725" s="3">
        <f ca="1">IFERROR(__xludf.DUMMYFUNCTION("""COMPUTED_VALUE"""),44238.6666666666)</f>
        <v>44238.666666666599</v>
      </c>
      <c r="B725" s="1">
        <f ca="1">IFERROR(__xludf.DUMMYFUNCTION("""COMPUTED_VALUE"""),430)</f>
        <v>430</v>
      </c>
      <c r="C725">
        <f t="shared" ca="1" si="11"/>
        <v>2021</v>
      </c>
    </row>
    <row r="726" spans="1:3" x14ac:dyDescent="0.25">
      <c r="A726" s="3">
        <f ca="1">IFERROR(__xludf.DUMMYFUNCTION("""COMPUTED_VALUE"""),44237.6666666666)</f>
        <v>44237.666666666599</v>
      </c>
      <c r="B726" s="1">
        <f ca="1">IFERROR(__xludf.DUMMYFUNCTION("""COMPUTED_VALUE"""),430.8)</f>
        <v>430.8</v>
      </c>
      <c r="C726">
        <f t="shared" ca="1" si="11"/>
        <v>2021</v>
      </c>
    </row>
    <row r="727" spans="1:3" x14ac:dyDescent="0.25">
      <c r="A727" s="3">
        <f ca="1">IFERROR(__xludf.DUMMYFUNCTION("""COMPUTED_VALUE"""),44236.6666666666)</f>
        <v>44236.666666666599</v>
      </c>
      <c r="B727" s="1">
        <f ca="1">IFERROR(__xludf.DUMMYFUNCTION("""COMPUTED_VALUE"""),427.2)</f>
        <v>427.2</v>
      </c>
      <c r="C727">
        <f t="shared" ca="1" si="11"/>
        <v>2021</v>
      </c>
    </row>
    <row r="728" spans="1:3" x14ac:dyDescent="0.25">
      <c r="A728" s="3">
        <f ca="1">IFERROR(__xludf.DUMMYFUNCTION("""COMPUTED_VALUE"""),44235.6666666666)</f>
        <v>44235.666666666599</v>
      </c>
      <c r="B728" s="1">
        <f ca="1">IFERROR(__xludf.DUMMYFUNCTION("""COMPUTED_VALUE"""),431.2)</f>
        <v>431.2</v>
      </c>
      <c r="C728">
        <f t="shared" ca="1" si="11"/>
        <v>2021</v>
      </c>
    </row>
    <row r="729" spans="1:3" x14ac:dyDescent="0.25">
      <c r="A729" s="3">
        <f ca="1">IFERROR(__xludf.DUMMYFUNCTION("""COMPUTED_VALUE"""),44232.6666666666)</f>
        <v>44232.666666666599</v>
      </c>
      <c r="B729" s="1">
        <f ca="1">IFERROR(__xludf.DUMMYFUNCTION("""COMPUTED_VALUE"""),428.4)</f>
        <v>428.4</v>
      </c>
      <c r="C729">
        <f t="shared" ca="1" si="11"/>
        <v>2021</v>
      </c>
    </row>
    <row r="730" spans="1:3" x14ac:dyDescent="0.25">
      <c r="A730" s="3">
        <f ca="1">IFERROR(__xludf.DUMMYFUNCTION("""COMPUTED_VALUE"""),44231.6666666666)</f>
        <v>44231.666666666599</v>
      </c>
      <c r="B730" s="1">
        <f ca="1">IFERROR(__xludf.DUMMYFUNCTION("""COMPUTED_VALUE"""),431.6)</f>
        <v>431.6</v>
      </c>
      <c r="C730">
        <f t="shared" ca="1" si="11"/>
        <v>2021</v>
      </c>
    </row>
    <row r="731" spans="1:3" x14ac:dyDescent="0.25">
      <c r="A731" s="3">
        <f ca="1">IFERROR(__xludf.DUMMYFUNCTION("""COMPUTED_VALUE"""),44230.6666666666)</f>
        <v>44230.666666666599</v>
      </c>
      <c r="B731" s="1">
        <f ca="1">IFERROR(__xludf.DUMMYFUNCTION("""COMPUTED_VALUE"""),434)</f>
        <v>434</v>
      </c>
      <c r="C731">
        <f t="shared" ca="1" si="11"/>
        <v>2021</v>
      </c>
    </row>
    <row r="732" spans="1:3" x14ac:dyDescent="0.25">
      <c r="A732" s="3">
        <f ca="1">IFERROR(__xludf.DUMMYFUNCTION("""COMPUTED_VALUE"""),44229.6666666666)</f>
        <v>44229.666666666599</v>
      </c>
      <c r="B732" s="1">
        <f ca="1">IFERROR(__xludf.DUMMYFUNCTION("""COMPUTED_VALUE"""),437.6)</f>
        <v>437.6</v>
      </c>
      <c r="C732">
        <f t="shared" ca="1" si="11"/>
        <v>2021</v>
      </c>
    </row>
    <row r="733" spans="1:3" x14ac:dyDescent="0.25">
      <c r="A733" s="3">
        <f ca="1">IFERROR(__xludf.DUMMYFUNCTION("""COMPUTED_VALUE"""),44228.6666666666)</f>
        <v>44228.666666666599</v>
      </c>
      <c r="B733" s="1">
        <f ca="1">IFERROR(__xludf.DUMMYFUNCTION("""COMPUTED_VALUE"""),437.2)</f>
        <v>437.2</v>
      </c>
      <c r="C733">
        <f t="shared" ca="1" si="11"/>
        <v>2021</v>
      </c>
    </row>
    <row r="734" spans="1:3" x14ac:dyDescent="0.25">
      <c r="A734" s="3">
        <f ca="1">IFERROR(__xludf.DUMMYFUNCTION("""COMPUTED_VALUE"""),44225.6666666666)</f>
        <v>44225.666666666599</v>
      </c>
      <c r="B734" s="1">
        <f ca="1">IFERROR(__xludf.DUMMYFUNCTION("""COMPUTED_VALUE"""),426)</f>
        <v>426</v>
      </c>
      <c r="C734">
        <f t="shared" ca="1" si="11"/>
        <v>2021</v>
      </c>
    </row>
    <row r="735" spans="1:3" x14ac:dyDescent="0.25">
      <c r="A735" s="3">
        <f ca="1">IFERROR(__xludf.DUMMYFUNCTION("""COMPUTED_VALUE"""),44224.6666666666)</f>
        <v>44224.666666666599</v>
      </c>
      <c r="B735" s="1">
        <f ca="1">IFERROR(__xludf.DUMMYFUNCTION("""COMPUTED_VALUE"""),424.4)</f>
        <v>424.4</v>
      </c>
      <c r="C735">
        <f t="shared" ca="1" si="11"/>
        <v>2021</v>
      </c>
    </row>
    <row r="736" spans="1:3" x14ac:dyDescent="0.25">
      <c r="A736" s="3">
        <f ca="1">IFERROR(__xludf.DUMMYFUNCTION("""COMPUTED_VALUE"""),44223.6666666666)</f>
        <v>44223.666666666599</v>
      </c>
      <c r="B736" s="1">
        <f ca="1">IFERROR(__xludf.DUMMYFUNCTION("""COMPUTED_VALUE"""),418.8)</f>
        <v>418.8</v>
      </c>
      <c r="C736">
        <f t="shared" ca="1" si="11"/>
        <v>2021</v>
      </c>
    </row>
    <row r="737" spans="1:3" x14ac:dyDescent="0.25">
      <c r="A737" s="3">
        <f ca="1">IFERROR(__xludf.DUMMYFUNCTION("""COMPUTED_VALUE"""),44222.6666666666)</f>
        <v>44222.666666666599</v>
      </c>
      <c r="B737" s="1">
        <f ca="1">IFERROR(__xludf.DUMMYFUNCTION("""COMPUTED_VALUE"""),425.2)</f>
        <v>425.2</v>
      </c>
      <c r="C737">
        <f t="shared" ca="1" si="11"/>
        <v>2021</v>
      </c>
    </row>
    <row r="738" spans="1:3" x14ac:dyDescent="0.25">
      <c r="A738" s="3">
        <f ca="1">IFERROR(__xludf.DUMMYFUNCTION("""COMPUTED_VALUE"""),44221.6666666666)</f>
        <v>44221.666666666599</v>
      </c>
      <c r="B738" s="1">
        <f ca="1">IFERROR(__xludf.DUMMYFUNCTION("""COMPUTED_VALUE"""),437.2)</f>
        <v>437.2</v>
      </c>
      <c r="C738">
        <f t="shared" ca="1" si="11"/>
        <v>2021</v>
      </c>
    </row>
    <row r="739" spans="1:3" x14ac:dyDescent="0.25">
      <c r="A739" s="3">
        <f ca="1">IFERROR(__xludf.DUMMYFUNCTION("""COMPUTED_VALUE"""),44218.6666666666)</f>
        <v>44218.666666666599</v>
      </c>
      <c r="B739" s="1">
        <f ca="1">IFERROR(__xludf.DUMMYFUNCTION("""COMPUTED_VALUE"""),440.8)</f>
        <v>440.8</v>
      </c>
      <c r="C739">
        <f t="shared" ca="1" si="11"/>
        <v>2021</v>
      </c>
    </row>
    <row r="740" spans="1:3" x14ac:dyDescent="0.25">
      <c r="A740" s="3">
        <f ca="1">IFERROR(__xludf.DUMMYFUNCTION("""COMPUTED_VALUE"""),44217.6666666666)</f>
        <v>44217.666666666599</v>
      </c>
      <c r="B740" s="1">
        <f ca="1">IFERROR(__xludf.DUMMYFUNCTION("""COMPUTED_VALUE"""),440)</f>
        <v>440</v>
      </c>
      <c r="C740">
        <f t="shared" ca="1" si="11"/>
        <v>2021</v>
      </c>
    </row>
    <row r="741" spans="1:3" x14ac:dyDescent="0.25">
      <c r="A741" s="3">
        <f ca="1">IFERROR(__xludf.DUMMYFUNCTION("""COMPUTED_VALUE"""),44216.6666666666)</f>
        <v>44216.666666666599</v>
      </c>
      <c r="B741" s="1">
        <f ca="1">IFERROR(__xludf.DUMMYFUNCTION("""COMPUTED_VALUE"""),425.2)</f>
        <v>425.2</v>
      </c>
      <c r="C741">
        <f t="shared" ca="1" si="11"/>
        <v>2021</v>
      </c>
    </row>
    <row r="742" spans="1:3" x14ac:dyDescent="0.25">
      <c r="A742" s="3">
        <f ca="1">IFERROR(__xludf.DUMMYFUNCTION("""COMPUTED_VALUE"""),44215.6666666666)</f>
        <v>44215.666666666599</v>
      </c>
      <c r="B742" s="1">
        <f ca="1">IFERROR(__xludf.DUMMYFUNCTION("""COMPUTED_VALUE"""),430.8)</f>
        <v>430.8</v>
      </c>
      <c r="C742">
        <f t="shared" ca="1" si="11"/>
        <v>2021</v>
      </c>
    </row>
    <row r="743" spans="1:3" x14ac:dyDescent="0.25">
      <c r="A743" s="3">
        <f ca="1">IFERROR(__xludf.DUMMYFUNCTION("""COMPUTED_VALUE"""),44211.6666666666)</f>
        <v>44211.666666666599</v>
      </c>
      <c r="B743" s="1">
        <f ca="1">IFERROR(__xludf.DUMMYFUNCTION("""COMPUTED_VALUE"""),418)</f>
        <v>418</v>
      </c>
      <c r="C743">
        <f t="shared" ca="1" si="11"/>
        <v>2021</v>
      </c>
    </row>
    <row r="744" spans="1:3" x14ac:dyDescent="0.25">
      <c r="A744" s="3">
        <f ca="1">IFERROR(__xludf.DUMMYFUNCTION("""COMPUTED_VALUE"""),44210.6666666666)</f>
        <v>44210.666666666599</v>
      </c>
      <c r="B744" s="1">
        <f ca="1">IFERROR(__xludf.DUMMYFUNCTION("""COMPUTED_VALUE"""),425.6)</f>
        <v>425.6</v>
      </c>
      <c r="C744">
        <f t="shared" ca="1" si="11"/>
        <v>2021</v>
      </c>
    </row>
    <row r="745" spans="1:3" x14ac:dyDescent="0.25">
      <c r="A745" s="3">
        <f ca="1">IFERROR(__xludf.DUMMYFUNCTION("""COMPUTED_VALUE"""),44209.6666666666)</f>
        <v>44209.666666666599</v>
      </c>
      <c r="B745" s="1">
        <f ca="1">IFERROR(__xludf.DUMMYFUNCTION("""COMPUTED_VALUE"""),420)</f>
        <v>420</v>
      </c>
      <c r="C745">
        <f t="shared" ca="1" si="11"/>
        <v>2021</v>
      </c>
    </row>
    <row r="746" spans="1:3" x14ac:dyDescent="0.25">
      <c r="A746" s="3">
        <f ca="1">IFERROR(__xludf.DUMMYFUNCTION("""COMPUTED_VALUE"""),44208.6666666666)</f>
        <v>44208.666666666599</v>
      </c>
      <c r="B746" s="1">
        <f ca="1">IFERROR(__xludf.DUMMYFUNCTION("""COMPUTED_VALUE"""),420)</f>
        <v>420</v>
      </c>
      <c r="C746">
        <f t="shared" ca="1" si="11"/>
        <v>2021</v>
      </c>
    </row>
    <row r="747" spans="1:3" x14ac:dyDescent="0.25">
      <c r="A747" s="3">
        <f ca="1">IFERROR(__xludf.DUMMYFUNCTION("""COMPUTED_VALUE"""),44207.6666666666)</f>
        <v>44207.666666666599</v>
      </c>
      <c r="B747" s="1">
        <f ca="1">IFERROR(__xludf.DUMMYFUNCTION("""COMPUTED_VALUE"""),418.8)</f>
        <v>418.8</v>
      </c>
      <c r="C747">
        <f t="shared" ca="1" si="11"/>
        <v>2021</v>
      </c>
    </row>
    <row r="748" spans="1:3" x14ac:dyDescent="0.25">
      <c r="A748" s="3">
        <f ca="1">IFERROR(__xludf.DUMMYFUNCTION("""COMPUTED_VALUE"""),44204.6666666666)</f>
        <v>44204.666666666599</v>
      </c>
      <c r="B748" s="1">
        <f ca="1">IFERROR(__xludf.DUMMYFUNCTION("""COMPUTED_VALUE"""),418.8)</f>
        <v>418.8</v>
      </c>
      <c r="C748">
        <f t="shared" ca="1" si="11"/>
        <v>2021</v>
      </c>
    </row>
    <row r="749" spans="1:3" x14ac:dyDescent="0.25">
      <c r="A749" s="3">
        <f ca="1">IFERROR(__xludf.DUMMYFUNCTION("""COMPUTED_VALUE"""),44203.6666666666)</f>
        <v>44203.666666666599</v>
      </c>
      <c r="B749" s="1">
        <f ca="1">IFERROR(__xludf.DUMMYFUNCTION("""COMPUTED_VALUE"""),415.2)</f>
        <v>415.2</v>
      </c>
      <c r="C749">
        <f t="shared" ca="1" si="11"/>
        <v>2021</v>
      </c>
    </row>
    <row r="750" spans="1:3" x14ac:dyDescent="0.25">
      <c r="A750" s="3">
        <f ca="1">IFERROR(__xludf.DUMMYFUNCTION("""COMPUTED_VALUE"""),44202.6666666666)</f>
        <v>44202.666666666599</v>
      </c>
      <c r="B750" s="1">
        <f ca="1">IFERROR(__xludf.DUMMYFUNCTION("""COMPUTED_VALUE"""),412)</f>
        <v>412</v>
      </c>
      <c r="C750">
        <f t="shared" ca="1" si="11"/>
        <v>2021</v>
      </c>
    </row>
    <row r="751" spans="1:3" x14ac:dyDescent="0.25">
      <c r="A751" s="3">
        <f ca="1">IFERROR(__xludf.DUMMYFUNCTION("""COMPUTED_VALUE"""),44201.6666666666)</f>
        <v>44201.666666666599</v>
      </c>
      <c r="B751" s="1">
        <f ca="1">IFERROR(__xludf.DUMMYFUNCTION("""COMPUTED_VALUE"""),415.6)</f>
        <v>415.6</v>
      </c>
      <c r="C751">
        <f t="shared" ca="1" si="11"/>
        <v>2021</v>
      </c>
    </row>
    <row r="752" spans="1:3" x14ac:dyDescent="0.25">
      <c r="A752" s="3">
        <f ca="1">IFERROR(__xludf.DUMMYFUNCTION("""COMPUTED_VALUE"""),44200.6666666666)</f>
        <v>44200.666666666599</v>
      </c>
      <c r="B752" s="1">
        <f ca="1">IFERROR(__xludf.DUMMYFUNCTION("""COMPUTED_VALUE"""),412)</f>
        <v>412</v>
      </c>
      <c r="C752">
        <f t="shared" ca="1" si="11"/>
        <v>2021</v>
      </c>
    </row>
    <row r="753" spans="1:3" x14ac:dyDescent="0.25">
      <c r="A753" s="3">
        <f ca="1">IFERROR(__xludf.DUMMYFUNCTION("""COMPUTED_VALUE"""),44196.6666666666)</f>
        <v>44196.666666666599</v>
      </c>
      <c r="B753" s="1">
        <f ca="1">IFERROR(__xludf.DUMMYFUNCTION("""COMPUTED_VALUE"""),410.4)</f>
        <v>410.4</v>
      </c>
      <c r="C753">
        <f t="shared" ca="1" si="11"/>
        <v>2020</v>
      </c>
    </row>
    <row r="754" spans="1:3" x14ac:dyDescent="0.25">
      <c r="A754" s="3">
        <f ca="1">IFERROR(__xludf.DUMMYFUNCTION("""COMPUTED_VALUE"""),44195.6666666666)</f>
        <v>44195.666666666599</v>
      </c>
      <c r="B754" s="1">
        <f ca="1">IFERROR(__xludf.DUMMYFUNCTION("""COMPUTED_VALUE"""),413.2)</f>
        <v>413.2</v>
      </c>
      <c r="C754">
        <f t="shared" ca="1" si="11"/>
        <v>2020</v>
      </c>
    </row>
    <row r="755" spans="1:3" x14ac:dyDescent="0.25">
      <c r="A755" s="3">
        <f ca="1">IFERROR(__xludf.DUMMYFUNCTION("""COMPUTED_VALUE"""),44194.6666666666)</f>
        <v>44194.666666666599</v>
      </c>
      <c r="B755" s="1">
        <f ca="1">IFERROR(__xludf.DUMMYFUNCTION("""COMPUTED_VALUE"""),411.2)</f>
        <v>411.2</v>
      </c>
      <c r="C755">
        <f t="shared" ca="1" si="11"/>
        <v>2020</v>
      </c>
    </row>
    <row r="756" spans="1:3" x14ac:dyDescent="0.25">
      <c r="A756" s="3">
        <f ca="1">IFERROR(__xludf.DUMMYFUNCTION("""COMPUTED_VALUE"""),44193.6666666666)</f>
        <v>44193.666666666599</v>
      </c>
      <c r="B756" s="1">
        <f ca="1">IFERROR(__xludf.DUMMYFUNCTION("""COMPUTED_VALUE"""),415)</f>
        <v>415</v>
      </c>
      <c r="C756">
        <f t="shared" ca="1" si="11"/>
        <v>2020</v>
      </c>
    </row>
    <row r="757" spans="1:3" x14ac:dyDescent="0.25">
      <c r="A757" s="3">
        <f ca="1">IFERROR(__xludf.DUMMYFUNCTION("""COMPUTED_VALUE"""),44189.6666666666)</f>
        <v>44189.666666666599</v>
      </c>
      <c r="B757" s="1">
        <f ca="1">IFERROR(__xludf.DUMMYFUNCTION("""COMPUTED_VALUE"""),406.8)</f>
        <v>406.8</v>
      </c>
      <c r="C757">
        <f t="shared" ca="1" si="11"/>
        <v>2020</v>
      </c>
    </row>
    <row r="758" spans="1:3" x14ac:dyDescent="0.25">
      <c r="A758" s="3">
        <f ca="1">IFERROR(__xludf.DUMMYFUNCTION("""COMPUTED_VALUE"""),44188.6666666666)</f>
        <v>44188.666666666599</v>
      </c>
      <c r="B758" s="1">
        <f ca="1">IFERROR(__xludf.DUMMYFUNCTION("""COMPUTED_VALUE"""),411.2)</f>
        <v>411.2</v>
      </c>
      <c r="C758">
        <f t="shared" ca="1" si="11"/>
        <v>2020</v>
      </c>
    </row>
    <row r="759" spans="1:3" x14ac:dyDescent="0.25">
      <c r="A759" s="3">
        <f ca="1">IFERROR(__xludf.DUMMYFUNCTION("""COMPUTED_VALUE"""),44187.6666666666)</f>
        <v>44187.666666666599</v>
      </c>
      <c r="B759" s="1">
        <f ca="1">IFERROR(__xludf.DUMMYFUNCTION("""COMPUTED_VALUE"""),409.2)</f>
        <v>409.2</v>
      </c>
      <c r="C759">
        <f t="shared" ca="1" si="11"/>
        <v>2020</v>
      </c>
    </row>
    <row r="760" spans="1:3" x14ac:dyDescent="0.25">
      <c r="A760" s="3">
        <f ca="1">IFERROR(__xludf.DUMMYFUNCTION("""COMPUTED_VALUE"""),44186.6666666666)</f>
        <v>44186.666666666599</v>
      </c>
      <c r="B760" s="1">
        <f ca="1">IFERROR(__xludf.DUMMYFUNCTION("""COMPUTED_VALUE"""),406.4)</f>
        <v>406.4</v>
      </c>
      <c r="C760">
        <f t="shared" ca="1" si="11"/>
        <v>2020</v>
      </c>
    </row>
    <row r="761" spans="1:3" x14ac:dyDescent="0.25">
      <c r="A761" s="3">
        <f ca="1">IFERROR(__xludf.DUMMYFUNCTION("""COMPUTED_VALUE"""),44183.6666666666)</f>
        <v>44183.666666666599</v>
      </c>
      <c r="B761" s="1">
        <f ca="1">IFERROR(__xludf.DUMMYFUNCTION("""COMPUTED_VALUE"""),407.6)</f>
        <v>407.6</v>
      </c>
      <c r="C761">
        <f t="shared" ca="1" si="11"/>
        <v>2020</v>
      </c>
    </row>
    <row r="762" spans="1:3" x14ac:dyDescent="0.25">
      <c r="A762" s="3">
        <f ca="1">IFERROR(__xludf.DUMMYFUNCTION("""COMPUTED_VALUE"""),44182.6666666666)</f>
        <v>44182.666666666599</v>
      </c>
      <c r="B762" s="1">
        <f ca="1">IFERROR(__xludf.DUMMYFUNCTION("""COMPUTED_VALUE"""),412)</f>
        <v>412</v>
      </c>
      <c r="C762">
        <f t="shared" ca="1" si="11"/>
        <v>2020</v>
      </c>
    </row>
    <row r="763" spans="1:3" x14ac:dyDescent="0.25">
      <c r="A763" s="3">
        <f ca="1">IFERROR(__xludf.DUMMYFUNCTION("""COMPUTED_VALUE"""),44181.6666666666)</f>
        <v>44181.666666666599</v>
      </c>
      <c r="B763" s="1">
        <f ca="1">IFERROR(__xludf.DUMMYFUNCTION("""COMPUTED_VALUE"""),406)</f>
        <v>406</v>
      </c>
      <c r="C763">
        <f t="shared" ca="1" si="11"/>
        <v>2020</v>
      </c>
    </row>
    <row r="764" spans="1:3" x14ac:dyDescent="0.25">
      <c r="A764" s="3">
        <f ca="1">IFERROR(__xludf.DUMMYFUNCTION("""COMPUTED_VALUE"""),44180.6666666666)</f>
        <v>44180.666666666599</v>
      </c>
      <c r="B764" s="1">
        <f ca="1">IFERROR(__xludf.DUMMYFUNCTION("""COMPUTED_VALUE"""),405.2)</f>
        <v>405.2</v>
      </c>
      <c r="C764">
        <f t="shared" ca="1" si="11"/>
        <v>2020</v>
      </c>
    </row>
    <row r="765" spans="1:3" x14ac:dyDescent="0.25">
      <c r="A765" s="3">
        <f ca="1">IFERROR(__xludf.DUMMYFUNCTION("""COMPUTED_VALUE"""),44179.6666666666)</f>
        <v>44179.666666666599</v>
      </c>
      <c r="B765" s="1">
        <f ca="1">IFERROR(__xludf.DUMMYFUNCTION("""COMPUTED_VALUE"""),406)</f>
        <v>406</v>
      </c>
      <c r="C765">
        <f t="shared" ca="1" si="11"/>
        <v>2020</v>
      </c>
    </row>
    <row r="766" spans="1:3" x14ac:dyDescent="0.25">
      <c r="A766" s="3">
        <f ca="1">IFERROR(__xludf.DUMMYFUNCTION("""COMPUTED_VALUE"""),44176.6666666666)</f>
        <v>44176.666666666599</v>
      </c>
      <c r="B766" s="1">
        <f ca="1">IFERROR(__xludf.DUMMYFUNCTION("""COMPUTED_VALUE"""),402.4)</f>
        <v>402.4</v>
      </c>
      <c r="C766">
        <f t="shared" ca="1" si="11"/>
        <v>2020</v>
      </c>
    </row>
    <row r="767" spans="1:3" x14ac:dyDescent="0.25">
      <c r="A767" s="3">
        <f ca="1">IFERROR(__xludf.DUMMYFUNCTION("""COMPUTED_VALUE"""),44175.6666666666)</f>
        <v>44175.666666666599</v>
      </c>
      <c r="B767" s="1">
        <f ca="1">IFERROR(__xludf.DUMMYFUNCTION("""COMPUTED_VALUE"""),402.8)</f>
        <v>402.8</v>
      </c>
      <c r="C767">
        <f t="shared" ca="1" si="11"/>
        <v>2020</v>
      </c>
    </row>
    <row r="768" spans="1:3" x14ac:dyDescent="0.25">
      <c r="A768" s="3">
        <f ca="1">IFERROR(__xludf.DUMMYFUNCTION("""COMPUTED_VALUE"""),44174.6666666666)</f>
        <v>44174.666666666599</v>
      </c>
      <c r="B768" s="1">
        <f ca="1">IFERROR(__xludf.DUMMYFUNCTION("""COMPUTED_VALUE"""),402)</f>
        <v>402</v>
      </c>
      <c r="C768">
        <f t="shared" ca="1" si="11"/>
        <v>2020</v>
      </c>
    </row>
    <row r="769" spans="1:3" x14ac:dyDescent="0.25">
      <c r="A769" s="3">
        <f ca="1">IFERROR(__xludf.DUMMYFUNCTION("""COMPUTED_VALUE"""),44173.6666666666)</f>
        <v>44173.666666666599</v>
      </c>
      <c r="B769" s="1">
        <f ca="1">IFERROR(__xludf.DUMMYFUNCTION("""COMPUTED_VALUE"""),404)</f>
        <v>404</v>
      </c>
      <c r="C769">
        <f t="shared" ca="1" si="11"/>
        <v>2020</v>
      </c>
    </row>
    <row r="770" spans="1:3" x14ac:dyDescent="0.25">
      <c r="A770" s="3">
        <f ca="1">IFERROR(__xludf.DUMMYFUNCTION("""COMPUTED_VALUE"""),44172.6666666666)</f>
        <v>44172.666666666599</v>
      </c>
      <c r="B770" s="1">
        <f ca="1">IFERROR(__xludf.DUMMYFUNCTION("""COMPUTED_VALUE"""),408)</f>
        <v>408</v>
      </c>
      <c r="C770">
        <f t="shared" ref="C770:C795" ca="1" si="12">YEAR(A770)</f>
        <v>2020</v>
      </c>
    </row>
    <row r="771" spans="1:3" x14ac:dyDescent="0.25">
      <c r="A771" s="3">
        <f ca="1">IFERROR(__xludf.DUMMYFUNCTION("""COMPUTED_VALUE"""),44169.6666666666)</f>
        <v>44169.666666666599</v>
      </c>
      <c r="B771" s="1">
        <f ca="1">IFERROR(__xludf.DUMMYFUNCTION("""COMPUTED_VALUE"""),410.8)</f>
        <v>410.8</v>
      </c>
      <c r="C771">
        <f t="shared" ca="1" si="12"/>
        <v>2020</v>
      </c>
    </row>
    <row r="772" spans="1:3" x14ac:dyDescent="0.25">
      <c r="A772" s="3">
        <f ca="1">IFERROR(__xludf.DUMMYFUNCTION("""COMPUTED_VALUE"""),44168.6666666666)</f>
        <v>44168.666666666599</v>
      </c>
      <c r="B772" s="1">
        <f ca="1">IFERROR(__xludf.DUMMYFUNCTION("""COMPUTED_VALUE"""),408.8)</f>
        <v>408.8</v>
      </c>
      <c r="C772">
        <f t="shared" ca="1" si="12"/>
        <v>2020</v>
      </c>
    </row>
    <row r="773" spans="1:3" x14ac:dyDescent="0.25">
      <c r="A773" s="3">
        <f ca="1">IFERROR(__xludf.DUMMYFUNCTION("""COMPUTED_VALUE"""),44167.6666666666)</f>
        <v>44167.666666666599</v>
      </c>
      <c r="B773" s="1">
        <f ca="1">IFERROR(__xludf.DUMMYFUNCTION("""COMPUTED_VALUE"""),406)</f>
        <v>406</v>
      </c>
      <c r="C773">
        <f t="shared" ca="1" si="12"/>
        <v>2020</v>
      </c>
    </row>
    <row r="774" spans="1:3" x14ac:dyDescent="0.25">
      <c r="A774" s="3">
        <f ca="1">IFERROR(__xludf.DUMMYFUNCTION("""COMPUTED_VALUE"""),44166.6666666666)</f>
        <v>44166.666666666599</v>
      </c>
      <c r="B774" s="1">
        <f ca="1">IFERROR(__xludf.DUMMYFUNCTION("""COMPUTED_VALUE"""),405.2)</f>
        <v>405.2</v>
      </c>
      <c r="C774">
        <f t="shared" ca="1" si="12"/>
        <v>2020</v>
      </c>
    </row>
    <row r="775" spans="1:3" x14ac:dyDescent="0.25">
      <c r="A775" s="3">
        <f ca="1">IFERROR(__xludf.DUMMYFUNCTION("""COMPUTED_VALUE"""),44165.6666666666)</f>
        <v>44165.666666666599</v>
      </c>
      <c r="B775" s="1">
        <f ca="1">IFERROR(__xludf.DUMMYFUNCTION("""COMPUTED_VALUE"""),406)</f>
        <v>406</v>
      </c>
      <c r="C775">
        <f t="shared" ca="1" si="12"/>
        <v>2020</v>
      </c>
    </row>
    <row r="776" spans="1:3" x14ac:dyDescent="0.25">
      <c r="A776" s="3">
        <f ca="1">IFERROR(__xludf.DUMMYFUNCTION("""COMPUTED_VALUE"""),44162.6666666666)</f>
        <v>44162.666666666599</v>
      </c>
      <c r="B776" s="1">
        <f ca="1">IFERROR(__xludf.DUMMYFUNCTION("""COMPUTED_VALUE"""),410)</f>
        <v>410</v>
      </c>
      <c r="C776">
        <f t="shared" ca="1" si="12"/>
        <v>2020</v>
      </c>
    </row>
    <row r="777" spans="1:3" x14ac:dyDescent="0.25">
      <c r="A777" s="3">
        <f ca="1">IFERROR(__xludf.DUMMYFUNCTION("""COMPUTED_VALUE"""),44160.6666666666)</f>
        <v>44160.666666666599</v>
      </c>
      <c r="B777" s="1">
        <f ca="1">IFERROR(__xludf.DUMMYFUNCTION("""COMPUTED_VALUE"""),399.2)</f>
        <v>399.2</v>
      </c>
      <c r="C777">
        <f t="shared" ca="1" si="12"/>
        <v>2020</v>
      </c>
    </row>
    <row r="778" spans="1:3" x14ac:dyDescent="0.25">
      <c r="A778" s="3">
        <f ca="1">IFERROR(__xludf.DUMMYFUNCTION("""COMPUTED_VALUE"""),44159.6666666666)</f>
        <v>44159.666666666599</v>
      </c>
      <c r="B778" s="1">
        <f ca="1">IFERROR(__xludf.DUMMYFUNCTION("""COMPUTED_VALUE"""),399.2)</f>
        <v>399.2</v>
      </c>
      <c r="C778">
        <f t="shared" ca="1" si="12"/>
        <v>2020</v>
      </c>
    </row>
    <row r="779" spans="1:3" x14ac:dyDescent="0.25">
      <c r="A779" s="3">
        <f ca="1">IFERROR(__xludf.DUMMYFUNCTION("""COMPUTED_VALUE"""),44158.6666666666)</f>
        <v>44158.666666666599</v>
      </c>
      <c r="B779" s="1">
        <f ca="1">IFERROR(__xludf.DUMMYFUNCTION("""COMPUTED_VALUE"""),398.4)</f>
        <v>398.4</v>
      </c>
      <c r="C779">
        <f t="shared" ca="1" si="12"/>
        <v>2020</v>
      </c>
    </row>
    <row r="780" spans="1:3" x14ac:dyDescent="0.25">
      <c r="A780" s="3">
        <f ca="1">IFERROR(__xludf.DUMMYFUNCTION("""COMPUTED_VALUE"""),44155.6666666666)</f>
        <v>44155.666666666599</v>
      </c>
      <c r="B780" s="1">
        <f ca="1">IFERROR(__xludf.DUMMYFUNCTION("""COMPUTED_VALUE"""),394)</f>
        <v>394</v>
      </c>
      <c r="C780">
        <f t="shared" ca="1" si="12"/>
        <v>2020</v>
      </c>
    </row>
    <row r="781" spans="1:3" x14ac:dyDescent="0.25">
      <c r="A781" s="3">
        <f ca="1">IFERROR(__xludf.DUMMYFUNCTION("""COMPUTED_VALUE"""),44154.6666666666)</f>
        <v>44154.666666666599</v>
      </c>
      <c r="B781" s="1">
        <f ca="1">IFERROR(__xludf.DUMMYFUNCTION("""COMPUTED_VALUE"""),392.8)</f>
        <v>392.8</v>
      </c>
      <c r="C781">
        <f t="shared" ca="1" si="12"/>
        <v>2020</v>
      </c>
    </row>
    <row r="782" spans="1:3" x14ac:dyDescent="0.25">
      <c r="A782" s="3">
        <f ca="1">IFERROR(__xludf.DUMMYFUNCTION("""COMPUTED_VALUE"""),44153.6666666666)</f>
        <v>44153.666666666599</v>
      </c>
      <c r="B782" s="1">
        <f ca="1">IFERROR(__xludf.DUMMYFUNCTION("""COMPUTED_VALUE"""),395.2)</f>
        <v>395.2</v>
      </c>
      <c r="C782">
        <f t="shared" ca="1" si="12"/>
        <v>2020</v>
      </c>
    </row>
    <row r="783" spans="1:3" x14ac:dyDescent="0.25">
      <c r="A783" s="3">
        <f ca="1">IFERROR(__xludf.DUMMYFUNCTION("""COMPUTED_VALUE"""),44152.6666666666)</f>
        <v>44152.666666666599</v>
      </c>
      <c r="B783" s="1">
        <f ca="1">IFERROR(__xludf.DUMMYFUNCTION("""COMPUTED_VALUE"""),394)</f>
        <v>394</v>
      </c>
      <c r="C783">
        <f t="shared" ca="1" si="12"/>
        <v>2020</v>
      </c>
    </row>
    <row r="784" spans="1:3" x14ac:dyDescent="0.25">
      <c r="A784" s="3">
        <f ca="1">IFERROR(__xludf.DUMMYFUNCTION("""COMPUTED_VALUE"""),44151.6666666666)</f>
        <v>44151.666666666599</v>
      </c>
      <c r="B784" s="1">
        <f ca="1">IFERROR(__xludf.DUMMYFUNCTION("""COMPUTED_VALUE"""),392.8)</f>
        <v>392.8</v>
      </c>
      <c r="C784">
        <f t="shared" ca="1" si="12"/>
        <v>2020</v>
      </c>
    </row>
    <row r="785" spans="1:3" x14ac:dyDescent="0.25">
      <c r="A785" s="3">
        <f ca="1">IFERROR(__xludf.DUMMYFUNCTION("""COMPUTED_VALUE"""),44147.6666666666)</f>
        <v>44147.666666666599</v>
      </c>
      <c r="B785" s="1">
        <f ca="1">IFERROR(__xludf.DUMMYFUNCTION("""COMPUTED_VALUE"""),392.4)</f>
        <v>392.4</v>
      </c>
      <c r="C785">
        <f t="shared" ca="1" si="12"/>
        <v>2020</v>
      </c>
    </row>
    <row r="786" spans="1:3" x14ac:dyDescent="0.25">
      <c r="A786" s="3">
        <f ca="1">IFERROR(__xludf.DUMMYFUNCTION("""COMPUTED_VALUE"""),44146.6666666666)</f>
        <v>44146.666666666599</v>
      </c>
      <c r="B786" s="1">
        <f ca="1">IFERROR(__xludf.DUMMYFUNCTION("""COMPUTED_VALUE"""),392)</f>
        <v>392</v>
      </c>
      <c r="C786">
        <f t="shared" ca="1" si="12"/>
        <v>2020</v>
      </c>
    </row>
    <row r="787" spans="1:3" x14ac:dyDescent="0.25">
      <c r="A787" s="3">
        <f ca="1">IFERROR(__xludf.DUMMYFUNCTION("""COMPUTED_VALUE"""),44145.6666666666)</f>
        <v>44145.666666666599</v>
      </c>
      <c r="B787" s="1">
        <f ca="1">IFERROR(__xludf.DUMMYFUNCTION("""COMPUTED_VALUE"""),391.2)</f>
        <v>391.2</v>
      </c>
      <c r="C787">
        <f t="shared" ca="1" si="12"/>
        <v>2020</v>
      </c>
    </row>
    <row r="788" spans="1:3" x14ac:dyDescent="0.25">
      <c r="A788" s="3">
        <f ca="1">IFERROR(__xludf.DUMMYFUNCTION("""COMPUTED_VALUE"""),44144.6666666666)</f>
        <v>44144.666666666599</v>
      </c>
      <c r="B788" s="1">
        <f ca="1">IFERROR(__xludf.DUMMYFUNCTION("""COMPUTED_VALUE"""),394)</f>
        <v>394</v>
      </c>
      <c r="C788">
        <f t="shared" ca="1" si="12"/>
        <v>2020</v>
      </c>
    </row>
    <row r="789" spans="1:3" x14ac:dyDescent="0.25">
      <c r="A789" s="3">
        <f ca="1">IFERROR(__xludf.DUMMYFUNCTION("""COMPUTED_VALUE"""),44141.6666666666)</f>
        <v>44141.666666666599</v>
      </c>
      <c r="B789" s="1">
        <f ca="1">IFERROR(__xludf.DUMMYFUNCTION("""COMPUTED_VALUE"""),392)</f>
        <v>392</v>
      </c>
      <c r="C789">
        <f t="shared" ca="1" si="12"/>
        <v>2020</v>
      </c>
    </row>
    <row r="790" spans="1:3" x14ac:dyDescent="0.25">
      <c r="A790" s="3">
        <f ca="1">IFERROR(__xludf.DUMMYFUNCTION("""COMPUTED_VALUE"""),44139.6666666666)</f>
        <v>44139.666666666599</v>
      </c>
      <c r="B790" s="1">
        <f ca="1">IFERROR(__xludf.DUMMYFUNCTION("""COMPUTED_VALUE"""),392)</f>
        <v>392</v>
      </c>
      <c r="C790">
        <f t="shared" ca="1" si="12"/>
        <v>2020</v>
      </c>
    </row>
    <row r="791" spans="1:3" x14ac:dyDescent="0.25">
      <c r="A791" s="3">
        <f ca="1">IFERROR(__xludf.DUMMYFUNCTION("""COMPUTED_VALUE"""),44134.6666666666)</f>
        <v>44134.666666666599</v>
      </c>
      <c r="B791" s="1">
        <f ca="1">IFERROR(__xludf.DUMMYFUNCTION("""COMPUTED_VALUE"""),392)</f>
        <v>392</v>
      </c>
      <c r="C791">
        <f t="shared" ca="1" si="12"/>
        <v>2020</v>
      </c>
    </row>
    <row r="792" spans="1:3" x14ac:dyDescent="0.25">
      <c r="A792" s="3">
        <f ca="1">IFERROR(__xludf.DUMMYFUNCTION("""COMPUTED_VALUE"""),44132.6666666666)</f>
        <v>44132.666666666599</v>
      </c>
      <c r="B792" s="1">
        <f ca="1">IFERROR(__xludf.DUMMYFUNCTION("""COMPUTED_VALUE"""),395.6)</f>
        <v>395.6</v>
      </c>
      <c r="C792">
        <f t="shared" ca="1" si="12"/>
        <v>2020</v>
      </c>
    </row>
    <row r="793" spans="1:3" x14ac:dyDescent="0.25">
      <c r="A793" s="3">
        <f ca="1">IFERROR(__xludf.DUMMYFUNCTION("""COMPUTED_VALUE"""),44130.6666666666)</f>
        <v>44130.666666666599</v>
      </c>
      <c r="B793" s="1">
        <f ca="1">IFERROR(__xludf.DUMMYFUNCTION("""COMPUTED_VALUE"""),390)</f>
        <v>390</v>
      </c>
      <c r="C793">
        <f t="shared" ca="1" si="12"/>
        <v>2020</v>
      </c>
    </row>
    <row r="794" spans="1:3" x14ac:dyDescent="0.25">
      <c r="A794" s="3">
        <f ca="1">IFERROR(__xludf.DUMMYFUNCTION("""COMPUTED_VALUE"""),44126.6666666666)</f>
        <v>44126.666666666599</v>
      </c>
      <c r="B794" s="1">
        <f ca="1">IFERROR(__xludf.DUMMYFUNCTION("""COMPUTED_VALUE"""),392.8)</f>
        <v>392.8</v>
      </c>
      <c r="C794">
        <f t="shared" ca="1" si="12"/>
        <v>2020</v>
      </c>
    </row>
    <row r="795" spans="1:3" x14ac:dyDescent="0.25">
      <c r="A795" s="3">
        <f ca="1">IFERROR(__xludf.DUMMYFUNCTION("""COMPUTED_VALUE"""),44125.6666666666)</f>
        <v>44125.666666666599</v>
      </c>
      <c r="B795" s="1">
        <f ca="1">IFERROR(__xludf.DUMMYFUNCTION("""COMPUTED_VALUE"""),392)</f>
        <v>392</v>
      </c>
      <c r="C795">
        <f t="shared" ca="1" si="12"/>
        <v>2020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65CD-E0F9-4AB5-BFC9-DF6A7040510A}">
  <dimension ref="A1:C15"/>
  <sheetViews>
    <sheetView workbookViewId="0">
      <selection activeCell="A2" sqref="A2"/>
    </sheetView>
  </sheetViews>
  <sheetFormatPr defaultRowHeight="13.2" x14ac:dyDescent="0.25"/>
  <cols>
    <col min="1" max="1" width="16.77734375" style="13" bestFit="1" customWidth="1"/>
    <col min="2" max="2" width="15.33203125" bestFit="1" customWidth="1"/>
  </cols>
  <sheetData>
    <row r="1" spans="1:3" ht="14.4" thickBot="1" x14ac:dyDescent="0.3">
      <c r="A1" s="11" t="s">
        <v>66</v>
      </c>
      <c r="B1" s="9" t="s">
        <v>79</v>
      </c>
      <c r="C1" t="s">
        <v>22</v>
      </c>
    </row>
    <row r="2" spans="1:3" ht="14.4" thickBot="1" x14ac:dyDescent="0.3">
      <c r="A2" s="16">
        <v>41395</v>
      </c>
      <c r="B2" s="10" t="s">
        <v>67</v>
      </c>
      <c r="C2">
        <f>YEAR(A2)</f>
        <v>2013</v>
      </c>
    </row>
    <row r="3" spans="1:3" ht="14.4" thickBot="1" x14ac:dyDescent="0.3">
      <c r="A3" s="12">
        <v>41913</v>
      </c>
      <c r="B3" s="10" t="s">
        <v>95</v>
      </c>
      <c r="C3">
        <f t="shared" ref="C3:C15" si="0">YEAR(A3)</f>
        <v>2014</v>
      </c>
    </row>
    <row r="4" spans="1:3" ht="14.4" thickBot="1" x14ac:dyDescent="0.3">
      <c r="A4" s="12">
        <v>42156</v>
      </c>
      <c r="B4" s="10" t="s">
        <v>68</v>
      </c>
      <c r="C4">
        <f t="shared" si="0"/>
        <v>2015</v>
      </c>
    </row>
    <row r="5" spans="1:3" ht="14.4" thickBot="1" x14ac:dyDescent="0.3">
      <c r="A5" s="12">
        <v>42644</v>
      </c>
      <c r="B5" s="10" t="s">
        <v>69</v>
      </c>
      <c r="C5">
        <f t="shared" si="0"/>
        <v>2016</v>
      </c>
    </row>
    <row r="6" spans="1:3" ht="14.4" thickBot="1" x14ac:dyDescent="0.3">
      <c r="A6" s="12">
        <v>42948</v>
      </c>
      <c r="B6" s="10" t="s">
        <v>70</v>
      </c>
      <c r="C6">
        <f t="shared" si="0"/>
        <v>2017</v>
      </c>
    </row>
    <row r="7" spans="1:3" ht="14.4" thickBot="1" x14ac:dyDescent="0.3">
      <c r="A7" s="12">
        <v>43466</v>
      </c>
      <c r="B7" s="10" t="s">
        <v>71</v>
      </c>
      <c r="C7">
        <f t="shared" si="0"/>
        <v>2019</v>
      </c>
    </row>
    <row r="8" spans="1:3" ht="14.4" thickBot="1" x14ac:dyDescent="0.3">
      <c r="A8" s="12">
        <v>43678</v>
      </c>
      <c r="B8" s="10" t="s">
        <v>72</v>
      </c>
      <c r="C8">
        <f t="shared" si="0"/>
        <v>2019</v>
      </c>
    </row>
    <row r="9" spans="1:3" ht="14.4" thickBot="1" x14ac:dyDescent="0.3">
      <c r="A9" s="12">
        <v>43709</v>
      </c>
      <c r="B9" s="10" t="s">
        <v>73</v>
      </c>
      <c r="C9">
        <f t="shared" si="0"/>
        <v>2019</v>
      </c>
    </row>
    <row r="10" spans="1:3" ht="14.4" thickBot="1" x14ac:dyDescent="0.3">
      <c r="A10" s="12">
        <v>43739</v>
      </c>
      <c r="B10" s="10" t="s">
        <v>74</v>
      </c>
      <c r="C10">
        <f t="shared" si="0"/>
        <v>2019</v>
      </c>
    </row>
    <row r="11" spans="1:3" ht="14.4" thickBot="1" x14ac:dyDescent="0.3">
      <c r="A11" s="12">
        <v>43800</v>
      </c>
      <c r="B11" s="10" t="s">
        <v>75</v>
      </c>
      <c r="C11">
        <f t="shared" si="0"/>
        <v>2019</v>
      </c>
    </row>
    <row r="12" spans="1:3" ht="14.4" thickBot="1" x14ac:dyDescent="0.3">
      <c r="A12" s="12">
        <v>43891</v>
      </c>
      <c r="B12" s="10" t="s">
        <v>76</v>
      </c>
      <c r="C12">
        <f t="shared" si="0"/>
        <v>2020</v>
      </c>
    </row>
    <row r="13" spans="1:3" ht="14.4" thickBot="1" x14ac:dyDescent="0.3">
      <c r="A13" s="12">
        <v>44256</v>
      </c>
      <c r="B13" s="10" t="s">
        <v>77</v>
      </c>
      <c r="C13">
        <f t="shared" si="0"/>
        <v>2021</v>
      </c>
    </row>
    <row r="14" spans="1:3" ht="14.4" thickBot="1" x14ac:dyDescent="0.3">
      <c r="A14" s="12">
        <v>44470</v>
      </c>
      <c r="B14" s="10" t="s">
        <v>77</v>
      </c>
      <c r="C14">
        <f t="shared" si="0"/>
        <v>2021</v>
      </c>
    </row>
    <row r="15" spans="1:3" ht="14.4" thickBot="1" x14ac:dyDescent="0.3">
      <c r="A15" s="12">
        <v>45139</v>
      </c>
      <c r="B15" s="10" t="s">
        <v>78</v>
      </c>
      <c r="C15">
        <f t="shared" si="0"/>
        <v>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EC1C-5616-4F7B-932A-146B1D16F25C}">
  <dimension ref="A1:B4"/>
  <sheetViews>
    <sheetView workbookViewId="0">
      <selection activeCell="B2" sqref="B2"/>
    </sheetView>
  </sheetViews>
  <sheetFormatPr defaultRowHeight="13.2" x14ac:dyDescent="0.25"/>
  <cols>
    <col min="1" max="1" width="11.109375" bestFit="1" customWidth="1"/>
    <col min="2" max="2" width="13" customWidth="1"/>
  </cols>
  <sheetData>
    <row r="1" spans="1:2" x14ac:dyDescent="0.25">
      <c r="A1" s="8" t="s">
        <v>22</v>
      </c>
      <c r="B1" t="s">
        <v>81</v>
      </c>
    </row>
    <row r="2" spans="1:2" x14ac:dyDescent="0.25">
      <c r="A2">
        <v>2019</v>
      </c>
      <c r="B2">
        <v>2400</v>
      </c>
    </row>
    <row r="3" spans="1:2" x14ac:dyDescent="0.25">
      <c r="A3">
        <v>2020</v>
      </c>
      <c r="B3">
        <v>850</v>
      </c>
    </row>
    <row r="4" spans="1:2" x14ac:dyDescent="0.25">
      <c r="A4">
        <v>2023</v>
      </c>
      <c r="B4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E260-31F2-400C-92E0-38CC22CF3166}">
  <dimension ref="A1:C149"/>
  <sheetViews>
    <sheetView workbookViewId="0">
      <selection activeCell="C3" sqref="C3"/>
    </sheetView>
  </sheetViews>
  <sheetFormatPr defaultRowHeight="13.2" x14ac:dyDescent="0.25"/>
  <cols>
    <col min="1" max="1" width="18.21875" style="2" bestFit="1" customWidth="1"/>
  </cols>
  <sheetData>
    <row r="1" spans="1:3" x14ac:dyDescent="0.25">
      <c r="A1" s="3" t="s">
        <v>66</v>
      </c>
      <c r="B1" s="1" t="s">
        <v>80</v>
      </c>
      <c r="C1" t="s">
        <v>22</v>
      </c>
    </row>
    <row r="2" spans="1:3" x14ac:dyDescent="0.25">
      <c r="A2" s="3">
        <f ca="1">IFERROR(__xludf.DUMMYFUNCTION("""COMPUTED_VALUE"""),45233.5833333333)</f>
        <v>45233.583333333299</v>
      </c>
      <c r="B2" s="1">
        <f ca="1">IFERROR(__xludf.DUMMYFUNCTION("""COMPUTED_VALUE"""),19.3)</f>
        <v>19.3</v>
      </c>
      <c r="C2">
        <f t="shared" ref="C2:C33" ca="1" si="0">YEAR(A2)</f>
        <v>2023</v>
      </c>
    </row>
    <row r="3" spans="1:3" x14ac:dyDescent="0.25">
      <c r="A3" s="3">
        <f ca="1">IFERROR(__xludf.DUMMYFUNCTION("""COMPUTED_VALUE"""),45229.5833333333)</f>
        <v>45229.583333333299</v>
      </c>
      <c r="B3" s="1">
        <f ca="1">IFERROR(__xludf.DUMMYFUNCTION("""COMPUTED_VALUE"""),42)</f>
        <v>42</v>
      </c>
      <c r="C3">
        <f t="shared" ca="1" si="0"/>
        <v>2023</v>
      </c>
    </row>
    <row r="4" spans="1:3" x14ac:dyDescent="0.25">
      <c r="A4" s="3">
        <f ca="1">IFERROR(__xludf.DUMMYFUNCTION("""COMPUTED_VALUE"""),45223.5833333333)</f>
        <v>45223.583333333299</v>
      </c>
      <c r="B4" s="1">
        <f ca="1">IFERROR(__xludf.DUMMYFUNCTION("""COMPUTED_VALUE"""),35.05)</f>
        <v>35.049999999999997</v>
      </c>
      <c r="C4">
        <f t="shared" ca="1" si="0"/>
        <v>2023</v>
      </c>
    </row>
    <row r="5" spans="1:3" x14ac:dyDescent="0.25">
      <c r="A5" s="3">
        <f ca="1">IFERROR(__xludf.DUMMYFUNCTION("""COMPUTED_VALUE"""),45218.5833333333)</f>
        <v>45218.583333333299</v>
      </c>
      <c r="B5" s="1">
        <f ca="1">IFERROR(__xludf.DUMMYFUNCTION("""COMPUTED_VALUE"""),40.01)</f>
        <v>40.01</v>
      </c>
      <c r="C5">
        <f t="shared" ca="1" si="0"/>
        <v>2023</v>
      </c>
    </row>
    <row r="6" spans="1:3" x14ac:dyDescent="0.25">
      <c r="A6" s="3">
        <f ca="1">IFERROR(__xludf.DUMMYFUNCTION("""COMPUTED_VALUE"""),45215.5833333333)</f>
        <v>45215.583333333299</v>
      </c>
      <c r="B6" s="1">
        <f ca="1">IFERROR(__xludf.DUMMYFUNCTION("""COMPUTED_VALUE"""),45)</f>
        <v>45</v>
      </c>
      <c r="C6">
        <f t="shared" ca="1" si="0"/>
        <v>2023</v>
      </c>
    </row>
    <row r="7" spans="1:3" x14ac:dyDescent="0.25">
      <c r="A7" s="3">
        <f ca="1">IFERROR(__xludf.DUMMYFUNCTION("""COMPUTED_VALUE"""),45205.5833333333)</f>
        <v>45205.583333333299</v>
      </c>
      <c r="B7" s="1">
        <f ca="1">IFERROR(__xludf.DUMMYFUNCTION("""COMPUTED_VALUE"""),45)</f>
        <v>45</v>
      </c>
      <c r="C7">
        <f t="shared" ca="1" si="0"/>
        <v>2023</v>
      </c>
    </row>
    <row r="8" spans="1:3" x14ac:dyDescent="0.25">
      <c r="A8" s="3">
        <f ca="1">IFERROR(__xludf.DUMMYFUNCTION("""COMPUTED_VALUE"""),45197.5833333333)</f>
        <v>45197.583333333299</v>
      </c>
      <c r="B8" s="1">
        <f ca="1">IFERROR(__xludf.DUMMYFUNCTION("""COMPUTED_VALUE"""),51.5)</f>
        <v>51.5</v>
      </c>
      <c r="C8">
        <f t="shared" ca="1" si="0"/>
        <v>2023</v>
      </c>
    </row>
    <row r="9" spans="1:3" x14ac:dyDescent="0.25">
      <c r="A9" s="3">
        <f ca="1">IFERROR(__xludf.DUMMYFUNCTION("""COMPUTED_VALUE"""),45188.5833333333)</f>
        <v>45188.583333333299</v>
      </c>
      <c r="B9" s="1">
        <f ca="1">IFERROR(__xludf.DUMMYFUNCTION("""COMPUTED_VALUE"""),72)</f>
        <v>72</v>
      </c>
      <c r="C9">
        <f t="shared" ca="1" si="0"/>
        <v>2023</v>
      </c>
    </row>
    <row r="10" spans="1:3" x14ac:dyDescent="0.25">
      <c r="A10" s="3">
        <f ca="1">IFERROR(__xludf.DUMMYFUNCTION("""COMPUTED_VALUE"""),45183.5833333333)</f>
        <v>45183.583333333299</v>
      </c>
      <c r="B10" s="1">
        <f ca="1">IFERROR(__xludf.DUMMYFUNCTION("""COMPUTED_VALUE"""),75)</f>
        <v>75</v>
      </c>
      <c r="C10">
        <f t="shared" ca="1" si="0"/>
        <v>2023</v>
      </c>
    </row>
    <row r="11" spans="1:3" x14ac:dyDescent="0.25">
      <c r="A11" s="3">
        <f ca="1">IFERROR(__xludf.DUMMYFUNCTION("""COMPUTED_VALUE"""),45182.5833333333)</f>
        <v>45182.583333333299</v>
      </c>
      <c r="B11" s="1">
        <f ca="1">IFERROR(__xludf.DUMMYFUNCTION("""COMPUTED_VALUE"""),92.5)</f>
        <v>92.5</v>
      </c>
      <c r="C11">
        <f t="shared" ca="1" si="0"/>
        <v>2023</v>
      </c>
    </row>
    <row r="12" spans="1:3" x14ac:dyDescent="0.25">
      <c r="A12" s="3">
        <f ca="1">IFERROR(__xludf.DUMMYFUNCTION("""COMPUTED_VALUE"""),45181.5833333333)</f>
        <v>45181.583333333299</v>
      </c>
      <c r="B12" s="1">
        <f ca="1">IFERROR(__xludf.DUMMYFUNCTION("""COMPUTED_VALUE"""),76)</f>
        <v>76</v>
      </c>
      <c r="C12">
        <f t="shared" ca="1" si="0"/>
        <v>2023</v>
      </c>
    </row>
    <row r="13" spans="1:3" x14ac:dyDescent="0.25">
      <c r="A13" s="3">
        <f ca="1">IFERROR(__xludf.DUMMYFUNCTION("""COMPUTED_VALUE"""),45177.5833333333)</f>
        <v>45177.583333333299</v>
      </c>
      <c r="B13" s="1">
        <f ca="1">IFERROR(__xludf.DUMMYFUNCTION("""COMPUTED_VALUE"""),56.4)</f>
        <v>56.4</v>
      </c>
      <c r="C13">
        <f t="shared" ca="1" si="0"/>
        <v>2023</v>
      </c>
    </row>
    <row r="14" spans="1:3" x14ac:dyDescent="0.25">
      <c r="A14" s="3">
        <f ca="1">IFERROR(__xludf.DUMMYFUNCTION("""COMPUTED_VALUE"""),45176.5833333333)</f>
        <v>45176.583333333299</v>
      </c>
      <c r="B14" s="1">
        <f ca="1">IFERROR(__xludf.DUMMYFUNCTION("""COMPUTED_VALUE"""),56.99)</f>
        <v>56.99</v>
      </c>
      <c r="C14">
        <f t="shared" ca="1" si="0"/>
        <v>2023</v>
      </c>
    </row>
    <row r="15" spans="1:3" x14ac:dyDescent="0.25">
      <c r="A15" s="3">
        <f ca="1">IFERROR(__xludf.DUMMYFUNCTION("""COMPUTED_VALUE"""),45174.5833333333)</f>
        <v>45174.583333333299</v>
      </c>
      <c r="B15" s="1">
        <f ca="1">IFERROR(__xludf.DUMMYFUNCTION("""COMPUTED_VALUE"""),75.57)</f>
        <v>75.569999999999993</v>
      </c>
      <c r="C15">
        <f t="shared" ca="1" si="0"/>
        <v>2023</v>
      </c>
    </row>
    <row r="16" spans="1:3" x14ac:dyDescent="0.25">
      <c r="A16" s="3">
        <f ca="1">IFERROR(__xludf.DUMMYFUNCTION("""COMPUTED_VALUE"""),45169.5833333333)</f>
        <v>45169.583333333299</v>
      </c>
      <c r="B16" s="1">
        <f ca="1">IFERROR(__xludf.DUMMYFUNCTION("""COMPUTED_VALUE"""),78)</f>
        <v>78</v>
      </c>
      <c r="C16">
        <f t="shared" ca="1" si="0"/>
        <v>2023</v>
      </c>
    </row>
    <row r="17" spans="1:3" x14ac:dyDescent="0.25">
      <c r="A17" s="3">
        <f ca="1">IFERROR(__xludf.DUMMYFUNCTION("""COMPUTED_VALUE"""),45163.5833333333)</f>
        <v>45163.583333333299</v>
      </c>
      <c r="B17" s="1">
        <f ca="1">IFERROR(__xludf.DUMMYFUNCTION("""COMPUTED_VALUE"""),103.6)</f>
        <v>103.6</v>
      </c>
      <c r="C17">
        <f t="shared" ca="1" si="0"/>
        <v>2023</v>
      </c>
    </row>
    <row r="18" spans="1:3" x14ac:dyDescent="0.25">
      <c r="A18" s="3">
        <f ca="1">IFERROR(__xludf.DUMMYFUNCTION("""COMPUTED_VALUE"""),45162.5833333333)</f>
        <v>45162.583333333299</v>
      </c>
      <c r="B18" s="1">
        <f ca="1">IFERROR(__xludf.DUMMYFUNCTION("""COMPUTED_VALUE"""),95.6)</f>
        <v>95.6</v>
      </c>
      <c r="C18">
        <f t="shared" ca="1" si="0"/>
        <v>2023</v>
      </c>
    </row>
    <row r="19" spans="1:3" x14ac:dyDescent="0.25">
      <c r="A19" s="3">
        <f ca="1">IFERROR(__xludf.DUMMYFUNCTION("""COMPUTED_VALUE"""),45161.5833333333)</f>
        <v>45161.583333333299</v>
      </c>
      <c r="B19" s="1">
        <f ca="1">IFERROR(__xludf.DUMMYFUNCTION("""COMPUTED_VALUE"""),96)</f>
        <v>96</v>
      </c>
      <c r="C19">
        <f t="shared" ca="1" si="0"/>
        <v>2023</v>
      </c>
    </row>
    <row r="20" spans="1:3" x14ac:dyDescent="0.25">
      <c r="A20" s="3">
        <f ca="1">IFERROR(__xludf.DUMMYFUNCTION("""COMPUTED_VALUE"""),45159.5833333333)</f>
        <v>45159.583333333299</v>
      </c>
      <c r="B20" s="1">
        <f ca="1">IFERROR(__xludf.DUMMYFUNCTION("""COMPUTED_VALUE"""),82)</f>
        <v>82</v>
      </c>
      <c r="C20">
        <f t="shared" ca="1" si="0"/>
        <v>2023</v>
      </c>
    </row>
    <row r="21" spans="1:3" x14ac:dyDescent="0.25">
      <c r="A21" s="3">
        <f ca="1">IFERROR(__xludf.DUMMYFUNCTION("""COMPUTED_VALUE"""),45156.5833333333)</f>
        <v>45156.583333333299</v>
      </c>
      <c r="B21" s="1">
        <f ca="1">IFERROR(__xludf.DUMMYFUNCTION("""COMPUTED_VALUE"""),98)</f>
        <v>98</v>
      </c>
      <c r="C21">
        <f t="shared" ca="1" si="0"/>
        <v>2023</v>
      </c>
    </row>
    <row r="22" spans="1:3" x14ac:dyDescent="0.25">
      <c r="A22" s="3">
        <f ca="1">IFERROR(__xludf.DUMMYFUNCTION("""COMPUTED_VALUE"""),45154.5833333333)</f>
        <v>45154.583333333299</v>
      </c>
      <c r="B22" s="1">
        <f ca="1">IFERROR(__xludf.DUMMYFUNCTION("""COMPUTED_VALUE"""),116)</f>
        <v>116</v>
      </c>
      <c r="C22">
        <f t="shared" ca="1" si="0"/>
        <v>2023</v>
      </c>
    </row>
    <row r="23" spans="1:3" x14ac:dyDescent="0.25">
      <c r="A23" s="3">
        <f ca="1">IFERROR(__xludf.DUMMYFUNCTION("""COMPUTED_VALUE"""),45153.5833333333)</f>
        <v>45153.583333333299</v>
      </c>
      <c r="B23" s="1">
        <f ca="1">IFERROR(__xludf.DUMMYFUNCTION("""COMPUTED_VALUE"""),132)</f>
        <v>132</v>
      </c>
      <c r="C23">
        <f t="shared" ca="1" si="0"/>
        <v>2023</v>
      </c>
    </row>
    <row r="24" spans="1:3" x14ac:dyDescent="0.25">
      <c r="A24" s="3">
        <f ca="1">IFERROR(__xludf.DUMMYFUNCTION("""COMPUTED_VALUE"""),45152.5833333333)</f>
        <v>45152.583333333299</v>
      </c>
      <c r="B24" s="1">
        <f ca="1">IFERROR(__xludf.DUMMYFUNCTION("""COMPUTED_VALUE"""),156)</f>
        <v>156</v>
      </c>
      <c r="C24">
        <f t="shared" ca="1" si="0"/>
        <v>2023</v>
      </c>
    </row>
    <row r="25" spans="1:3" x14ac:dyDescent="0.25">
      <c r="A25" s="3">
        <f ca="1">IFERROR(__xludf.DUMMYFUNCTION("""COMPUTED_VALUE"""),45149.5833333333)</f>
        <v>45149.583333333299</v>
      </c>
      <c r="B25" s="1">
        <f ca="1">IFERROR(__xludf.DUMMYFUNCTION("""COMPUTED_VALUE"""),136)</f>
        <v>136</v>
      </c>
      <c r="C25">
        <f t="shared" ca="1" si="0"/>
        <v>2023</v>
      </c>
    </row>
    <row r="26" spans="1:3" x14ac:dyDescent="0.25">
      <c r="A26" s="3">
        <f ca="1">IFERROR(__xludf.DUMMYFUNCTION("""COMPUTED_VALUE"""),45148.5833333333)</f>
        <v>45148.583333333299</v>
      </c>
      <c r="B26" s="1">
        <f ca="1">IFERROR(__xludf.DUMMYFUNCTION("""COMPUTED_VALUE"""),153.2)</f>
        <v>153.19999999999999</v>
      </c>
      <c r="C26">
        <f t="shared" ca="1" si="0"/>
        <v>2023</v>
      </c>
    </row>
    <row r="27" spans="1:3" x14ac:dyDescent="0.25">
      <c r="A27" s="3">
        <f ca="1">IFERROR(__xludf.DUMMYFUNCTION("""COMPUTED_VALUE"""),45147.5833333333)</f>
        <v>45147.583333333299</v>
      </c>
      <c r="B27" s="1">
        <f ca="1">IFERROR(__xludf.DUMMYFUNCTION("""COMPUTED_VALUE"""),140)</f>
        <v>140</v>
      </c>
      <c r="C27">
        <f t="shared" ca="1" si="0"/>
        <v>2023</v>
      </c>
    </row>
    <row r="28" spans="1:3" x14ac:dyDescent="0.25">
      <c r="A28" s="3">
        <f ca="1">IFERROR(__xludf.DUMMYFUNCTION("""COMPUTED_VALUE"""),45145.5833333333)</f>
        <v>45145.583333333299</v>
      </c>
      <c r="B28" s="1">
        <f ca="1">IFERROR(__xludf.DUMMYFUNCTION("""COMPUTED_VALUE"""),166)</f>
        <v>166</v>
      </c>
      <c r="C28">
        <f t="shared" ca="1" si="0"/>
        <v>2023</v>
      </c>
    </row>
    <row r="29" spans="1:3" x14ac:dyDescent="0.25">
      <c r="A29" s="3">
        <f ca="1">IFERROR(__xludf.DUMMYFUNCTION("""COMPUTED_VALUE"""),45142.5833333333)</f>
        <v>45142.583333333299</v>
      </c>
      <c r="B29" s="1">
        <f ca="1">IFERROR(__xludf.DUMMYFUNCTION("""COMPUTED_VALUE"""),167.2)</f>
        <v>167.2</v>
      </c>
      <c r="C29">
        <f t="shared" ca="1" si="0"/>
        <v>2023</v>
      </c>
    </row>
    <row r="30" spans="1:3" x14ac:dyDescent="0.25">
      <c r="A30" s="3">
        <f ca="1">IFERROR(__xludf.DUMMYFUNCTION("""COMPUTED_VALUE"""),45141.5833333333)</f>
        <v>45141.583333333299</v>
      </c>
      <c r="B30" s="1">
        <f ca="1">IFERROR(__xludf.DUMMYFUNCTION("""COMPUTED_VALUE"""),147.2)</f>
        <v>147.19999999999999</v>
      </c>
      <c r="C30">
        <f t="shared" ca="1" si="0"/>
        <v>2023</v>
      </c>
    </row>
    <row r="31" spans="1:3" x14ac:dyDescent="0.25">
      <c r="A31" s="3">
        <f ca="1">IFERROR(__xludf.DUMMYFUNCTION("""COMPUTED_VALUE"""),45140.5833333333)</f>
        <v>45140.583333333299</v>
      </c>
      <c r="B31" s="1">
        <f ca="1">IFERROR(__xludf.DUMMYFUNCTION("""COMPUTED_VALUE"""),144.8)</f>
        <v>144.80000000000001</v>
      </c>
      <c r="C31">
        <f t="shared" ca="1" si="0"/>
        <v>2023</v>
      </c>
    </row>
    <row r="32" spans="1:3" x14ac:dyDescent="0.25">
      <c r="A32" s="3">
        <f ca="1">IFERROR(__xludf.DUMMYFUNCTION("""COMPUTED_VALUE"""),45138.5833333333)</f>
        <v>45138.583333333299</v>
      </c>
      <c r="B32" s="1">
        <f ca="1">IFERROR(__xludf.DUMMYFUNCTION("""COMPUTED_VALUE"""),163.6)</f>
        <v>163.6</v>
      </c>
      <c r="C32">
        <f t="shared" ca="1" si="0"/>
        <v>2023</v>
      </c>
    </row>
    <row r="33" spans="1:3" x14ac:dyDescent="0.25">
      <c r="A33" s="3">
        <f ca="1">IFERROR(__xludf.DUMMYFUNCTION("""COMPUTED_VALUE"""),45135.5833333333)</f>
        <v>45135.583333333299</v>
      </c>
      <c r="B33" s="1">
        <f ca="1">IFERROR(__xludf.DUMMYFUNCTION("""COMPUTED_VALUE"""),163.6)</f>
        <v>163.6</v>
      </c>
      <c r="C33">
        <f t="shared" ca="1" si="0"/>
        <v>2023</v>
      </c>
    </row>
    <row r="34" spans="1:3" x14ac:dyDescent="0.25">
      <c r="A34" s="3">
        <f ca="1">IFERROR(__xludf.DUMMYFUNCTION("""COMPUTED_VALUE"""),45134.5833333333)</f>
        <v>45134.583333333299</v>
      </c>
      <c r="B34" s="1">
        <f ca="1">IFERROR(__xludf.DUMMYFUNCTION("""COMPUTED_VALUE"""),163.6)</f>
        <v>163.6</v>
      </c>
      <c r="C34">
        <f t="shared" ref="C34:C65" ca="1" si="1">YEAR(A34)</f>
        <v>2023</v>
      </c>
    </row>
    <row r="35" spans="1:3" x14ac:dyDescent="0.25">
      <c r="A35" s="3">
        <f ca="1">IFERROR(__xludf.DUMMYFUNCTION("""COMPUTED_VALUE"""),45133.5833333333)</f>
        <v>45133.583333333299</v>
      </c>
      <c r="B35" s="1">
        <f ca="1">IFERROR(__xludf.DUMMYFUNCTION("""COMPUTED_VALUE"""),176)</f>
        <v>176</v>
      </c>
      <c r="C35">
        <f t="shared" ca="1" si="1"/>
        <v>2023</v>
      </c>
    </row>
    <row r="36" spans="1:3" x14ac:dyDescent="0.25">
      <c r="A36" s="3">
        <f ca="1">IFERROR(__xludf.DUMMYFUNCTION("""COMPUTED_VALUE"""),45132.5833333333)</f>
        <v>45132.583333333299</v>
      </c>
      <c r="B36" s="1">
        <f ca="1">IFERROR(__xludf.DUMMYFUNCTION("""COMPUTED_VALUE"""),187.2)</f>
        <v>187.2</v>
      </c>
      <c r="C36">
        <f t="shared" ca="1" si="1"/>
        <v>2023</v>
      </c>
    </row>
    <row r="37" spans="1:3" x14ac:dyDescent="0.25">
      <c r="A37" s="3">
        <f ca="1">IFERROR(__xludf.DUMMYFUNCTION("""COMPUTED_VALUE"""),45127.5833333333)</f>
        <v>45127.583333333299</v>
      </c>
      <c r="B37" s="1">
        <f ca="1">IFERROR(__xludf.DUMMYFUNCTION("""COMPUTED_VALUE"""),192)</f>
        <v>192</v>
      </c>
      <c r="C37">
        <f t="shared" ca="1" si="1"/>
        <v>2023</v>
      </c>
    </row>
    <row r="38" spans="1:3" x14ac:dyDescent="0.25">
      <c r="A38" s="3">
        <f ca="1">IFERROR(__xludf.DUMMYFUNCTION("""COMPUTED_VALUE"""),45126.5833333333)</f>
        <v>45126.583333333299</v>
      </c>
      <c r="B38" s="1">
        <f ca="1">IFERROR(__xludf.DUMMYFUNCTION("""COMPUTED_VALUE"""),198)</f>
        <v>198</v>
      </c>
      <c r="C38">
        <f t="shared" ca="1" si="1"/>
        <v>2023</v>
      </c>
    </row>
    <row r="39" spans="1:3" x14ac:dyDescent="0.25">
      <c r="A39" s="3">
        <f ca="1">IFERROR(__xludf.DUMMYFUNCTION("""COMPUTED_VALUE"""),45124.5833333333)</f>
        <v>45124.583333333299</v>
      </c>
      <c r="B39" s="1">
        <f ca="1">IFERROR(__xludf.DUMMYFUNCTION("""COMPUTED_VALUE"""),196)</f>
        <v>196</v>
      </c>
      <c r="C39">
        <f t="shared" ca="1" si="1"/>
        <v>2023</v>
      </c>
    </row>
    <row r="40" spans="1:3" x14ac:dyDescent="0.25">
      <c r="A40" s="3">
        <f ca="1">IFERROR(__xludf.DUMMYFUNCTION("""COMPUTED_VALUE"""),45121.5833333333)</f>
        <v>45121.583333333299</v>
      </c>
      <c r="B40" s="1">
        <f ca="1">IFERROR(__xludf.DUMMYFUNCTION("""COMPUTED_VALUE"""),212.8)</f>
        <v>212.8</v>
      </c>
      <c r="C40">
        <f t="shared" ca="1" si="1"/>
        <v>2023</v>
      </c>
    </row>
    <row r="41" spans="1:3" x14ac:dyDescent="0.25">
      <c r="A41" s="3">
        <f ca="1">IFERROR(__xludf.DUMMYFUNCTION("""COMPUTED_VALUE"""),45120.5833333333)</f>
        <v>45120.583333333299</v>
      </c>
      <c r="B41" s="1">
        <f ca="1">IFERROR(__xludf.DUMMYFUNCTION("""COMPUTED_VALUE"""),200)</f>
        <v>200</v>
      </c>
      <c r="C41">
        <f t="shared" ca="1" si="1"/>
        <v>2023</v>
      </c>
    </row>
    <row r="42" spans="1:3" x14ac:dyDescent="0.25">
      <c r="A42" s="3">
        <f ca="1">IFERROR(__xludf.DUMMYFUNCTION("""COMPUTED_VALUE"""),45118.5833333333)</f>
        <v>45118.583333333299</v>
      </c>
      <c r="B42" s="1">
        <f ca="1">IFERROR(__xludf.DUMMYFUNCTION("""COMPUTED_VALUE"""),180)</f>
        <v>180</v>
      </c>
      <c r="C42">
        <f t="shared" ca="1" si="1"/>
        <v>2023</v>
      </c>
    </row>
    <row r="43" spans="1:3" x14ac:dyDescent="0.25">
      <c r="A43" s="3">
        <f ca="1">IFERROR(__xludf.DUMMYFUNCTION("""COMPUTED_VALUE"""),45114.5833333333)</f>
        <v>45114.583333333299</v>
      </c>
      <c r="B43" s="1">
        <f ca="1">IFERROR(__xludf.DUMMYFUNCTION("""COMPUTED_VALUE"""),172)</f>
        <v>172</v>
      </c>
      <c r="C43">
        <f t="shared" ca="1" si="1"/>
        <v>2023</v>
      </c>
    </row>
    <row r="44" spans="1:3" x14ac:dyDescent="0.25">
      <c r="A44" s="3">
        <f ca="1">IFERROR(__xludf.DUMMYFUNCTION("""COMPUTED_VALUE"""),45113.5833333333)</f>
        <v>45113.583333333299</v>
      </c>
      <c r="B44" s="1">
        <f ca="1">IFERROR(__xludf.DUMMYFUNCTION("""COMPUTED_VALUE"""),180)</f>
        <v>180</v>
      </c>
      <c r="C44">
        <f t="shared" ca="1" si="1"/>
        <v>2023</v>
      </c>
    </row>
    <row r="45" spans="1:3" x14ac:dyDescent="0.25">
      <c r="A45" s="3">
        <f ca="1">IFERROR(__xludf.DUMMYFUNCTION("""COMPUTED_VALUE"""),45112.5833333333)</f>
        <v>45112.583333333299</v>
      </c>
      <c r="B45" s="1">
        <f ca="1">IFERROR(__xludf.DUMMYFUNCTION("""COMPUTED_VALUE"""),182)</f>
        <v>182</v>
      </c>
      <c r="C45">
        <f t="shared" ca="1" si="1"/>
        <v>2023</v>
      </c>
    </row>
    <row r="46" spans="1:3" x14ac:dyDescent="0.25">
      <c r="A46" s="3">
        <f ca="1">IFERROR(__xludf.DUMMYFUNCTION("""COMPUTED_VALUE"""),45110.5833333333)</f>
        <v>45110.583333333299</v>
      </c>
      <c r="B46" s="1">
        <f ca="1">IFERROR(__xludf.DUMMYFUNCTION("""COMPUTED_VALUE"""),182.4)</f>
        <v>182.4</v>
      </c>
      <c r="C46">
        <f t="shared" ca="1" si="1"/>
        <v>2023</v>
      </c>
    </row>
    <row r="47" spans="1:3" x14ac:dyDescent="0.25">
      <c r="A47" s="3">
        <f ca="1">IFERROR(__xludf.DUMMYFUNCTION("""COMPUTED_VALUE"""),45105.5833333333)</f>
        <v>45105.583333333299</v>
      </c>
      <c r="B47" s="1">
        <f ca="1">IFERROR(__xludf.DUMMYFUNCTION("""COMPUTED_VALUE"""),192)</f>
        <v>192</v>
      </c>
      <c r="C47">
        <f t="shared" ca="1" si="1"/>
        <v>2023</v>
      </c>
    </row>
    <row r="48" spans="1:3" x14ac:dyDescent="0.25">
      <c r="A48" s="3">
        <f ca="1">IFERROR(__xludf.DUMMYFUNCTION("""COMPUTED_VALUE"""),45104.5833333333)</f>
        <v>45104.583333333299</v>
      </c>
      <c r="B48" s="1">
        <f ca="1">IFERROR(__xludf.DUMMYFUNCTION("""COMPUTED_VALUE"""),164)</f>
        <v>164</v>
      </c>
      <c r="C48">
        <f t="shared" ca="1" si="1"/>
        <v>2023</v>
      </c>
    </row>
    <row r="49" spans="1:3" x14ac:dyDescent="0.25">
      <c r="A49" s="3">
        <f ca="1">IFERROR(__xludf.DUMMYFUNCTION("""COMPUTED_VALUE"""),45103.5833333333)</f>
        <v>45103.583333333299</v>
      </c>
      <c r="B49" s="1">
        <f ca="1">IFERROR(__xludf.DUMMYFUNCTION("""COMPUTED_VALUE"""),152)</f>
        <v>152</v>
      </c>
      <c r="C49">
        <f t="shared" ca="1" si="1"/>
        <v>2023</v>
      </c>
    </row>
    <row r="50" spans="1:3" x14ac:dyDescent="0.25">
      <c r="A50" s="3">
        <f ca="1">IFERROR(__xludf.DUMMYFUNCTION("""COMPUTED_VALUE"""),45097.5833333333)</f>
        <v>45097.583333333299</v>
      </c>
      <c r="B50" s="1">
        <f ca="1">IFERROR(__xludf.DUMMYFUNCTION("""COMPUTED_VALUE"""),176)</f>
        <v>176</v>
      </c>
      <c r="C50">
        <f t="shared" ca="1" si="1"/>
        <v>2023</v>
      </c>
    </row>
    <row r="51" spans="1:3" x14ac:dyDescent="0.25">
      <c r="A51" s="3">
        <f ca="1">IFERROR(__xludf.DUMMYFUNCTION("""COMPUTED_VALUE"""),45093.5833333333)</f>
        <v>45093.583333333299</v>
      </c>
      <c r="B51" s="1">
        <f ca="1">IFERROR(__xludf.DUMMYFUNCTION("""COMPUTED_VALUE"""),194)</f>
        <v>194</v>
      </c>
      <c r="C51">
        <f t="shared" ca="1" si="1"/>
        <v>2023</v>
      </c>
    </row>
    <row r="52" spans="1:3" x14ac:dyDescent="0.25">
      <c r="A52" s="3">
        <f ca="1">IFERROR(__xludf.DUMMYFUNCTION("""COMPUTED_VALUE"""),45091.5833333333)</f>
        <v>45091.583333333299</v>
      </c>
      <c r="B52" s="1">
        <f ca="1">IFERROR(__xludf.DUMMYFUNCTION("""COMPUTED_VALUE"""),156)</f>
        <v>156</v>
      </c>
      <c r="C52">
        <f t="shared" ca="1" si="1"/>
        <v>2023</v>
      </c>
    </row>
    <row r="53" spans="1:3" x14ac:dyDescent="0.25">
      <c r="A53" s="3">
        <f ca="1">IFERROR(__xludf.DUMMYFUNCTION("""COMPUTED_VALUE"""),45090.5833333333)</f>
        <v>45090.583333333299</v>
      </c>
      <c r="B53" s="1">
        <f ca="1">IFERROR(__xludf.DUMMYFUNCTION("""COMPUTED_VALUE"""),134.8)</f>
        <v>134.80000000000001</v>
      </c>
      <c r="C53">
        <f t="shared" ca="1" si="1"/>
        <v>2023</v>
      </c>
    </row>
    <row r="54" spans="1:3" x14ac:dyDescent="0.25">
      <c r="A54" s="3">
        <f ca="1">IFERROR(__xludf.DUMMYFUNCTION("""COMPUTED_VALUE"""),45086.5833333333)</f>
        <v>45086.583333333299</v>
      </c>
      <c r="B54" s="1">
        <f ca="1">IFERROR(__xludf.DUMMYFUNCTION("""COMPUTED_VALUE"""),141.2)</f>
        <v>141.19999999999999</v>
      </c>
      <c r="C54">
        <f t="shared" ca="1" si="1"/>
        <v>2023</v>
      </c>
    </row>
    <row r="55" spans="1:3" x14ac:dyDescent="0.25">
      <c r="A55" s="3">
        <f ca="1">IFERROR(__xludf.DUMMYFUNCTION("""COMPUTED_VALUE"""),45085.5833333333)</f>
        <v>45085.583333333299</v>
      </c>
      <c r="B55" s="1">
        <f ca="1">IFERROR(__xludf.DUMMYFUNCTION("""COMPUTED_VALUE"""),144)</f>
        <v>144</v>
      </c>
      <c r="C55">
        <f t="shared" ca="1" si="1"/>
        <v>2023</v>
      </c>
    </row>
    <row r="56" spans="1:3" x14ac:dyDescent="0.25">
      <c r="A56" s="3">
        <f ca="1">IFERROR(__xludf.DUMMYFUNCTION("""COMPUTED_VALUE"""),45082.5833333333)</f>
        <v>45082.583333333299</v>
      </c>
      <c r="B56" s="1">
        <f ca="1">IFERROR(__xludf.DUMMYFUNCTION("""COMPUTED_VALUE"""),140)</f>
        <v>140</v>
      </c>
      <c r="C56">
        <f t="shared" ca="1" si="1"/>
        <v>2023</v>
      </c>
    </row>
    <row r="57" spans="1:3" x14ac:dyDescent="0.25">
      <c r="A57" s="3">
        <f ca="1">IFERROR(__xludf.DUMMYFUNCTION("""COMPUTED_VALUE"""),45079.5833333333)</f>
        <v>45079.583333333299</v>
      </c>
      <c r="B57" s="1">
        <f ca="1">IFERROR(__xludf.DUMMYFUNCTION("""COMPUTED_VALUE"""),121.6)</f>
        <v>121.6</v>
      </c>
      <c r="C57">
        <f t="shared" ca="1" si="1"/>
        <v>2023</v>
      </c>
    </row>
    <row r="58" spans="1:3" x14ac:dyDescent="0.25">
      <c r="A58" s="3">
        <f ca="1">IFERROR(__xludf.DUMMYFUNCTION("""COMPUTED_VALUE"""),45078.5833333333)</f>
        <v>45078.583333333299</v>
      </c>
      <c r="B58" s="1">
        <f ca="1">IFERROR(__xludf.DUMMYFUNCTION("""COMPUTED_VALUE"""),128)</f>
        <v>128</v>
      </c>
      <c r="C58">
        <f t="shared" ca="1" si="1"/>
        <v>2023</v>
      </c>
    </row>
    <row r="59" spans="1:3" x14ac:dyDescent="0.25">
      <c r="A59" s="3">
        <f ca="1">IFERROR(__xludf.DUMMYFUNCTION("""COMPUTED_VALUE"""),45069.5833333333)</f>
        <v>45069.583333333299</v>
      </c>
      <c r="B59" s="1">
        <f ca="1">IFERROR(__xludf.DUMMYFUNCTION("""COMPUTED_VALUE"""),156)</f>
        <v>156</v>
      </c>
      <c r="C59">
        <f t="shared" ca="1" si="1"/>
        <v>2023</v>
      </c>
    </row>
    <row r="60" spans="1:3" x14ac:dyDescent="0.25">
      <c r="A60" s="3">
        <f ca="1">IFERROR(__xludf.DUMMYFUNCTION("""COMPUTED_VALUE"""),45065.5833333333)</f>
        <v>45065.583333333299</v>
      </c>
      <c r="B60" s="1">
        <f ca="1">IFERROR(__xludf.DUMMYFUNCTION("""COMPUTED_VALUE"""),163.2)</f>
        <v>163.19999999999999</v>
      </c>
      <c r="C60">
        <f t="shared" ca="1" si="1"/>
        <v>2023</v>
      </c>
    </row>
    <row r="61" spans="1:3" x14ac:dyDescent="0.25">
      <c r="A61" s="3">
        <f ca="1">IFERROR(__xludf.DUMMYFUNCTION("""COMPUTED_VALUE"""),45064.5833333333)</f>
        <v>45064.583333333299</v>
      </c>
      <c r="B61" s="1">
        <f ca="1">IFERROR(__xludf.DUMMYFUNCTION("""COMPUTED_VALUE"""),192)</f>
        <v>192</v>
      </c>
      <c r="C61">
        <f t="shared" ca="1" si="1"/>
        <v>2023</v>
      </c>
    </row>
    <row r="62" spans="1:3" x14ac:dyDescent="0.25">
      <c r="A62" s="3">
        <f ca="1">IFERROR(__xludf.DUMMYFUNCTION("""COMPUTED_VALUE"""),45063.5833333333)</f>
        <v>45063.583333333299</v>
      </c>
      <c r="B62" s="1">
        <f ca="1">IFERROR(__xludf.DUMMYFUNCTION("""COMPUTED_VALUE"""),192)</f>
        <v>192</v>
      </c>
      <c r="C62">
        <f t="shared" ca="1" si="1"/>
        <v>2023</v>
      </c>
    </row>
    <row r="63" spans="1:3" x14ac:dyDescent="0.25">
      <c r="A63" s="3">
        <f ca="1">IFERROR(__xludf.DUMMYFUNCTION("""COMPUTED_VALUE"""),45058.5833333333)</f>
        <v>45058.583333333299</v>
      </c>
      <c r="B63" s="1">
        <f ca="1">IFERROR(__xludf.DUMMYFUNCTION("""COMPUTED_VALUE"""),286.4)</f>
        <v>286.39999999999998</v>
      </c>
      <c r="C63">
        <f t="shared" ca="1" si="1"/>
        <v>2023</v>
      </c>
    </row>
    <row r="64" spans="1:3" x14ac:dyDescent="0.25">
      <c r="A64" s="3">
        <f ca="1">IFERROR(__xludf.DUMMYFUNCTION("""COMPUTED_VALUE"""),45056.5833333333)</f>
        <v>45056.583333333299</v>
      </c>
      <c r="B64" s="1">
        <f ca="1">IFERROR(__xludf.DUMMYFUNCTION("""COMPUTED_VALUE"""),304)</f>
        <v>304</v>
      </c>
      <c r="C64">
        <f t="shared" ca="1" si="1"/>
        <v>2023</v>
      </c>
    </row>
    <row r="65" spans="1:3" x14ac:dyDescent="0.25">
      <c r="A65" s="3">
        <f ca="1">IFERROR(__xludf.DUMMYFUNCTION("""COMPUTED_VALUE"""),45055.5833333333)</f>
        <v>45055.583333333299</v>
      </c>
      <c r="B65" s="1">
        <f ca="1">IFERROR(__xludf.DUMMYFUNCTION("""COMPUTED_VALUE"""),318)</f>
        <v>318</v>
      </c>
      <c r="C65">
        <f t="shared" ca="1" si="1"/>
        <v>2023</v>
      </c>
    </row>
    <row r="66" spans="1:3" x14ac:dyDescent="0.25">
      <c r="A66" s="3">
        <f ca="1">IFERROR(__xludf.DUMMYFUNCTION("""COMPUTED_VALUE"""),45049.5833333333)</f>
        <v>45049.583333333299</v>
      </c>
      <c r="B66" s="1">
        <f ca="1">IFERROR(__xludf.DUMMYFUNCTION("""COMPUTED_VALUE"""),292)</f>
        <v>292</v>
      </c>
      <c r="C66">
        <f t="shared" ref="C66:C97" ca="1" si="2">YEAR(A66)</f>
        <v>2023</v>
      </c>
    </row>
    <row r="67" spans="1:3" x14ac:dyDescent="0.25">
      <c r="A67" s="3">
        <f ca="1">IFERROR(__xludf.DUMMYFUNCTION("""COMPUTED_VALUE"""),45048.5833333333)</f>
        <v>45048.583333333299</v>
      </c>
      <c r="B67" s="1">
        <f ca="1">IFERROR(__xludf.DUMMYFUNCTION("""COMPUTED_VALUE"""),300)</f>
        <v>300</v>
      </c>
      <c r="C67">
        <f t="shared" ca="1" si="2"/>
        <v>2023</v>
      </c>
    </row>
    <row r="68" spans="1:3" x14ac:dyDescent="0.25">
      <c r="A68" s="3">
        <f ca="1">IFERROR(__xludf.DUMMYFUNCTION("""COMPUTED_VALUE"""),45044.5833333333)</f>
        <v>45044.583333333299</v>
      </c>
      <c r="B68" s="1">
        <f ca="1">IFERROR(__xludf.DUMMYFUNCTION("""COMPUTED_VALUE"""),310)</f>
        <v>310</v>
      </c>
      <c r="C68">
        <f t="shared" ca="1" si="2"/>
        <v>2023</v>
      </c>
    </row>
    <row r="69" spans="1:3" x14ac:dyDescent="0.25">
      <c r="A69" s="3">
        <f ca="1">IFERROR(__xludf.DUMMYFUNCTION("""COMPUTED_VALUE"""),45043.5833333333)</f>
        <v>45043.583333333299</v>
      </c>
      <c r="B69" s="1">
        <f ca="1">IFERROR(__xludf.DUMMYFUNCTION("""COMPUTED_VALUE"""),310)</f>
        <v>310</v>
      </c>
      <c r="C69">
        <f t="shared" ca="1" si="2"/>
        <v>2023</v>
      </c>
    </row>
    <row r="70" spans="1:3" x14ac:dyDescent="0.25">
      <c r="A70" s="3">
        <f ca="1">IFERROR(__xludf.DUMMYFUNCTION("""COMPUTED_VALUE"""),45040.5833333333)</f>
        <v>45040.583333333299</v>
      </c>
      <c r="B70" s="1">
        <f ca="1">IFERROR(__xludf.DUMMYFUNCTION("""COMPUTED_VALUE"""),342)</f>
        <v>342</v>
      </c>
      <c r="C70">
        <f t="shared" ca="1" si="2"/>
        <v>2023</v>
      </c>
    </row>
    <row r="71" spans="1:3" x14ac:dyDescent="0.25">
      <c r="A71" s="3">
        <f ca="1">IFERROR(__xludf.DUMMYFUNCTION("""COMPUTED_VALUE"""),45037.5833333333)</f>
        <v>45037.583333333299</v>
      </c>
      <c r="B71" s="1">
        <f ca="1">IFERROR(__xludf.DUMMYFUNCTION("""COMPUTED_VALUE"""),329.6)</f>
        <v>329.6</v>
      </c>
      <c r="C71">
        <f t="shared" ca="1" si="2"/>
        <v>2023</v>
      </c>
    </row>
    <row r="72" spans="1:3" x14ac:dyDescent="0.25">
      <c r="A72" s="3">
        <f ca="1">IFERROR(__xludf.DUMMYFUNCTION("""COMPUTED_VALUE"""),45036.5833333333)</f>
        <v>45036.583333333299</v>
      </c>
      <c r="B72" s="1">
        <f ca="1">IFERROR(__xludf.DUMMYFUNCTION("""COMPUTED_VALUE"""),354)</f>
        <v>354</v>
      </c>
      <c r="C72">
        <f t="shared" ca="1" si="2"/>
        <v>2023</v>
      </c>
    </row>
    <row r="73" spans="1:3" x14ac:dyDescent="0.25">
      <c r="A73" s="3">
        <f ca="1">IFERROR(__xludf.DUMMYFUNCTION("""COMPUTED_VALUE"""),45035.5833333333)</f>
        <v>45035.583333333299</v>
      </c>
      <c r="B73" s="1">
        <f ca="1">IFERROR(__xludf.DUMMYFUNCTION("""COMPUTED_VALUE"""),360)</f>
        <v>360</v>
      </c>
      <c r="C73">
        <f t="shared" ca="1" si="2"/>
        <v>2023</v>
      </c>
    </row>
    <row r="74" spans="1:3" x14ac:dyDescent="0.25">
      <c r="A74" s="3">
        <f ca="1">IFERROR(__xludf.DUMMYFUNCTION("""COMPUTED_VALUE"""),45034.5833333333)</f>
        <v>45034.583333333299</v>
      </c>
      <c r="B74" s="1">
        <f ca="1">IFERROR(__xludf.DUMMYFUNCTION("""COMPUTED_VALUE"""),344)</f>
        <v>344</v>
      </c>
      <c r="C74">
        <f t="shared" ca="1" si="2"/>
        <v>2023</v>
      </c>
    </row>
    <row r="75" spans="1:3" x14ac:dyDescent="0.25">
      <c r="A75" s="3">
        <f ca="1">IFERROR(__xludf.DUMMYFUNCTION("""COMPUTED_VALUE"""),45033.5833333333)</f>
        <v>45033.583333333299</v>
      </c>
      <c r="B75" s="1">
        <f ca="1">IFERROR(__xludf.DUMMYFUNCTION("""COMPUTED_VALUE"""),356)</f>
        <v>356</v>
      </c>
      <c r="C75">
        <f t="shared" ca="1" si="2"/>
        <v>2023</v>
      </c>
    </row>
    <row r="76" spans="1:3" x14ac:dyDescent="0.25">
      <c r="A76" s="3">
        <f ca="1">IFERROR(__xludf.DUMMYFUNCTION("""COMPUTED_VALUE"""),45030.5833333333)</f>
        <v>45030.583333333299</v>
      </c>
      <c r="B76" s="1">
        <f ca="1">IFERROR(__xludf.DUMMYFUNCTION("""COMPUTED_VALUE"""),388)</f>
        <v>388</v>
      </c>
      <c r="C76">
        <f t="shared" ca="1" si="2"/>
        <v>2023</v>
      </c>
    </row>
    <row r="77" spans="1:3" x14ac:dyDescent="0.25">
      <c r="A77" s="3">
        <f ca="1">IFERROR(__xludf.DUMMYFUNCTION("""COMPUTED_VALUE"""),45029.5833333333)</f>
        <v>45029.583333333299</v>
      </c>
      <c r="B77" s="1">
        <f ca="1">IFERROR(__xludf.DUMMYFUNCTION("""COMPUTED_VALUE"""),376)</f>
        <v>376</v>
      </c>
      <c r="C77">
        <f t="shared" ca="1" si="2"/>
        <v>2023</v>
      </c>
    </row>
    <row r="78" spans="1:3" x14ac:dyDescent="0.25">
      <c r="A78" s="3">
        <f ca="1">IFERROR(__xludf.DUMMYFUNCTION("""COMPUTED_VALUE"""),45028.5833333333)</f>
        <v>45028.583333333299</v>
      </c>
      <c r="B78" s="1">
        <f ca="1">IFERROR(__xludf.DUMMYFUNCTION("""COMPUTED_VALUE"""),356)</f>
        <v>356</v>
      </c>
      <c r="C78">
        <f t="shared" ca="1" si="2"/>
        <v>2023</v>
      </c>
    </row>
    <row r="79" spans="1:3" x14ac:dyDescent="0.25">
      <c r="A79" s="3">
        <f ca="1">IFERROR(__xludf.DUMMYFUNCTION("""COMPUTED_VALUE"""),45027.5833333333)</f>
        <v>45027.583333333299</v>
      </c>
      <c r="B79" s="1">
        <f ca="1">IFERROR(__xludf.DUMMYFUNCTION("""COMPUTED_VALUE"""),420)</f>
        <v>420</v>
      </c>
      <c r="C79">
        <f t="shared" ca="1" si="2"/>
        <v>2023</v>
      </c>
    </row>
    <row r="80" spans="1:3" x14ac:dyDescent="0.25">
      <c r="A80" s="3">
        <f ca="1">IFERROR(__xludf.DUMMYFUNCTION("""COMPUTED_VALUE"""),45020.5833333333)</f>
        <v>45020.583333333299</v>
      </c>
      <c r="B80" s="1">
        <f ca="1">IFERROR(__xludf.DUMMYFUNCTION("""COMPUTED_VALUE"""),510)</f>
        <v>510</v>
      </c>
      <c r="C80">
        <f t="shared" ca="1" si="2"/>
        <v>2023</v>
      </c>
    </row>
    <row r="81" spans="1:3" x14ac:dyDescent="0.25">
      <c r="A81" s="3">
        <f ca="1">IFERROR(__xludf.DUMMYFUNCTION("""COMPUTED_VALUE"""),45016.5833333333)</f>
        <v>45016.583333333299</v>
      </c>
      <c r="B81" s="1">
        <f ca="1">IFERROR(__xludf.DUMMYFUNCTION("""COMPUTED_VALUE"""),580)</f>
        <v>580</v>
      </c>
      <c r="C81">
        <f t="shared" ca="1" si="2"/>
        <v>2023</v>
      </c>
    </row>
    <row r="82" spans="1:3" x14ac:dyDescent="0.25">
      <c r="A82" s="3">
        <f ca="1">IFERROR(__xludf.DUMMYFUNCTION("""COMPUTED_VALUE"""),45014.5833333333)</f>
        <v>45014.583333333299</v>
      </c>
      <c r="B82" s="1">
        <f ca="1">IFERROR(__xludf.DUMMYFUNCTION("""COMPUTED_VALUE"""),540)</f>
        <v>540</v>
      </c>
      <c r="C82">
        <f t="shared" ca="1" si="2"/>
        <v>2023</v>
      </c>
    </row>
    <row r="83" spans="1:3" x14ac:dyDescent="0.25">
      <c r="A83" s="3">
        <f ca="1">IFERROR(__xludf.DUMMYFUNCTION("""COMPUTED_VALUE"""),45013.5833333333)</f>
        <v>45013.583333333299</v>
      </c>
      <c r="B83" s="1">
        <f ca="1">IFERROR(__xludf.DUMMYFUNCTION("""COMPUTED_VALUE"""),520)</f>
        <v>520</v>
      </c>
      <c r="C83">
        <f t="shared" ca="1" si="2"/>
        <v>2023</v>
      </c>
    </row>
    <row r="84" spans="1:3" x14ac:dyDescent="0.25">
      <c r="A84" s="3">
        <f ca="1">IFERROR(__xludf.DUMMYFUNCTION("""COMPUTED_VALUE"""),45012.5833333333)</f>
        <v>45012.583333333299</v>
      </c>
      <c r="B84" s="1">
        <f ca="1">IFERROR(__xludf.DUMMYFUNCTION("""COMPUTED_VALUE"""),584)</f>
        <v>584</v>
      </c>
      <c r="C84">
        <f t="shared" ca="1" si="2"/>
        <v>2023</v>
      </c>
    </row>
    <row r="85" spans="1:3" x14ac:dyDescent="0.25">
      <c r="A85" s="3">
        <f ca="1">IFERROR(__xludf.DUMMYFUNCTION("""COMPUTED_VALUE"""),45009.5833333333)</f>
        <v>45009.583333333299</v>
      </c>
      <c r="B85" s="1">
        <f ca="1">IFERROR(__xludf.DUMMYFUNCTION("""COMPUTED_VALUE"""),602.8)</f>
        <v>602.79999999999995</v>
      </c>
      <c r="C85">
        <f t="shared" ca="1" si="2"/>
        <v>2023</v>
      </c>
    </row>
    <row r="86" spans="1:3" x14ac:dyDescent="0.25">
      <c r="A86" s="3">
        <f ca="1">IFERROR(__xludf.DUMMYFUNCTION("""COMPUTED_VALUE"""),45008.5833333333)</f>
        <v>45008.583333333299</v>
      </c>
      <c r="B86" s="1">
        <f ca="1">IFERROR(__xludf.DUMMYFUNCTION("""COMPUTED_VALUE"""),652)</f>
        <v>652</v>
      </c>
      <c r="C86">
        <f t="shared" ca="1" si="2"/>
        <v>2023</v>
      </c>
    </row>
    <row r="87" spans="1:3" x14ac:dyDescent="0.25">
      <c r="A87" s="3">
        <f ca="1">IFERROR(__xludf.DUMMYFUNCTION("""COMPUTED_VALUE"""),45006.5833333333)</f>
        <v>45006.583333333299</v>
      </c>
      <c r="B87" s="1">
        <f ca="1">IFERROR(__xludf.DUMMYFUNCTION("""COMPUTED_VALUE"""),760)</f>
        <v>760</v>
      </c>
      <c r="C87">
        <f t="shared" ca="1" si="2"/>
        <v>2023</v>
      </c>
    </row>
    <row r="88" spans="1:3" x14ac:dyDescent="0.25">
      <c r="A88" s="3">
        <f ca="1">IFERROR(__xludf.DUMMYFUNCTION("""COMPUTED_VALUE"""),45002.5833333333)</f>
        <v>45002.583333333299</v>
      </c>
      <c r="B88" s="1">
        <f ca="1">IFERROR(__xludf.DUMMYFUNCTION("""COMPUTED_VALUE"""),740.4)</f>
        <v>740.4</v>
      </c>
      <c r="C88">
        <f t="shared" ca="1" si="2"/>
        <v>2023</v>
      </c>
    </row>
    <row r="89" spans="1:3" x14ac:dyDescent="0.25">
      <c r="A89" s="3">
        <f ca="1">IFERROR(__xludf.DUMMYFUNCTION("""COMPUTED_VALUE"""),45001.5833333333)</f>
        <v>45001.583333333299</v>
      </c>
      <c r="B89" s="1">
        <f ca="1">IFERROR(__xludf.DUMMYFUNCTION("""COMPUTED_VALUE"""),652)</f>
        <v>652</v>
      </c>
      <c r="C89">
        <f t="shared" ca="1" si="2"/>
        <v>2023</v>
      </c>
    </row>
    <row r="90" spans="1:3" x14ac:dyDescent="0.25">
      <c r="A90" s="3">
        <f ca="1">IFERROR(__xludf.DUMMYFUNCTION("""COMPUTED_VALUE"""),45000.5833333333)</f>
        <v>45000.583333333299</v>
      </c>
      <c r="B90" s="1">
        <f ca="1">IFERROR(__xludf.DUMMYFUNCTION("""COMPUTED_VALUE"""),660)</f>
        <v>660</v>
      </c>
      <c r="C90">
        <f t="shared" ca="1" si="2"/>
        <v>2023</v>
      </c>
    </row>
    <row r="91" spans="1:3" x14ac:dyDescent="0.25">
      <c r="A91" s="3">
        <f ca="1">IFERROR(__xludf.DUMMYFUNCTION("""COMPUTED_VALUE"""),44999.5833333333)</f>
        <v>44999.583333333299</v>
      </c>
      <c r="B91" s="1">
        <f ca="1">IFERROR(__xludf.DUMMYFUNCTION("""COMPUTED_VALUE"""),776)</f>
        <v>776</v>
      </c>
      <c r="C91">
        <f t="shared" ca="1" si="2"/>
        <v>2023</v>
      </c>
    </row>
    <row r="92" spans="1:3" x14ac:dyDescent="0.25">
      <c r="A92" s="3">
        <f ca="1">IFERROR(__xludf.DUMMYFUNCTION("""COMPUTED_VALUE"""),44995.625)</f>
        <v>44995.625</v>
      </c>
      <c r="B92" s="1">
        <f ca="1">IFERROR(__xludf.DUMMYFUNCTION("""COMPUTED_VALUE"""),820.4)</f>
        <v>820.4</v>
      </c>
      <c r="C92">
        <f t="shared" ca="1" si="2"/>
        <v>2023</v>
      </c>
    </row>
    <row r="93" spans="1:3" x14ac:dyDescent="0.25">
      <c r="A93" s="3">
        <f ca="1">IFERROR(__xludf.DUMMYFUNCTION("""COMPUTED_VALUE"""),44994.625)</f>
        <v>44994.625</v>
      </c>
      <c r="B93" s="1">
        <f ca="1">IFERROR(__xludf.DUMMYFUNCTION("""COMPUTED_VALUE"""),800)</f>
        <v>800</v>
      </c>
      <c r="C93">
        <f t="shared" ca="1" si="2"/>
        <v>2023</v>
      </c>
    </row>
    <row r="94" spans="1:3" x14ac:dyDescent="0.25">
      <c r="A94" s="3">
        <f ca="1">IFERROR(__xludf.DUMMYFUNCTION("""COMPUTED_VALUE"""),44993.625)</f>
        <v>44993.625</v>
      </c>
      <c r="B94" s="1">
        <f ca="1">IFERROR(__xludf.DUMMYFUNCTION("""COMPUTED_VALUE"""),880)</f>
        <v>880</v>
      </c>
      <c r="C94">
        <f t="shared" ca="1" si="2"/>
        <v>2023</v>
      </c>
    </row>
    <row r="95" spans="1:3" x14ac:dyDescent="0.25">
      <c r="A95" s="3">
        <f ca="1">IFERROR(__xludf.DUMMYFUNCTION("""COMPUTED_VALUE"""),44992.625)</f>
        <v>44992.625</v>
      </c>
      <c r="B95" s="1">
        <f ca="1">IFERROR(__xludf.DUMMYFUNCTION("""COMPUTED_VALUE"""),820)</f>
        <v>820</v>
      </c>
      <c r="C95">
        <f t="shared" ca="1" si="2"/>
        <v>2023</v>
      </c>
    </row>
    <row r="96" spans="1:3" x14ac:dyDescent="0.25">
      <c r="A96" s="3">
        <f ca="1">IFERROR(__xludf.DUMMYFUNCTION("""COMPUTED_VALUE"""),44987.625)</f>
        <v>44987.625</v>
      </c>
      <c r="B96" s="1">
        <f ca="1">IFERROR(__xludf.DUMMYFUNCTION("""COMPUTED_VALUE"""),784)</f>
        <v>784</v>
      </c>
      <c r="C96">
        <f t="shared" ca="1" si="2"/>
        <v>2023</v>
      </c>
    </row>
    <row r="97" spans="1:3" x14ac:dyDescent="0.25">
      <c r="A97" s="3">
        <f ca="1">IFERROR(__xludf.DUMMYFUNCTION("""COMPUTED_VALUE"""),44986.625)</f>
        <v>44986.625</v>
      </c>
      <c r="B97" s="1">
        <f ca="1">IFERROR(__xludf.DUMMYFUNCTION("""COMPUTED_VALUE"""),788)</f>
        <v>788</v>
      </c>
      <c r="C97">
        <f t="shared" ca="1" si="2"/>
        <v>2023</v>
      </c>
    </row>
    <row r="98" spans="1:3" x14ac:dyDescent="0.25">
      <c r="A98" s="3">
        <f ca="1">IFERROR(__xludf.DUMMYFUNCTION("""COMPUTED_VALUE"""),44985.625)</f>
        <v>44985.625</v>
      </c>
      <c r="B98" s="1">
        <f ca="1">IFERROR(__xludf.DUMMYFUNCTION("""COMPUTED_VALUE"""),880)</f>
        <v>880</v>
      </c>
      <c r="C98">
        <f t="shared" ref="C98:C129" ca="1" si="3">YEAR(A98)</f>
        <v>2023</v>
      </c>
    </row>
    <row r="99" spans="1:3" x14ac:dyDescent="0.25">
      <c r="A99" s="3">
        <f ca="1">IFERROR(__xludf.DUMMYFUNCTION("""COMPUTED_VALUE"""),44984.625)</f>
        <v>44984.625</v>
      </c>
      <c r="B99" s="1">
        <f ca="1">IFERROR(__xludf.DUMMYFUNCTION("""COMPUTED_VALUE"""),900)</f>
        <v>900</v>
      </c>
      <c r="C99">
        <f t="shared" ca="1" si="3"/>
        <v>2023</v>
      </c>
    </row>
    <row r="100" spans="1:3" x14ac:dyDescent="0.25">
      <c r="A100" s="3">
        <f ca="1">IFERROR(__xludf.DUMMYFUNCTION("""COMPUTED_VALUE"""),44981.625)</f>
        <v>44981.625</v>
      </c>
      <c r="B100" s="1">
        <f ca="1">IFERROR(__xludf.DUMMYFUNCTION("""COMPUTED_VALUE"""),925.6)</f>
        <v>925.6</v>
      </c>
      <c r="C100">
        <f t="shared" ca="1" si="3"/>
        <v>2023</v>
      </c>
    </row>
    <row r="101" spans="1:3" x14ac:dyDescent="0.25">
      <c r="A101" s="3">
        <f ca="1">IFERROR(__xludf.DUMMYFUNCTION("""COMPUTED_VALUE"""),44980.625)</f>
        <v>44980.625</v>
      </c>
      <c r="B101" s="1">
        <f ca="1">IFERROR(__xludf.DUMMYFUNCTION("""COMPUTED_VALUE"""),1000)</f>
        <v>1000</v>
      </c>
      <c r="C101">
        <f t="shared" ca="1" si="3"/>
        <v>2023</v>
      </c>
    </row>
    <row r="102" spans="1:3" x14ac:dyDescent="0.25">
      <c r="A102" s="3">
        <f ca="1">IFERROR(__xludf.DUMMYFUNCTION("""COMPUTED_VALUE"""),44979.625)</f>
        <v>44979.625</v>
      </c>
      <c r="B102" s="1">
        <f ca="1">IFERROR(__xludf.DUMMYFUNCTION("""COMPUTED_VALUE"""),1052)</f>
        <v>1052</v>
      </c>
      <c r="C102">
        <f t="shared" ca="1" si="3"/>
        <v>2023</v>
      </c>
    </row>
    <row r="103" spans="1:3" x14ac:dyDescent="0.25">
      <c r="A103" s="3">
        <f ca="1">IFERROR(__xludf.DUMMYFUNCTION("""COMPUTED_VALUE"""),44971.625)</f>
        <v>44971.625</v>
      </c>
      <c r="B103" s="1">
        <f ca="1">IFERROR(__xludf.DUMMYFUNCTION("""COMPUTED_VALUE"""),1160)</f>
        <v>1160</v>
      </c>
      <c r="C103">
        <f t="shared" ca="1" si="3"/>
        <v>2023</v>
      </c>
    </row>
    <row r="104" spans="1:3" x14ac:dyDescent="0.25">
      <c r="A104" s="3">
        <f ca="1">IFERROR(__xludf.DUMMYFUNCTION("""COMPUTED_VALUE"""),44966.625)</f>
        <v>44966.625</v>
      </c>
      <c r="B104" s="1">
        <f ca="1">IFERROR(__xludf.DUMMYFUNCTION("""COMPUTED_VALUE"""),1230)</f>
        <v>1230</v>
      </c>
      <c r="C104">
        <f t="shared" ca="1" si="3"/>
        <v>2023</v>
      </c>
    </row>
    <row r="105" spans="1:3" x14ac:dyDescent="0.25">
      <c r="A105" s="3">
        <f ca="1">IFERROR(__xludf.DUMMYFUNCTION("""COMPUTED_VALUE"""),44958.625)</f>
        <v>44958.625</v>
      </c>
      <c r="B105" s="1">
        <f ca="1">IFERROR(__xludf.DUMMYFUNCTION("""COMPUTED_VALUE"""),1176)</f>
        <v>1176</v>
      </c>
      <c r="C105">
        <f t="shared" ca="1" si="3"/>
        <v>2023</v>
      </c>
    </row>
    <row r="106" spans="1:3" x14ac:dyDescent="0.25">
      <c r="A106" s="3">
        <f ca="1">IFERROR(__xludf.DUMMYFUNCTION("""COMPUTED_VALUE"""),44957.625)</f>
        <v>44957.625</v>
      </c>
      <c r="B106" s="1">
        <f ca="1">IFERROR(__xludf.DUMMYFUNCTION("""COMPUTED_VALUE"""),1140)</f>
        <v>1140</v>
      </c>
      <c r="C106">
        <f t="shared" ca="1" si="3"/>
        <v>2023</v>
      </c>
    </row>
    <row r="107" spans="1:3" x14ac:dyDescent="0.25">
      <c r="A107" s="3">
        <f ca="1">IFERROR(__xludf.DUMMYFUNCTION("""COMPUTED_VALUE"""),44956.625)</f>
        <v>44956.625</v>
      </c>
      <c r="B107" s="1">
        <f ca="1">IFERROR(__xludf.DUMMYFUNCTION("""COMPUTED_VALUE"""),1176)</f>
        <v>1176</v>
      </c>
      <c r="C107">
        <f t="shared" ca="1" si="3"/>
        <v>2023</v>
      </c>
    </row>
    <row r="108" spans="1:3" x14ac:dyDescent="0.25">
      <c r="A108" s="3">
        <f ca="1">IFERROR(__xludf.DUMMYFUNCTION("""COMPUTED_VALUE"""),44951.625)</f>
        <v>44951.625</v>
      </c>
      <c r="B108" s="1">
        <f ca="1">IFERROR(__xludf.DUMMYFUNCTION("""COMPUTED_VALUE"""),1192)</f>
        <v>1192</v>
      </c>
      <c r="C108">
        <f t="shared" ca="1" si="3"/>
        <v>2023</v>
      </c>
    </row>
    <row r="109" spans="1:3" x14ac:dyDescent="0.25">
      <c r="A109" s="3">
        <f ca="1">IFERROR(__xludf.DUMMYFUNCTION("""COMPUTED_VALUE"""),44950.625)</f>
        <v>44950.625</v>
      </c>
      <c r="B109" s="1">
        <f ca="1">IFERROR(__xludf.DUMMYFUNCTION("""COMPUTED_VALUE"""),1257.2)</f>
        <v>1257.2</v>
      </c>
      <c r="C109">
        <f t="shared" ca="1" si="3"/>
        <v>2023</v>
      </c>
    </row>
    <row r="110" spans="1:3" x14ac:dyDescent="0.25">
      <c r="A110" s="3">
        <f ca="1">IFERROR(__xludf.DUMMYFUNCTION("""COMPUTED_VALUE"""),44929.625)</f>
        <v>44929.625</v>
      </c>
      <c r="B110" s="1">
        <f ca="1">IFERROR(__xludf.DUMMYFUNCTION("""COMPUTED_VALUE"""),1120)</f>
        <v>1120</v>
      </c>
      <c r="C110">
        <f t="shared" ca="1" si="3"/>
        <v>2023</v>
      </c>
    </row>
    <row r="111" spans="1:3" x14ac:dyDescent="0.25">
      <c r="A111" s="3">
        <f ca="1">IFERROR(__xludf.DUMMYFUNCTION("""COMPUTED_VALUE"""),44924.625)</f>
        <v>44924.625</v>
      </c>
      <c r="B111" s="1">
        <f ca="1">IFERROR(__xludf.DUMMYFUNCTION("""COMPUTED_VALUE"""),960)</f>
        <v>960</v>
      </c>
      <c r="C111">
        <f t="shared" ca="1" si="3"/>
        <v>2022</v>
      </c>
    </row>
    <row r="112" spans="1:3" x14ac:dyDescent="0.25">
      <c r="A112" s="3">
        <f ca="1">IFERROR(__xludf.DUMMYFUNCTION("""COMPUTED_VALUE"""),44922.625)</f>
        <v>44922.625</v>
      </c>
      <c r="B112" s="1">
        <f ca="1">IFERROR(__xludf.DUMMYFUNCTION("""COMPUTED_VALUE"""),870)</f>
        <v>870</v>
      </c>
      <c r="C112">
        <f t="shared" ca="1" si="3"/>
        <v>2022</v>
      </c>
    </row>
    <row r="113" spans="1:3" x14ac:dyDescent="0.25">
      <c r="A113" s="3">
        <f ca="1">IFERROR(__xludf.DUMMYFUNCTION("""COMPUTED_VALUE"""),44914.625)</f>
        <v>44914.625</v>
      </c>
      <c r="B113" s="1">
        <f ca="1">IFERROR(__xludf.DUMMYFUNCTION("""COMPUTED_VALUE"""),1204)</f>
        <v>1204</v>
      </c>
      <c r="C113">
        <f t="shared" ca="1" si="3"/>
        <v>2022</v>
      </c>
    </row>
    <row r="114" spans="1:3" x14ac:dyDescent="0.25">
      <c r="A114" s="3">
        <f ca="1">IFERROR(__xludf.DUMMYFUNCTION("""COMPUTED_VALUE"""),44911.625)</f>
        <v>44911.625</v>
      </c>
      <c r="B114" s="1">
        <f ca="1">IFERROR(__xludf.DUMMYFUNCTION("""COMPUTED_VALUE"""),1340)</f>
        <v>1340</v>
      </c>
      <c r="C114">
        <f t="shared" ca="1" si="3"/>
        <v>2022</v>
      </c>
    </row>
    <row r="115" spans="1:3" x14ac:dyDescent="0.25">
      <c r="A115" s="3">
        <f ca="1">IFERROR(__xludf.DUMMYFUNCTION("""COMPUTED_VALUE"""),44910.625)</f>
        <v>44910.625</v>
      </c>
      <c r="B115" s="1">
        <f ca="1">IFERROR(__xludf.DUMMYFUNCTION("""COMPUTED_VALUE"""),1560)</f>
        <v>1560</v>
      </c>
      <c r="C115">
        <f t="shared" ca="1" si="3"/>
        <v>2022</v>
      </c>
    </row>
    <row r="116" spans="1:3" x14ac:dyDescent="0.25">
      <c r="A116" s="3">
        <f ca="1">IFERROR(__xludf.DUMMYFUNCTION("""COMPUTED_VALUE"""),44902.625)</f>
        <v>44902.625</v>
      </c>
      <c r="B116" s="1">
        <f ca="1">IFERROR(__xludf.DUMMYFUNCTION("""COMPUTED_VALUE"""),1840)</f>
        <v>1840</v>
      </c>
      <c r="C116">
        <f t="shared" ca="1" si="3"/>
        <v>2022</v>
      </c>
    </row>
    <row r="117" spans="1:3" x14ac:dyDescent="0.25">
      <c r="A117" s="3">
        <f ca="1">IFERROR(__xludf.DUMMYFUNCTION("""COMPUTED_VALUE"""),44880.625)</f>
        <v>44880.625</v>
      </c>
      <c r="B117" s="1">
        <f ca="1">IFERROR(__xludf.DUMMYFUNCTION("""COMPUTED_VALUE"""),2460)</f>
        <v>2460</v>
      </c>
      <c r="C117">
        <f t="shared" ca="1" si="3"/>
        <v>2022</v>
      </c>
    </row>
    <row r="118" spans="1:3" x14ac:dyDescent="0.25">
      <c r="A118" s="3">
        <f ca="1">IFERROR(__xludf.DUMMYFUNCTION("""COMPUTED_VALUE"""),44876.625)</f>
        <v>44876.625</v>
      </c>
      <c r="B118" s="1">
        <f ca="1">IFERROR(__xludf.DUMMYFUNCTION("""COMPUTED_VALUE"""),2160)</f>
        <v>2160</v>
      </c>
      <c r="C118">
        <f t="shared" ca="1" si="3"/>
        <v>2022</v>
      </c>
    </row>
    <row r="119" spans="1:3" x14ac:dyDescent="0.25">
      <c r="A119" s="3">
        <f ca="1">IFERROR(__xludf.DUMMYFUNCTION("""COMPUTED_VALUE"""),44875.625)</f>
        <v>44875.625</v>
      </c>
      <c r="B119" s="1">
        <f ca="1">IFERROR(__xludf.DUMMYFUNCTION("""COMPUTED_VALUE"""),2000)</f>
        <v>2000</v>
      </c>
      <c r="C119">
        <f t="shared" ca="1" si="3"/>
        <v>2022</v>
      </c>
    </row>
    <row r="120" spans="1:3" x14ac:dyDescent="0.25">
      <c r="A120" s="3">
        <f ca="1">IFERROR(__xludf.DUMMYFUNCTION("""COMPUTED_VALUE"""),44868.5833333333)</f>
        <v>44868.583333333299</v>
      </c>
      <c r="B120" s="1">
        <f ca="1">IFERROR(__xludf.DUMMYFUNCTION("""COMPUTED_VALUE"""),2040)</f>
        <v>2040</v>
      </c>
      <c r="C120">
        <f t="shared" ca="1" si="3"/>
        <v>2022</v>
      </c>
    </row>
    <row r="121" spans="1:3" x14ac:dyDescent="0.25">
      <c r="A121" s="3">
        <f ca="1">IFERROR(__xludf.DUMMYFUNCTION("""COMPUTED_VALUE"""),44859.625)</f>
        <v>44859.625</v>
      </c>
      <c r="B121" s="1">
        <f ca="1">IFERROR(__xludf.DUMMYFUNCTION("""COMPUTED_VALUE"""),1932)</f>
        <v>1932</v>
      </c>
      <c r="C121">
        <f t="shared" ca="1" si="3"/>
        <v>2022</v>
      </c>
    </row>
    <row r="122" spans="1:3" x14ac:dyDescent="0.25">
      <c r="A122" s="3">
        <f ca="1">IFERROR(__xludf.DUMMYFUNCTION("""COMPUTED_VALUE"""),44858.625)</f>
        <v>44858.625</v>
      </c>
      <c r="B122" s="1">
        <f ca="1">IFERROR(__xludf.DUMMYFUNCTION("""COMPUTED_VALUE"""),1700)</f>
        <v>1700</v>
      </c>
      <c r="C122">
        <f t="shared" ca="1" si="3"/>
        <v>2022</v>
      </c>
    </row>
    <row r="123" spans="1:3" x14ac:dyDescent="0.25">
      <c r="A123" s="3">
        <f ca="1">IFERROR(__xludf.DUMMYFUNCTION("""COMPUTED_VALUE"""),44852.625)</f>
        <v>44852.625</v>
      </c>
      <c r="B123" s="1">
        <f ca="1">IFERROR(__xludf.DUMMYFUNCTION("""COMPUTED_VALUE"""),1980)</f>
        <v>1980</v>
      </c>
      <c r="C123">
        <f t="shared" ca="1" si="3"/>
        <v>2022</v>
      </c>
    </row>
    <row r="124" spans="1:3" x14ac:dyDescent="0.25">
      <c r="A124" s="3">
        <f ca="1">IFERROR(__xludf.DUMMYFUNCTION("""COMPUTED_VALUE"""),44848.625)</f>
        <v>44848.625</v>
      </c>
      <c r="B124" s="1">
        <f ca="1">IFERROR(__xludf.DUMMYFUNCTION("""COMPUTED_VALUE"""),1880)</f>
        <v>1880</v>
      </c>
      <c r="C124">
        <f t="shared" ca="1" si="3"/>
        <v>2022</v>
      </c>
    </row>
    <row r="125" spans="1:3" x14ac:dyDescent="0.25">
      <c r="A125" s="3">
        <f ca="1">IFERROR(__xludf.DUMMYFUNCTION("""COMPUTED_VALUE"""),44847.625)</f>
        <v>44847.625</v>
      </c>
      <c r="B125" s="1">
        <f ca="1">IFERROR(__xludf.DUMMYFUNCTION("""COMPUTED_VALUE"""),1848)</f>
        <v>1848</v>
      </c>
      <c r="C125">
        <f t="shared" ca="1" si="3"/>
        <v>2022</v>
      </c>
    </row>
    <row r="126" spans="1:3" x14ac:dyDescent="0.25">
      <c r="A126" s="3">
        <f ca="1">IFERROR(__xludf.DUMMYFUNCTION("""COMPUTED_VALUE"""),44838.625)</f>
        <v>44838.625</v>
      </c>
      <c r="B126" s="1">
        <f ca="1">IFERROR(__xludf.DUMMYFUNCTION("""COMPUTED_VALUE"""),2300)</f>
        <v>2300</v>
      </c>
      <c r="C126">
        <f t="shared" ca="1" si="3"/>
        <v>2022</v>
      </c>
    </row>
    <row r="127" spans="1:3" x14ac:dyDescent="0.25">
      <c r="A127" s="3">
        <f ca="1">IFERROR(__xludf.DUMMYFUNCTION("""COMPUTED_VALUE"""),44826.625)</f>
        <v>44826.625</v>
      </c>
      <c r="B127" s="1">
        <f ca="1">IFERROR(__xludf.DUMMYFUNCTION("""COMPUTED_VALUE"""),2560)</f>
        <v>2560</v>
      </c>
      <c r="C127">
        <f t="shared" ca="1" si="3"/>
        <v>2022</v>
      </c>
    </row>
    <row r="128" spans="1:3" x14ac:dyDescent="0.25">
      <c r="A128" s="3">
        <f ca="1">IFERROR(__xludf.DUMMYFUNCTION("""COMPUTED_VALUE"""),44816.625)</f>
        <v>44816.625</v>
      </c>
      <c r="B128" s="1">
        <f ca="1">IFERROR(__xludf.DUMMYFUNCTION("""COMPUTED_VALUE"""),3408)</f>
        <v>3408</v>
      </c>
      <c r="C128">
        <f t="shared" ca="1" si="3"/>
        <v>2022</v>
      </c>
    </row>
    <row r="129" spans="1:3" x14ac:dyDescent="0.25">
      <c r="A129" s="3">
        <f ca="1">IFERROR(__xludf.DUMMYFUNCTION("""COMPUTED_VALUE"""),44813.625)</f>
        <v>44813.625</v>
      </c>
      <c r="B129" s="1">
        <f ca="1">IFERROR(__xludf.DUMMYFUNCTION("""COMPUTED_VALUE"""),3416)</f>
        <v>3416</v>
      </c>
      <c r="C129">
        <f t="shared" ca="1" si="3"/>
        <v>2022</v>
      </c>
    </row>
    <row r="130" spans="1:3" x14ac:dyDescent="0.25">
      <c r="A130" s="3">
        <f ca="1">IFERROR(__xludf.DUMMYFUNCTION("""COMPUTED_VALUE"""),44810.625)</f>
        <v>44810.625</v>
      </c>
      <c r="B130" s="1">
        <f ca="1">IFERROR(__xludf.DUMMYFUNCTION("""COMPUTED_VALUE"""),3128)</f>
        <v>3128</v>
      </c>
      <c r="C130">
        <f t="shared" ref="C130:C149" ca="1" si="4">YEAR(A130)</f>
        <v>2022</v>
      </c>
    </row>
    <row r="131" spans="1:3" x14ac:dyDescent="0.25">
      <c r="A131" s="3">
        <f ca="1">IFERROR(__xludf.DUMMYFUNCTION("""COMPUTED_VALUE"""),44799.625)</f>
        <v>44799.625</v>
      </c>
      <c r="B131" s="1">
        <f ca="1">IFERROR(__xludf.DUMMYFUNCTION("""COMPUTED_VALUE"""),3392)</f>
        <v>3392</v>
      </c>
      <c r="C131">
        <f t="shared" ca="1" si="4"/>
        <v>2022</v>
      </c>
    </row>
    <row r="132" spans="1:3" x14ac:dyDescent="0.25">
      <c r="A132" s="3">
        <f ca="1">IFERROR(__xludf.DUMMYFUNCTION("""COMPUTED_VALUE"""),44798.625)</f>
        <v>44798.625</v>
      </c>
      <c r="B132" s="1">
        <f ca="1">IFERROR(__xludf.DUMMYFUNCTION("""COMPUTED_VALUE"""),3612)</f>
        <v>3612</v>
      </c>
      <c r="C132">
        <f t="shared" ca="1" si="4"/>
        <v>2022</v>
      </c>
    </row>
    <row r="133" spans="1:3" x14ac:dyDescent="0.25">
      <c r="A133" s="3">
        <f ca="1">IFERROR(__xludf.DUMMYFUNCTION("""COMPUTED_VALUE"""),44797.625)</f>
        <v>44797.625</v>
      </c>
      <c r="B133" s="1">
        <f ca="1">IFERROR(__xludf.DUMMYFUNCTION("""COMPUTED_VALUE"""),3542)</f>
        <v>3542</v>
      </c>
      <c r="C133">
        <f t="shared" ca="1" si="4"/>
        <v>2022</v>
      </c>
    </row>
    <row r="134" spans="1:3" x14ac:dyDescent="0.25">
      <c r="A134" s="3">
        <f ca="1">IFERROR(__xludf.DUMMYFUNCTION("""COMPUTED_VALUE"""),44792.625)</f>
        <v>44792.625</v>
      </c>
      <c r="B134" s="1">
        <f ca="1">IFERROR(__xludf.DUMMYFUNCTION("""COMPUTED_VALUE"""),3692)</f>
        <v>3692</v>
      </c>
      <c r="C134">
        <f t="shared" ca="1" si="4"/>
        <v>2022</v>
      </c>
    </row>
    <row r="135" spans="1:3" x14ac:dyDescent="0.25">
      <c r="A135" s="3">
        <f ca="1">IFERROR(__xludf.DUMMYFUNCTION("""COMPUTED_VALUE"""),44783.625)</f>
        <v>44783.625</v>
      </c>
      <c r="B135" s="1">
        <f ca="1">IFERROR(__xludf.DUMMYFUNCTION("""COMPUTED_VALUE"""),3980)</f>
        <v>3980</v>
      </c>
      <c r="C135">
        <f t="shared" ca="1" si="4"/>
        <v>2022</v>
      </c>
    </row>
    <row r="136" spans="1:3" x14ac:dyDescent="0.25">
      <c r="A136" s="3">
        <f ca="1">IFERROR(__xludf.DUMMYFUNCTION("""COMPUTED_VALUE"""),44782.625)</f>
        <v>44782.625</v>
      </c>
      <c r="B136" s="1">
        <f ca="1">IFERROR(__xludf.DUMMYFUNCTION("""COMPUTED_VALUE"""),3780)</f>
        <v>3780</v>
      </c>
      <c r="C136">
        <f t="shared" ca="1" si="4"/>
        <v>2022</v>
      </c>
    </row>
    <row r="137" spans="1:3" x14ac:dyDescent="0.25">
      <c r="A137" s="3">
        <f ca="1">IFERROR(__xludf.DUMMYFUNCTION("""COMPUTED_VALUE"""),44781.625)</f>
        <v>44781.625</v>
      </c>
      <c r="B137" s="1">
        <f ca="1">IFERROR(__xludf.DUMMYFUNCTION("""COMPUTED_VALUE"""),4000)</f>
        <v>4000</v>
      </c>
      <c r="C137">
        <f t="shared" ca="1" si="4"/>
        <v>2022</v>
      </c>
    </row>
    <row r="138" spans="1:3" x14ac:dyDescent="0.25">
      <c r="A138" s="3">
        <f ca="1">IFERROR(__xludf.DUMMYFUNCTION("""COMPUTED_VALUE"""),44778.625)</f>
        <v>44778.625</v>
      </c>
      <c r="B138" s="1">
        <f ca="1">IFERROR(__xludf.DUMMYFUNCTION("""COMPUTED_VALUE"""),3714)</f>
        <v>3714</v>
      </c>
      <c r="C138">
        <f t="shared" ca="1" si="4"/>
        <v>2022</v>
      </c>
    </row>
    <row r="139" spans="1:3" x14ac:dyDescent="0.25">
      <c r="A139" s="3">
        <f ca="1">IFERROR(__xludf.DUMMYFUNCTION("""COMPUTED_VALUE"""),44777.625)</f>
        <v>44777.625</v>
      </c>
      <c r="B139" s="1">
        <f ca="1">IFERROR(__xludf.DUMMYFUNCTION("""COMPUTED_VALUE"""),3900)</f>
        <v>3900</v>
      </c>
      <c r="C139">
        <f t="shared" ca="1" si="4"/>
        <v>2022</v>
      </c>
    </row>
    <row r="140" spans="1:3" x14ac:dyDescent="0.25">
      <c r="A140" s="3">
        <f ca="1">IFERROR(__xludf.DUMMYFUNCTION("""COMPUTED_VALUE"""),44775.625)</f>
        <v>44775.625</v>
      </c>
      <c r="B140" s="1">
        <f ca="1">IFERROR(__xludf.DUMMYFUNCTION("""COMPUTED_VALUE"""),3900)</f>
        <v>3900</v>
      </c>
      <c r="C140">
        <f t="shared" ca="1" si="4"/>
        <v>2022</v>
      </c>
    </row>
    <row r="141" spans="1:3" x14ac:dyDescent="0.25">
      <c r="A141" s="3">
        <f ca="1">IFERROR(__xludf.DUMMYFUNCTION("""COMPUTED_VALUE"""),44771.625)</f>
        <v>44771.625</v>
      </c>
      <c r="B141" s="1">
        <f ca="1">IFERROR(__xludf.DUMMYFUNCTION("""COMPUTED_VALUE"""),3840)</f>
        <v>3840</v>
      </c>
      <c r="C141">
        <f t="shared" ca="1" si="4"/>
        <v>2022</v>
      </c>
    </row>
    <row r="142" spans="1:3" x14ac:dyDescent="0.25">
      <c r="A142" s="3">
        <f ca="1">IFERROR(__xludf.DUMMYFUNCTION("""COMPUTED_VALUE"""),44770.625)</f>
        <v>44770.625</v>
      </c>
      <c r="B142" s="1">
        <f ca="1">IFERROR(__xludf.DUMMYFUNCTION("""COMPUTED_VALUE"""),4100)</f>
        <v>4100</v>
      </c>
      <c r="C142">
        <f t="shared" ca="1" si="4"/>
        <v>2022</v>
      </c>
    </row>
    <row r="143" spans="1:3" x14ac:dyDescent="0.25">
      <c r="A143" s="3">
        <f ca="1">IFERROR(__xludf.DUMMYFUNCTION("""COMPUTED_VALUE"""),44769.625)</f>
        <v>44769.625</v>
      </c>
      <c r="B143" s="1">
        <f ca="1">IFERROR(__xludf.DUMMYFUNCTION("""COMPUTED_VALUE"""),4000)</f>
        <v>4000</v>
      </c>
      <c r="C143">
        <f t="shared" ca="1" si="4"/>
        <v>2022</v>
      </c>
    </row>
    <row r="144" spans="1:3" x14ac:dyDescent="0.25">
      <c r="A144" s="3">
        <f ca="1">IFERROR(__xludf.DUMMYFUNCTION("""COMPUTED_VALUE"""),44768.625)</f>
        <v>44768.625</v>
      </c>
      <c r="B144" s="1">
        <f ca="1">IFERROR(__xludf.DUMMYFUNCTION("""COMPUTED_VALUE"""),3900)</f>
        <v>3900</v>
      </c>
      <c r="C144">
        <f t="shared" ca="1" si="4"/>
        <v>2022</v>
      </c>
    </row>
    <row r="145" spans="1:3" x14ac:dyDescent="0.25">
      <c r="A145" s="3">
        <f ca="1">IFERROR(__xludf.DUMMYFUNCTION("""COMPUTED_VALUE"""),44753.625)</f>
        <v>44753.625</v>
      </c>
      <c r="B145" s="1">
        <f ca="1">IFERROR(__xludf.DUMMYFUNCTION("""COMPUTED_VALUE"""),4180)</f>
        <v>4180</v>
      </c>
      <c r="C145">
        <f t="shared" ca="1" si="4"/>
        <v>2022</v>
      </c>
    </row>
    <row r="146" spans="1:3" x14ac:dyDescent="0.25">
      <c r="A146" s="3">
        <f ca="1">IFERROR(__xludf.DUMMYFUNCTION("""COMPUTED_VALUE"""),44749.625)</f>
        <v>44749.625</v>
      </c>
      <c r="B146" s="1">
        <f ca="1">IFERROR(__xludf.DUMMYFUNCTION("""COMPUTED_VALUE"""),4280)</f>
        <v>4280</v>
      </c>
      <c r="C146">
        <f t="shared" ca="1" si="4"/>
        <v>2022</v>
      </c>
    </row>
    <row r="147" spans="1:3" x14ac:dyDescent="0.25">
      <c r="A147" s="3">
        <f ca="1">IFERROR(__xludf.DUMMYFUNCTION("""COMPUTED_VALUE"""),44741.625)</f>
        <v>44741.625</v>
      </c>
      <c r="B147" s="1">
        <f ca="1">IFERROR(__xludf.DUMMYFUNCTION("""COMPUTED_VALUE"""),4148)</f>
        <v>4148</v>
      </c>
      <c r="C147">
        <f t="shared" ca="1" si="4"/>
        <v>2022</v>
      </c>
    </row>
    <row r="148" spans="1:3" x14ac:dyDescent="0.25">
      <c r="A148" s="3">
        <f ca="1">IFERROR(__xludf.DUMMYFUNCTION("""COMPUTED_VALUE"""),44685.625)</f>
        <v>44685.625</v>
      </c>
      <c r="B148" s="1">
        <f ca="1">IFERROR(__xludf.DUMMYFUNCTION("""COMPUTED_VALUE"""),5440.4)</f>
        <v>5440.4</v>
      </c>
      <c r="C148">
        <f t="shared" ca="1" si="4"/>
        <v>2022</v>
      </c>
    </row>
    <row r="149" spans="1:3" x14ac:dyDescent="0.25">
      <c r="A149" s="3">
        <f ca="1">IFERROR(__xludf.DUMMYFUNCTION("""COMPUTED_VALUE"""),44669.625)</f>
        <v>44669.625</v>
      </c>
      <c r="B149" s="1">
        <f ca="1">IFERROR(__xludf.DUMMYFUNCTION("""COMPUTED_VALUE"""),5239.6)</f>
        <v>5239.6000000000004</v>
      </c>
      <c r="C149">
        <f t="shared" ca="1" si="4"/>
        <v>2022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C2FC-A197-4394-BFC8-8D7335E81CE3}">
  <dimension ref="A1:D9"/>
  <sheetViews>
    <sheetView tabSelected="1" workbookViewId="0">
      <selection activeCell="B1" sqref="B1"/>
    </sheetView>
  </sheetViews>
  <sheetFormatPr defaultRowHeight="13.2" x14ac:dyDescent="0.25"/>
  <cols>
    <col min="1" max="1" width="61" bestFit="1" customWidth="1"/>
    <col min="2" max="2" width="13.77734375" bestFit="1" customWidth="1"/>
    <col min="3" max="3" width="14.6640625" style="13" bestFit="1" customWidth="1"/>
  </cols>
  <sheetData>
    <row r="1" spans="1:4" x14ac:dyDescent="0.25">
      <c r="A1" s="8" t="s">
        <v>82</v>
      </c>
      <c r="B1" s="8" t="s">
        <v>97</v>
      </c>
      <c r="C1" s="15" t="s">
        <v>66</v>
      </c>
      <c r="D1" t="s">
        <v>22</v>
      </c>
    </row>
    <row r="2" spans="1:4" ht="14.4" x14ac:dyDescent="0.25">
      <c r="A2" s="14" t="s">
        <v>83</v>
      </c>
      <c r="B2" s="14" t="s">
        <v>98</v>
      </c>
      <c r="C2" s="17">
        <v>43739</v>
      </c>
      <c r="D2">
        <v>2018</v>
      </c>
    </row>
    <row r="3" spans="1:4" ht="14.4" x14ac:dyDescent="0.25">
      <c r="A3" s="14" t="s">
        <v>84</v>
      </c>
      <c r="B3" s="14" t="s">
        <v>99</v>
      </c>
      <c r="C3" s="17" t="s">
        <v>94</v>
      </c>
      <c r="D3">
        <v>2019</v>
      </c>
    </row>
    <row r="4" spans="1:4" ht="14.4" x14ac:dyDescent="0.25">
      <c r="A4" s="14" t="s">
        <v>85</v>
      </c>
      <c r="B4" s="14" t="s">
        <v>100</v>
      </c>
      <c r="C4" s="17">
        <v>43617</v>
      </c>
      <c r="D4">
        <f t="shared" ref="D4:D6" si="0">VALUE(YEAR(C4))</f>
        <v>2019</v>
      </c>
    </row>
    <row r="5" spans="1:4" ht="14.4" x14ac:dyDescent="0.25">
      <c r="A5" s="14" t="s">
        <v>90</v>
      </c>
      <c r="B5" s="14" t="s">
        <v>101</v>
      </c>
      <c r="C5" s="17">
        <v>43739</v>
      </c>
      <c r="D5">
        <f t="shared" si="0"/>
        <v>2019</v>
      </c>
    </row>
    <row r="6" spans="1:4" ht="14.4" x14ac:dyDescent="0.25">
      <c r="A6" s="14" t="s">
        <v>89</v>
      </c>
      <c r="B6" s="14" t="s">
        <v>101</v>
      </c>
      <c r="C6" s="17">
        <v>43739</v>
      </c>
      <c r="D6">
        <f t="shared" si="0"/>
        <v>2019</v>
      </c>
    </row>
    <row r="7" spans="1:4" ht="14.4" x14ac:dyDescent="0.25">
      <c r="A7" s="14" t="s">
        <v>88</v>
      </c>
      <c r="B7" s="14" t="s">
        <v>101</v>
      </c>
      <c r="C7" s="17" t="s">
        <v>91</v>
      </c>
      <c r="D7">
        <v>2019</v>
      </c>
    </row>
    <row r="8" spans="1:4" ht="14.4" x14ac:dyDescent="0.25">
      <c r="A8" s="14" t="s">
        <v>86</v>
      </c>
      <c r="B8" s="14" t="s">
        <v>102</v>
      </c>
      <c r="C8" s="17" t="s">
        <v>92</v>
      </c>
      <c r="D8">
        <v>2020</v>
      </c>
    </row>
    <row r="9" spans="1:4" ht="14.4" x14ac:dyDescent="0.25">
      <c r="A9" s="14" t="s">
        <v>87</v>
      </c>
      <c r="B9" s="14" t="s">
        <v>103</v>
      </c>
      <c r="C9" s="17" t="s">
        <v>93</v>
      </c>
      <c r="D9">
        <v>2020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A167-D322-49AB-B2D0-C469B149CAF2}">
  <dimension ref="A1:C18"/>
  <sheetViews>
    <sheetView workbookViewId="0">
      <selection activeCell="B19" sqref="B19"/>
    </sheetView>
  </sheetViews>
  <sheetFormatPr defaultRowHeight="13.2" x14ac:dyDescent="0.25"/>
  <cols>
    <col min="1" max="1" width="13.6640625" customWidth="1"/>
    <col min="2" max="2" width="14.109375" customWidth="1"/>
  </cols>
  <sheetData>
    <row r="1" spans="1:3" x14ac:dyDescent="0.25">
      <c r="A1" t="s">
        <v>4</v>
      </c>
      <c r="B1" t="s">
        <v>21</v>
      </c>
      <c r="C1" s="4" t="s">
        <v>22</v>
      </c>
    </row>
    <row r="2" spans="1:3" x14ac:dyDescent="0.25">
      <c r="A2" t="s">
        <v>5</v>
      </c>
      <c r="B2">
        <v>1</v>
      </c>
      <c r="C2">
        <v>2019</v>
      </c>
    </row>
    <row r="3" spans="1:3" x14ac:dyDescent="0.25">
      <c r="A3" t="s">
        <v>6</v>
      </c>
      <c r="B3">
        <v>25</v>
      </c>
      <c r="C3">
        <v>2019</v>
      </c>
    </row>
    <row r="4" spans="1:3" x14ac:dyDescent="0.25">
      <c r="A4" t="s">
        <v>7</v>
      </c>
      <c r="B4">
        <v>6</v>
      </c>
      <c r="C4">
        <v>2019</v>
      </c>
    </row>
    <row r="5" spans="1:3" x14ac:dyDescent="0.25">
      <c r="A5" t="s">
        <v>8</v>
      </c>
      <c r="B5">
        <v>3</v>
      </c>
      <c r="C5">
        <v>2019</v>
      </c>
    </row>
    <row r="6" spans="1:3" x14ac:dyDescent="0.25">
      <c r="A6" t="s">
        <v>9</v>
      </c>
      <c r="B6">
        <v>6</v>
      </c>
      <c r="C6">
        <v>2019</v>
      </c>
    </row>
    <row r="7" spans="1:3" x14ac:dyDescent="0.25">
      <c r="A7" t="s">
        <v>10</v>
      </c>
      <c r="B7">
        <v>1</v>
      </c>
      <c r="C7">
        <v>2019</v>
      </c>
    </row>
    <row r="8" spans="1:3" x14ac:dyDescent="0.25">
      <c r="A8" t="s">
        <v>11</v>
      </c>
      <c r="B8">
        <v>1</v>
      </c>
      <c r="C8">
        <v>2019</v>
      </c>
    </row>
    <row r="9" spans="1:3" x14ac:dyDescent="0.25">
      <c r="A9" t="s">
        <v>12</v>
      </c>
      <c r="B9">
        <v>1</v>
      </c>
      <c r="C9">
        <v>2019</v>
      </c>
    </row>
    <row r="10" spans="1:3" x14ac:dyDescent="0.25">
      <c r="A10" t="s">
        <v>13</v>
      </c>
      <c r="B10">
        <v>1</v>
      </c>
      <c r="C10">
        <v>2019</v>
      </c>
    </row>
    <row r="11" spans="1:3" x14ac:dyDescent="0.25">
      <c r="A11" t="s">
        <v>14</v>
      </c>
      <c r="B11">
        <v>1</v>
      </c>
      <c r="C11">
        <v>2019</v>
      </c>
    </row>
    <row r="12" spans="1:3" x14ac:dyDescent="0.25">
      <c r="A12" t="s">
        <v>15</v>
      </c>
      <c r="B12">
        <v>5</v>
      </c>
      <c r="C12">
        <v>2019</v>
      </c>
    </row>
    <row r="13" spans="1:3" x14ac:dyDescent="0.25">
      <c r="A13" t="s">
        <v>16</v>
      </c>
      <c r="B13">
        <v>1</v>
      </c>
      <c r="C13">
        <v>2019</v>
      </c>
    </row>
    <row r="14" spans="1:3" x14ac:dyDescent="0.25">
      <c r="A14" t="s">
        <v>17</v>
      </c>
      <c r="B14">
        <v>1</v>
      </c>
      <c r="C14">
        <v>2019</v>
      </c>
    </row>
    <row r="15" spans="1:3" x14ac:dyDescent="0.25">
      <c r="A15" t="s">
        <v>18</v>
      </c>
      <c r="B15">
        <v>2</v>
      </c>
      <c r="C15">
        <v>2019</v>
      </c>
    </row>
    <row r="16" spans="1:3" x14ac:dyDescent="0.25">
      <c r="A16" t="s">
        <v>19</v>
      </c>
      <c r="B16">
        <v>1</v>
      </c>
      <c r="C16">
        <v>2019</v>
      </c>
    </row>
    <row r="17" spans="1:3" x14ac:dyDescent="0.25">
      <c r="A17" t="s">
        <v>20</v>
      </c>
      <c r="B17">
        <v>3</v>
      </c>
      <c r="C17">
        <v>2019</v>
      </c>
    </row>
    <row r="18" spans="1:3" x14ac:dyDescent="0.25">
      <c r="B18">
        <f>SUM(B2:B17)</f>
        <v>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7FD2-CD59-44E1-8DD5-9A59E75042D2}">
  <dimension ref="A1:C46"/>
  <sheetViews>
    <sheetView workbookViewId="0">
      <selection activeCell="E11" sqref="E11"/>
    </sheetView>
  </sheetViews>
  <sheetFormatPr defaultRowHeight="13.2" x14ac:dyDescent="0.25"/>
  <cols>
    <col min="1" max="1" width="14" bestFit="1" customWidth="1"/>
    <col min="2" max="2" width="18.21875" customWidth="1"/>
  </cols>
  <sheetData>
    <row r="1" spans="1:3" ht="15" thickBot="1" x14ac:dyDescent="0.3">
      <c r="A1" s="5" t="s">
        <v>23</v>
      </c>
      <c r="B1" s="5" t="s">
        <v>24</v>
      </c>
      <c r="C1" s="7" t="s">
        <v>22</v>
      </c>
    </row>
    <row r="2" spans="1:3" ht="15.6" thickTop="1" thickBot="1" x14ac:dyDescent="0.3">
      <c r="A2" s="6" t="s">
        <v>0</v>
      </c>
      <c r="B2" s="6">
        <v>147</v>
      </c>
      <c r="C2">
        <v>2023</v>
      </c>
    </row>
    <row r="3" spans="1:3" ht="15" thickBot="1" x14ac:dyDescent="0.3">
      <c r="A3" s="6" t="s">
        <v>2</v>
      </c>
      <c r="B3" s="6">
        <v>45</v>
      </c>
      <c r="C3">
        <v>2023</v>
      </c>
    </row>
    <row r="4" spans="1:3" ht="15" thickBot="1" x14ac:dyDescent="0.3">
      <c r="A4" s="6" t="s">
        <v>25</v>
      </c>
      <c r="B4" s="6">
        <v>21</v>
      </c>
      <c r="C4">
        <v>2023</v>
      </c>
    </row>
    <row r="5" spans="1:3" ht="15" thickBot="1" x14ac:dyDescent="0.3">
      <c r="A5" s="6" t="s">
        <v>26</v>
      </c>
      <c r="B5" s="6">
        <v>20</v>
      </c>
      <c r="C5">
        <v>2023</v>
      </c>
    </row>
    <row r="6" spans="1:3" ht="15" thickBot="1" x14ac:dyDescent="0.3">
      <c r="A6" s="6" t="s">
        <v>27</v>
      </c>
      <c r="B6" s="6">
        <v>19</v>
      </c>
      <c r="C6">
        <v>2023</v>
      </c>
    </row>
    <row r="7" spans="1:3" ht="15" thickBot="1" x14ac:dyDescent="0.3">
      <c r="A7" s="6" t="s">
        <v>28</v>
      </c>
      <c r="B7" s="6">
        <v>18</v>
      </c>
      <c r="C7">
        <v>2023</v>
      </c>
    </row>
    <row r="8" spans="1:3" ht="15" thickBot="1" x14ac:dyDescent="0.3">
      <c r="A8" s="6" t="s">
        <v>3</v>
      </c>
      <c r="B8" s="6">
        <v>17</v>
      </c>
      <c r="C8">
        <v>2023</v>
      </c>
    </row>
    <row r="9" spans="1:3" ht="15" thickBot="1" x14ac:dyDescent="0.3">
      <c r="A9" s="6" t="s">
        <v>29</v>
      </c>
      <c r="B9" s="6">
        <v>17</v>
      </c>
      <c r="C9">
        <v>2023</v>
      </c>
    </row>
    <row r="10" spans="1:3" ht="15" thickBot="1" x14ac:dyDescent="0.3">
      <c r="A10" s="6" t="s">
        <v>30</v>
      </c>
      <c r="B10" s="6">
        <v>15</v>
      </c>
      <c r="C10">
        <v>2023</v>
      </c>
    </row>
    <row r="11" spans="1:3" ht="15" thickBot="1" x14ac:dyDescent="0.3">
      <c r="A11" s="6" t="s">
        <v>1</v>
      </c>
      <c r="B11" s="6">
        <v>15</v>
      </c>
      <c r="C11">
        <v>2023</v>
      </c>
    </row>
    <row r="12" spans="1:3" ht="15" thickBot="1" x14ac:dyDescent="0.3">
      <c r="A12" s="6" t="s">
        <v>31</v>
      </c>
      <c r="B12" s="6">
        <v>14</v>
      </c>
      <c r="C12">
        <v>2023</v>
      </c>
    </row>
    <row r="13" spans="1:3" ht="15" thickBot="1" x14ac:dyDescent="0.3">
      <c r="A13" s="6" t="s">
        <v>32</v>
      </c>
      <c r="B13" s="6">
        <v>13</v>
      </c>
      <c r="C13">
        <v>2023</v>
      </c>
    </row>
    <row r="14" spans="1:3" ht="15" thickBot="1" x14ac:dyDescent="0.3">
      <c r="A14" s="6" t="s">
        <v>33</v>
      </c>
      <c r="B14" s="6">
        <v>12</v>
      </c>
      <c r="C14">
        <v>2023</v>
      </c>
    </row>
    <row r="15" spans="1:3" ht="15" thickBot="1" x14ac:dyDescent="0.3">
      <c r="A15" s="6" t="s">
        <v>34</v>
      </c>
      <c r="B15" s="6">
        <v>11</v>
      </c>
      <c r="C15">
        <v>2023</v>
      </c>
    </row>
    <row r="16" spans="1:3" ht="15" thickBot="1" x14ac:dyDescent="0.3">
      <c r="A16" s="6" t="s">
        <v>35</v>
      </c>
      <c r="B16" s="6">
        <v>10</v>
      </c>
      <c r="C16">
        <v>2023</v>
      </c>
    </row>
    <row r="17" spans="1:3" ht="15" thickBot="1" x14ac:dyDescent="0.3">
      <c r="A17" s="6" t="s">
        <v>36</v>
      </c>
      <c r="B17" s="6">
        <v>9</v>
      </c>
      <c r="C17">
        <v>2023</v>
      </c>
    </row>
    <row r="18" spans="1:3" ht="15" thickBot="1" x14ac:dyDescent="0.3">
      <c r="A18" s="6" t="s">
        <v>37</v>
      </c>
      <c r="B18" s="6">
        <v>8</v>
      </c>
      <c r="C18">
        <v>2023</v>
      </c>
    </row>
    <row r="19" spans="1:3" ht="15" thickBot="1" x14ac:dyDescent="0.3">
      <c r="A19" s="6" t="s">
        <v>38</v>
      </c>
      <c r="B19" s="6">
        <v>7</v>
      </c>
      <c r="C19">
        <v>2023</v>
      </c>
    </row>
    <row r="20" spans="1:3" ht="15" thickBot="1" x14ac:dyDescent="0.3">
      <c r="A20" s="6" t="s">
        <v>39</v>
      </c>
      <c r="B20" s="6">
        <v>7</v>
      </c>
      <c r="C20">
        <v>2023</v>
      </c>
    </row>
    <row r="21" spans="1:3" ht="15" thickBot="1" x14ac:dyDescent="0.3">
      <c r="A21" s="6" t="s">
        <v>40</v>
      </c>
      <c r="B21" s="6">
        <v>6</v>
      </c>
      <c r="C21">
        <v>2023</v>
      </c>
    </row>
    <row r="22" spans="1:3" ht="15" thickBot="1" x14ac:dyDescent="0.3">
      <c r="A22" s="6" t="s">
        <v>41</v>
      </c>
      <c r="B22" s="6">
        <v>5</v>
      </c>
      <c r="C22">
        <v>2023</v>
      </c>
    </row>
    <row r="23" spans="1:3" ht="15" thickBot="1" x14ac:dyDescent="0.3">
      <c r="A23" s="6" t="s">
        <v>42</v>
      </c>
      <c r="B23" s="6">
        <v>5</v>
      </c>
      <c r="C23">
        <v>2023</v>
      </c>
    </row>
    <row r="24" spans="1:3" ht="15" thickBot="1" x14ac:dyDescent="0.3">
      <c r="A24" s="6" t="s">
        <v>43</v>
      </c>
      <c r="B24" s="6">
        <v>4</v>
      </c>
      <c r="C24">
        <v>2023</v>
      </c>
    </row>
    <row r="25" spans="1:3" ht="15" thickBot="1" x14ac:dyDescent="0.3">
      <c r="A25" s="6" t="s">
        <v>44</v>
      </c>
      <c r="B25" s="6">
        <v>4</v>
      </c>
      <c r="C25">
        <v>2023</v>
      </c>
    </row>
    <row r="26" spans="1:3" ht="15" thickBot="1" x14ac:dyDescent="0.3">
      <c r="A26" s="6" t="s">
        <v>45</v>
      </c>
      <c r="B26" s="6">
        <v>4</v>
      </c>
      <c r="C26">
        <v>2023</v>
      </c>
    </row>
    <row r="27" spans="1:3" ht="15" thickBot="1" x14ac:dyDescent="0.3">
      <c r="A27" s="6" t="s">
        <v>46</v>
      </c>
      <c r="B27" s="6">
        <v>4</v>
      </c>
      <c r="C27">
        <v>2023</v>
      </c>
    </row>
    <row r="28" spans="1:3" ht="15" thickBot="1" x14ac:dyDescent="0.3">
      <c r="A28" s="6" t="s">
        <v>47</v>
      </c>
      <c r="B28" s="6">
        <v>3</v>
      </c>
      <c r="C28">
        <v>2023</v>
      </c>
    </row>
    <row r="29" spans="1:3" ht="15" thickBot="1" x14ac:dyDescent="0.3">
      <c r="A29" s="6" t="s">
        <v>48</v>
      </c>
      <c r="B29" s="6">
        <v>3</v>
      </c>
      <c r="C29">
        <v>2023</v>
      </c>
    </row>
    <row r="30" spans="1:3" ht="15" thickBot="1" x14ac:dyDescent="0.3">
      <c r="A30" s="6" t="s">
        <v>49</v>
      </c>
      <c r="B30" s="6">
        <v>3</v>
      </c>
      <c r="C30">
        <v>2023</v>
      </c>
    </row>
    <row r="31" spans="1:3" ht="15" thickBot="1" x14ac:dyDescent="0.3">
      <c r="A31" s="6" t="s">
        <v>50</v>
      </c>
      <c r="B31" s="6">
        <v>3</v>
      </c>
      <c r="C31">
        <v>2023</v>
      </c>
    </row>
    <row r="32" spans="1:3" ht="15" thickBot="1" x14ac:dyDescent="0.3">
      <c r="A32" s="6" t="s">
        <v>51</v>
      </c>
      <c r="B32" s="6">
        <v>3</v>
      </c>
      <c r="C32">
        <v>2023</v>
      </c>
    </row>
    <row r="33" spans="1:3" ht="15" thickBot="1" x14ac:dyDescent="0.3">
      <c r="A33" s="6" t="s">
        <v>52</v>
      </c>
      <c r="B33" s="6">
        <v>3</v>
      </c>
      <c r="C33">
        <v>2023</v>
      </c>
    </row>
    <row r="34" spans="1:3" ht="15" thickBot="1" x14ac:dyDescent="0.3">
      <c r="A34" s="6" t="s">
        <v>53</v>
      </c>
      <c r="B34" s="6">
        <v>3</v>
      </c>
      <c r="C34">
        <v>2023</v>
      </c>
    </row>
    <row r="35" spans="1:3" ht="15" thickBot="1" x14ac:dyDescent="0.3">
      <c r="A35" s="6" t="s">
        <v>54</v>
      </c>
      <c r="B35" s="6">
        <v>2</v>
      </c>
      <c r="C35">
        <v>2023</v>
      </c>
    </row>
    <row r="36" spans="1:3" ht="15" thickBot="1" x14ac:dyDescent="0.3">
      <c r="A36" s="6" t="s">
        <v>55</v>
      </c>
      <c r="B36" s="6">
        <v>2</v>
      </c>
      <c r="C36">
        <v>2023</v>
      </c>
    </row>
    <row r="37" spans="1:3" ht="15" thickBot="1" x14ac:dyDescent="0.3">
      <c r="A37" s="6" t="s">
        <v>56</v>
      </c>
      <c r="B37" s="6">
        <v>2</v>
      </c>
      <c r="C37">
        <v>2023</v>
      </c>
    </row>
    <row r="38" spans="1:3" ht="15" thickBot="1" x14ac:dyDescent="0.3">
      <c r="A38" s="6" t="s">
        <v>57</v>
      </c>
      <c r="B38" s="6">
        <v>2</v>
      </c>
      <c r="C38">
        <v>2023</v>
      </c>
    </row>
    <row r="39" spans="1:3" ht="15" thickBot="1" x14ac:dyDescent="0.3">
      <c r="A39" s="6" t="s">
        <v>58</v>
      </c>
      <c r="B39" s="6">
        <v>2</v>
      </c>
      <c r="C39">
        <v>2023</v>
      </c>
    </row>
    <row r="40" spans="1:3" ht="15" thickBot="1" x14ac:dyDescent="0.3">
      <c r="A40" s="6" t="s">
        <v>59</v>
      </c>
      <c r="B40" s="6">
        <v>2</v>
      </c>
      <c r="C40">
        <v>2023</v>
      </c>
    </row>
    <row r="41" spans="1:3" ht="29.4" thickBot="1" x14ac:dyDescent="0.3">
      <c r="A41" s="6" t="s">
        <v>60</v>
      </c>
      <c r="B41" s="6">
        <v>2</v>
      </c>
      <c r="C41">
        <v>2023</v>
      </c>
    </row>
    <row r="42" spans="1:3" ht="15" thickBot="1" x14ac:dyDescent="0.3">
      <c r="A42" s="6" t="s">
        <v>61</v>
      </c>
      <c r="B42" s="6">
        <v>1</v>
      </c>
      <c r="C42">
        <v>2023</v>
      </c>
    </row>
    <row r="43" spans="1:3" ht="15" thickBot="1" x14ac:dyDescent="0.3">
      <c r="A43" s="6" t="s">
        <v>62</v>
      </c>
      <c r="B43" s="6">
        <v>1</v>
      </c>
      <c r="C43">
        <v>2023</v>
      </c>
    </row>
    <row r="44" spans="1:3" ht="15" thickBot="1" x14ac:dyDescent="0.3">
      <c r="A44" s="6" t="s">
        <v>63</v>
      </c>
      <c r="B44" s="6">
        <v>1</v>
      </c>
      <c r="C44">
        <v>2023</v>
      </c>
    </row>
    <row r="45" spans="1:3" ht="15" thickBot="1" x14ac:dyDescent="0.3">
      <c r="A45" s="6" t="s">
        <v>64</v>
      </c>
      <c r="B45" s="6">
        <v>1</v>
      </c>
      <c r="C45">
        <v>2023</v>
      </c>
    </row>
    <row r="46" spans="1:3" ht="15" thickBot="1" x14ac:dyDescent="0.3">
      <c r="A46" s="6" t="s">
        <v>65</v>
      </c>
      <c r="B46" s="6">
        <v>1</v>
      </c>
      <c r="C46">
        <v>2023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DBDB-CAB9-4063-8AF1-35995CC90605}">
  <dimension ref="A1:B3"/>
  <sheetViews>
    <sheetView workbookViewId="0">
      <selection activeCell="B4" sqref="B4"/>
    </sheetView>
  </sheetViews>
  <sheetFormatPr defaultRowHeight="13.2" x14ac:dyDescent="0.25"/>
  <cols>
    <col min="2" max="2" width="15.5546875" bestFit="1" customWidth="1"/>
  </cols>
  <sheetData>
    <row r="1" spans="1:2" x14ac:dyDescent="0.25">
      <c r="A1" t="s">
        <v>22</v>
      </c>
      <c r="B1" t="s">
        <v>96</v>
      </c>
    </row>
    <row r="2" spans="1:2" x14ac:dyDescent="0.25">
      <c r="A2">
        <v>2019</v>
      </c>
      <c r="B2">
        <f>SUMIF(Office1!C2:C17,A2,Office1!B2:B19)</f>
        <v>59</v>
      </c>
    </row>
    <row r="3" spans="1:2" x14ac:dyDescent="0.25">
      <c r="A3">
        <v>2023</v>
      </c>
      <c r="B3">
        <f>SUMIF(Office2!C2:C46,A3,Office2!B2:B46)</f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WEWKQ Stocks</vt:lpstr>
      <vt:lpstr>Valuation</vt:lpstr>
      <vt:lpstr>Major layoffs</vt:lpstr>
      <vt:lpstr>WE Rebrand</vt:lpstr>
      <vt:lpstr>Lawsuits</vt:lpstr>
      <vt:lpstr>Office1</vt:lpstr>
      <vt:lpstr>Office2</vt:lpstr>
      <vt:lpstr>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 Pandey</cp:lastModifiedBy>
  <dcterms:modified xsi:type="dcterms:W3CDTF">2024-01-08T11:23:49Z</dcterms:modified>
</cp:coreProperties>
</file>