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han Pillai\Downloads\"/>
    </mc:Choice>
  </mc:AlternateContent>
  <xr:revisionPtr revIDLastSave="0" documentId="8_{88009331-F256-405A-860E-23A393717FC0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RM Summary" sheetId="2" r:id="rId1"/>
    <sheet name="Login Summary" sheetId="1" r:id="rId2"/>
    <sheet name="T vs A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2" l="1"/>
  <c r="G6" i="2"/>
  <c r="G5" i="2"/>
  <c r="G4" i="2"/>
  <c r="G3" i="2"/>
  <c r="E10" i="4" a="1"/>
  <c r="E10" i="4" s="1"/>
  <c r="E11" i="4" a="1"/>
  <c r="E11" i="4" s="1"/>
  <c r="E12" i="4" a="1"/>
  <c r="E12" i="4" s="1"/>
  <c r="E13" i="4" a="1"/>
  <c r="E13" i="4" s="1"/>
  <c r="E14" i="4" a="1"/>
  <c r="E14" i="4" s="1"/>
  <c r="E15" i="4" a="1"/>
  <c r="E15" i="4" s="1"/>
  <c r="E16" i="4" a="1"/>
  <c r="E16" i="4" s="1"/>
  <c r="E17" i="4" a="1"/>
  <c r="E17" i="4" s="1"/>
  <c r="E18" i="4" a="1"/>
  <c r="E18" i="4" s="1"/>
  <c r="E19" i="4" a="1"/>
  <c r="E19" i="4" s="1"/>
  <c r="E9" i="4" a="1"/>
  <c r="E9" i="4" s="1"/>
  <c r="L4" i="1" a="1"/>
  <c r="L4" i="1" s="1"/>
  <c r="C23" i="4" l="1"/>
  <c r="C10" i="4"/>
  <c r="C11" i="4"/>
  <c r="C12" i="4"/>
  <c r="C13" i="4"/>
  <c r="C14" i="4"/>
  <c r="C15" i="4"/>
  <c r="C16" i="4"/>
  <c r="C17" i="4"/>
  <c r="C18" i="4"/>
  <c r="C19" i="4"/>
  <c r="C9" i="4"/>
  <c r="D10" i="4"/>
  <c r="D11" i="4"/>
  <c r="D12" i="4"/>
  <c r="D13" i="4"/>
  <c r="D14" i="4"/>
  <c r="D15" i="4"/>
  <c r="D16" i="4"/>
  <c r="D17" i="4"/>
  <c r="D18" i="4"/>
  <c r="D19" i="4"/>
  <c r="D9" i="4"/>
  <c r="L5" i="1" a="1"/>
  <c r="L5" i="1" s="1"/>
  <c r="F3" i="2" s="1"/>
  <c r="L6" i="1" a="1"/>
  <c r="L6" i="1" s="1"/>
  <c r="L7" i="1" a="1"/>
  <c r="L7" i="1" s="1"/>
  <c r="L2" i="1" a="1"/>
  <c r="L2" i="1" s="1"/>
  <c r="L3" i="1" a="1"/>
  <c r="L3" i="1" s="1"/>
  <c r="L8" i="1" a="1"/>
  <c r="L8" i="1" s="1"/>
  <c r="L9" i="1" a="1"/>
  <c r="L9" i="1" s="1"/>
  <c r="F7" i="2" s="1"/>
  <c r="L10" i="1" a="1"/>
  <c r="L10" i="1" s="1"/>
  <c r="L11" i="1" a="1"/>
  <c r="L11" i="1" s="1"/>
  <c r="F5" i="2" s="1"/>
  <c r="L12" i="1" a="1"/>
  <c r="L12" i="1" s="1"/>
  <c r="F6" i="2" l="1"/>
  <c r="F4" i="2"/>
  <c r="B6" i="4"/>
  <c r="B5" i="4" a="1"/>
  <c r="B5" i="4" s="1"/>
  <c r="B4" i="4" a="1"/>
  <c r="B4" i="4" s="1"/>
  <c r="B3" i="4" a="1"/>
  <c r="B3" i="4" s="1"/>
  <c r="B2" i="4" a="1"/>
  <c r="B2" i="4" s="1"/>
  <c r="K13" i="1"/>
  <c r="E2" i="4" s="1"/>
  <c r="J13" i="1"/>
  <c r="O13" i="1"/>
  <c r="P13" i="1"/>
  <c r="Q13" i="1"/>
  <c r="R13" i="1"/>
  <c r="N13" i="1"/>
  <c r="C24" i="4"/>
  <c r="D25" i="4"/>
  <c r="B6" i="2" l="1"/>
  <c r="L13" i="1"/>
  <c r="F2" i="4" s="1"/>
  <c r="E24" i="4"/>
  <c r="G2" i="4"/>
  <c r="E23" i="4"/>
  <c r="C5" i="2"/>
  <c r="C5" i="4"/>
  <c r="C3" i="4"/>
  <c r="C2" i="4"/>
  <c r="C4" i="4"/>
  <c r="C6" i="2"/>
  <c r="C6" i="4" l="1"/>
  <c r="C25" i="4" l="1"/>
  <c r="E25" i="4" s="1"/>
  <c r="B5" i="2"/>
  <c r="G8" i="2" l="1"/>
  <c r="C4" i="2" s="1"/>
  <c r="C7" i="2" s="1"/>
  <c r="F8" i="2"/>
  <c r="B4" i="2" l="1"/>
  <c r="B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<sst xmlns="http://schemas.openxmlformats.org/spreadsheetml/2006/main" count="159" uniqueCount="73">
  <si>
    <t>No</t>
  </si>
  <si>
    <t>Login Date</t>
  </si>
  <si>
    <t>App No</t>
  </si>
  <si>
    <t>RM Name</t>
  </si>
  <si>
    <t>Call back (Y/N)</t>
  </si>
  <si>
    <t>Debited (Y/N)</t>
  </si>
  <si>
    <t>Issuance Status</t>
  </si>
  <si>
    <t>WRP</t>
  </si>
  <si>
    <t>APE</t>
  </si>
  <si>
    <t>Revised APE</t>
  </si>
  <si>
    <t>PPT</t>
  </si>
  <si>
    <t>Total Logged</t>
  </si>
  <si>
    <t>Total Debited</t>
  </si>
  <si>
    <t>Total Issued</t>
  </si>
  <si>
    <t>Not Issued</t>
  </si>
  <si>
    <t>Total Logged Revised APE</t>
  </si>
  <si>
    <t>NOP</t>
  </si>
  <si>
    <t xml:space="preserve">RM/ARM Name </t>
  </si>
  <si>
    <t>Login Update</t>
  </si>
  <si>
    <t>Branch Name : SB Road Pune</t>
  </si>
  <si>
    <t>RM</t>
  </si>
  <si>
    <t>ARM</t>
  </si>
  <si>
    <t>Active</t>
  </si>
  <si>
    <t>Inactive</t>
  </si>
  <si>
    <t>TOTAL</t>
  </si>
  <si>
    <t>Proposer Name</t>
  </si>
  <si>
    <t>Signature</t>
  </si>
  <si>
    <t xml:space="preserve">Product Mix </t>
  </si>
  <si>
    <t>Percentage</t>
  </si>
  <si>
    <t>Branch APE</t>
  </si>
  <si>
    <t>Blended APE</t>
  </si>
  <si>
    <t>Ulip</t>
  </si>
  <si>
    <t>Trad</t>
  </si>
  <si>
    <t>Protection</t>
  </si>
  <si>
    <t>Annuity</t>
  </si>
  <si>
    <t>Total</t>
  </si>
  <si>
    <t xml:space="preserve">No </t>
  </si>
  <si>
    <t xml:space="preserve">Name </t>
  </si>
  <si>
    <t xml:space="preserve">Application Number  </t>
  </si>
  <si>
    <t xml:space="preserve">Blended APE </t>
  </si>
  <si>
    <t xml:space="preserve">Achievement </t>
  </si>
  <si>
    <t>Target</t>
  </si>
  <si>
    <t>Achievement %</t>
  </si>
  <si>
    <t>Rider (ADB/ADD</t>
  </si>
  <si>
    <t>Rider (WOP</t>
  </si>
  <si>
    <t xml:space="preserve">TBR </t>
  </si>
  <si>
    <t>IPS - ADB / ADD</t>
  </si>
  <si>
    <t xml:space="preserve">IPS - All In One </t>
  </si>
  <si>
    <t>Product</t>
  </si>
  <si>
    <t>RM/ARM activation for the month - October</t>
  </si>
  <si>
    <t>Summary Oct 25</t>
  </si>
  <si>
    <t>Y</t>
  </si>
  <si>
    <t>U/W Pending</t>
  </si>
  <si>
    <t>I Protect Supreme</t>
  </si>
  <si>
    <t>Case Issued</t>
  </si>
  <si>
    <t xml:space="preserve">Medical Pending </t>
  </si>
  <si>
    <t>ABC</t>
  </si>
  <si>
    <t>OSXXXXXXX</t>
  </si>
  <si>
    <t>RM 1</t>
  </si>
  <si>
    <t>RM 2</t>
  </si>
  <si>
    <t>ARM 1</t>
  </si>
  <si>
    <t>ARM 2</t>
  </si>
  <si>
    <t>ARM 3</t>
  </si>
  <si>
    <t>Gold</t>
  </si>
  <si>
    <t>GIFT Pro</t>
  </si>
  <si>
    <t>GPP Flexi</t>
  </si>
  <si>
    <t>GPS</t>
  </si>
  <si>
    <t>Wish</t>
  </si>
  <si>
    <t>GIFT</t>
  </si>
  <si>
    <t>Case Closed</t>
  </si>
  <si>
    <t>Employee 1</t>
  </si>
  <si>
    <t>Employee 2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</si>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</sst>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9">
    <font>
      <sz val="11"/>
      <color theme="1"/>
      <name val="Calibri"/>
      <family val="2"/>
      <scheme val="minor"/>
    </font>
    <font>
      <b/>
      <sz val="10"/>
      <color theme="0"/>
      <name val="Aptos"/>
      <family val="2"/>
    </font>
    <font>
      <sz val="10"/>
      <color theme="1"/>
      <name val="Aptos"/>
      <family val="2"/>
    </font>
    <font>
      <sz val="10"/>
      <color rgb="FF000000"/>
      <name val="Aptos"/>
      <family val="2"/>
    </font>
    <font>
      <sz val="9"/>
      <color rgb="FF000000"/>
      <name val="Aptos"/>
      <family val="2"/>
    </font>
    <font>
      <b/>
      <sz val="10"/>
      <color rgb="FF000000"/>
      <name val="Aptos"/>
      <family val="2"/>
    </font>
    <font>
      <b/>
      <sz val="10"/>
      <color rgb="FF006100"/>
      <name val="Aptos"/>
      <family val="2"/>
    </font>
    <font>
      <b/>
      <sz val="10"/>
      <color rgb="FF9C0006"/>
      <name val="Aptos"/>
      <family val="2"/>
    </font>
    <font>
      <b/>
      <sz val="9"/>
      <color theme="0"/>
      <name val="Aptos"/>
      <family val="2"/>
    </font>
    <font>
      <sz val="9"/>
      <color theme="1"/>
      <name val="Aptos"/>
      <family val="2"/>
    </font>
    <font>
      <sz val="11"/>
      <color rgb="FF006100"/>
      <name val="Calibri"/>
      <family val="2"/>
      <scheme val="minor"/>
    </font>
    <font>
      <b/>
      <sz val="9"/>
      <color theme="0"/>
      <name val="Aptos "/>
    </font>
    <font>
      <sz val="9"/>
      <color theme="1"/>
      <name val="Aptos "/>
    </font>
    <font>
      <b/>
      <sz val="9"/>
      <color theme="1"/>
      <name val="Aptos "/>
    </font>
    <font>
      <sz val="9"/>
      <color rgb="FF000000"/>
      <name val="Aptos "/>
    </font>
    <font>
      <b/>
      <sz val="9"/>
      <color rgb="FF006100"/>
      <name val="Aptos "/>
    </font>
    <font>
      <sz val="11"/>
      <color theme="1"/>
      <name val="Aptos "/>
    </font>
    <font>
      <sz val="8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theme="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0" fillId="7" borderId="0" applyNumberFormat="0" applyBorder="0" applyAlignment="0" applyProtection="0"/>
  </cellStyleXfs>
  <cellXfs count="61">
    <xf numFmtId="0" fontId="0" fillId="0" borderId="0" xfId="0"/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1" fontId="1" fillId="6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0" xfId="0" applyFont="1"/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6" fillId="0" borderId="0" xfId="0" applyFont="1"/>
    <xf numFmtId="0" fontId="14" fillId="0" borderId="0" xfId="0" applyFont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9" fontId="12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9" fontId="13" fillId="0" borderId="1" xfId="0" applyNumberFormat="1" applyFont="1" applyBorder="1" applyAlignment="1">
      <alignment horizontal="center"/>
    </xf>
    <xf numFmtId="1" fontId="12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/>
    </xf>
    <xf numFmtId="9" fontId="15" fillId="7" borderId="1" xfId="1" applyNumberFormat="1" applyFont="1" applyBorder="1" applyAlignment="1">
      <alignment horizontal="center" vertical="center"/>
    </xf>
    <xf numFmtId="1" fontId="13" fillId="2" borderId="1" xfId="0" applyNumberFormat="1" applyFont="1" applyFill="1" applyBorder="1" applyAlignment="1">
      <alignment horizontal="center" vertical="center"/>
    </xf>
    <xf numFmtId="10" fontId="13" fillId="2" borderId="1" xfId="0" applyNumberFormat="1" applyFont="1" applyFill="1" applyBorder="1" applyAlignment="1">
      <alignment horizontal="center" vertical="center"/>
    </xf>
    <xf numFmtId="1" fontId="8" fillId="6" borderId="1" xfId="0" applyNumberFormat="1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9" fontId="18" fillId="7" borderId="1" xfId="1" applyNumberFormat="1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K9"/>
  <sheetViews>
    <sheetView workbookViewId="0">
      <selection activeCell="J14" sqref="J14"/>
    </sheetView>
  </sheetViews>
  <sheetFormatPr defaultRowHeight="14.5"/>
  <cols>
    <col min="1" max="1" width="25" customWidth="1"/>
    <col min="2" max="3" width="20" customWidth="1"/>
    <col min="4" max="4" width="2.54296875" customWidth="1"/>
    <col min="5" max="5" width="17" bestFit="1" customWidth="1"/>
    <col min="6" max="6" width="23.08984375" bestFit="1" customWidth="1"/>
    <col min="7" max="7" width="14.54296875" customWidth="1"/>
    <col min="8" max="8" width="2.453125" customWidth="1"/>
    <col min="9" max="9" width="25.1796875" customWidth="1"/>
    <col min="10" max="10" width="14.6328125" customWidth="1"/>
    <col min="11" max="11" width="16" customWidth="1"/>
    <col min="12" max="14" width="14.6328125" customWidth="1"/>
  </cols>
  <sheetData>
    <row r="1" spans="1:11" ht="15" thickBot="1"/>
    <row r="2" spans="1:11" ht="15" thickBot="1">
      <c r="A2" s="10" t="s">
        <v>50</v>
      </c>
      <c r="B2" s="56" t="s">
        <v>9</v>
      </c>
      <c r="C2" s="56" t="s">
        <v>16</v>
      </c>
      <c r="D2" s="1"/>
      <c r="E2" s="13" t="s">
        <v>17</v>
      </c>
      <c r="F2" s="13" t="s">
        <v>15</v>
      </c>
      <c r="G2" s="13" t="s">
        <v>16</v>
      </c>
      <c r="H2" s="1"/>
      <c r="I2" s="47" t="s">
        <v>49</v>
      </c>
      <c r="J2" s="48"/>
      <c r="K2" s="49"/>
    </row>
    <row r="3" spans="1:11" ht="15" thickBot="1">
      <c r="A3" s="10" t="s">
        <v>18</v>
      </c>
      <c r="B3" s="57"/>
      <c r="C3" s="57"/>
      <c r="D3" s="1"/>
      <c r="E3" s="3" t="s">
        <v>58</v>
      </c>
      <c r="F3" s="15">
        <f>SUMIF('Login Summary'!F:F,"RM 1",'Login Summary'!L:L)</f>
        <v>2100000</v>
      </c>
      <c r="G3" s="3">
        <f>COUNTIF('Login Summary'!F:F,"RM 1")</f>
        <v>2</v>
      </c>
      <c r="H3" s="1"/>
      <c r="I3" s="50"/>
      <c r="J3" s="51"/>
      <c r="K3" s="52"/>
    </row>
    <row r="4" spans="1:11" ht="15" thickBot="1">
      <c r="A4" s="2" t="s">
        <v>11</v>
      </c>
      <c r="B4" s="9">
        <f>F8</f>
        <v>7563876</v>
      </c>
      <c r="C4" s="3">
        <f>G8</f>
        <v>11</v>
      </c>
      <c r="D4" s="1"/>
      <c r="E4" s="3" t="s">
        <v>59</v>
      </c>
      <c r="F4" s="16">
        <f>SUMIF('Login Summary'!F:F,"RM 2",'Login Summary'!L:L)</f>
        <v>1350000</v>
      </c>
      <c r="G4" s="17">
        <f>COUNTIF('Login Summary'!F:F,"RM 2")</f>
        <v>2</v>
      </c>
      <c r="H4" s="1"/>
      <c r="I4" s="53" t="s">
        <v>19</v>
      </c>
      <c r="J4" s="54"/>
      <c r="K4" s="55"/>
    </row>
    <row r="5" spans="1:11" ht="15" thickBot="1">
      <c r="A5" s="2" t="s">
        <v>12</v>
      </c>
      <c r="B5" s="9">
        <f>SUMIF('Login Summary'!H:H,"Y",'Login Summary'!L:L)</f>
        <v>7563876</v>
      </c>
      <c r="C5" s="3">
        <f>COUNTIF('Login Summary'!H:H,"Y")</f>
        <v>11</v>
      </c>
      <c r="D5" s="1"/>
      <c r="E5" s="3" t="s">
        <v>60</v>
      </c>
      <c r="F5" s="18">
        <f>SUMIF('Login Summary'!F:F,"ARM 1",'Login Summary'!L:L)</f>
        <v>1221876</v>
      </c>
      <c r="G5" s="17">
        <f>COUNTIF('Login Summary'!F:F,"ARM 1")</f>
        <v>3</v>
      </c>
      <c r="H5" s="1"/>
      <c r="I5" s="11"/>
      <c r="J5" s="12" t="s">
        <v>20</v>
      </c>
      <c r="K5" s="12" t="s">
        <v>21</v>
      </c>
    </row>
    <row r="6" spans="1:11" ht="15" thickBot="1">
      <c r="A6" s="2" t="s">
        <v>13</v>
      </c>
      <c r="B6" s="9">
        <f>SUMIF('Login Summary'!I:I,"Case Issued",'Login Summary'!L:L)</f>
        <v>4782000</v>
      </c>
      <c r="C6" s="3">
        <f>COUNTIF('Login Summary'!I:I,"case Issued")</f>
        <v>6</v>
      </c>
      <c r="D6" s="1"/>
      <c r="E6" s="3" t="s">
        <v>61</v>
      </c>
      <c r="F6" s="18">
        <f>SUMIF('Login Summary'!F:F,"ARM 2",'Login Summary'!L:L)</f>
        <v>2550000</v>
      </c>
      <c r="G6" s="17">
        <f>COUNTIF('Login Summary'!F:F,"ARM 2")</f>
        <v>2</v>
      </c>
      <c r="H6" s="1"/>
      <c r="I6" s="4" t="s">
        <v>22</v>
      </c>
      <c r="J6" s="5">
        <v>2</v>
      </c>
      <c r="K6" s="5">
        <v>3</v>
      </c>
    </row>
    <row r="7" spans="1:11" ht="15" thickBot="1">
      <c r="A7" s="2" t="s">
        <v>14</v>
      </c>
      <c r="B7" s="9">
        <f>B4-B6</f>
        <v>2781876</v>
      </c>
      <c r="C7" s="3">
        <f>C4-C6</f>
        <v>5</v>
      </c>
      <c r="D7" s="1"/>
      <c r="E7" s="3" t="s">
        <v>62</v>
      </c>
      <c r="F7" s="18">
        <f>SUMIF('Login Summary'!F:F,"ARM 3",'Login Summary'!L:L)</f>
        <v>342000</v>
      </c>
      <c r="G7" s="17">
        <f>COUNTIF('Login Summary'!F:F,"ARM 3")</f>
        <v>2</v>
      </c>
      <c r="H7" s="1"/>
      <c r="I7" s="6" t="s">
        <v>23</v>
      </c>
      <c r="J7" s="5">
        <v>0</v>
      </c>
      <c r="K7" s="5">
        <v>0</v>
      </c>
    </row>
    <row r="8" spans="1:11" ht="15" thickBot="1">
      <c r="A8" s="7"/>
      <c r="B8" s="8"/>
      <c r="C8" s="8"/>
      <c r="D8" s="1"/>
      <c r="E8" s="10" t="s">
        <v>24</v>
      </c>
      <c r="F8" s="14">
        <f>SUM(F3:F7)</f>
        <v>7563876</v>
      </c>
      <c r="G8" s="10">
        <f>SUM(G3:G7)</f>
        <v>11</v>
      </c>
      <c r="H8" s="1"/>
      <c r="I8" s="7"/>
      <c r="J8" s="7"/>
    </row>
    <row r="9" spans="1:11">
      <c r="E9" s="19"/>
      <c r="F9" s="19"/>
      <c r="G9" s="19"/>
    </row>
  </sheetData>
  <mergeCells count="4">
    <mergeCell ref="I2:K3"/>
    <mergeCell ref="I4:K4"/>
    <mergeCell ref="B2:B3"/>
    <mergeCell ref="C2:C3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R22"/>
  <sheetViews>
    <sheetView zoomScale="105" zoomScaleNormal="90" workbookViewId="0">
      <selection activeCell="F22" sqref="F22"/>
    </sheetView>
  </sheetViews>
  <sheetFormatPr defaultRowHeight="14.5"/>
  <cols>
    <col min="1" max="1" width="10.453125" customWidth="1"/>
    <col min="2" max="3" width="14.81640625" customWidth="1"/>
    <col min="4" max="4" width="21.08984375" bestFit="1" customWidth="1"/>
    <col min="5" max="5" width="14.81640625" customWidth="1"/>
    <col min="6" max="6" width="19" customWidth="1"/>
    <col min="7" max="12" width="14.81640625" customWidth="1"/>
    <col min="13" max="13" width="8" customWidth="1"/>
    <col min="14" max="14" width="16.08984375" customWidth="1"/>
    <col min="15" max="15" width="10.54296875" customWidth="1"/>
    <col min="17" max="18" width="12.453125" bestFit="1" customWidth="1"/>
  </cols>
  <sheetData>
    <row r="1" spans="1:18" ht="15" thickBot="1">
      <c r="A1" s="25" t="s">
        <v>0</v>
      </c>
      <c r="B1" s="25" t="s">
        <v>1</v>
      </c>
      <c r="C1" s="25" t="s">
        <v>2</v>
      </c>
      <c r="D1" s="25" t="s">
        <v>25</v>
      </c>
      <c r="E1" s="25" t="s">
        <v>48</v>
      </c>
      <c r="F1" s="25" t="s">
        <v>3</v>
      </c>
      <c r="G1" s="25" t="s">
        <v>4</v>
      </c>
      <c r="H1" s="25" t="s">
        <v>5</v>
      </c>
      <c r="I1" s="25" t="s">
        <v>6</v>
      </c>
      <c r="J1" s="25" t="s">
        <v>7</v>
      </c>
      <c r="K1" s="25" t="s">
        <v>8</v>
      </c>
      <c r="L1" s="25" t="s">
        <v>9</v>
      </c>
      <c r="M1" s="32" t="s">
        <v>10</v>
      </c>
      <c r="N1" s="33" t="s">
        <v>43</v>
      </c>
      <c r="O1" s="34" t="s">
        <v>44</v>
      </c>
      <c r="P1" s="34" t="s">
        <v>45</v>
      </c>
      <c r="Q1" s="34" t="s">
        <v>46</v>
      </c>
      <c r="R1" s="34" t="s">
        <v>47</v>
      </c>
    </row>
    <row r="2" spans="1:18" ht="15" thickBot="1">
      <c r="A2" s="26">
        <v>1</v>
      </c>
      <c r="B2" s="27">
        <v>45931</v>
      </c>
      <c r="C2" s="28" t="s">
        <v>57</v>
      </c>
      <c r="D2" s="28" t="s">
        <v>56</v>
      </c>
      <c r="E2" s="29" t="s">
        <v>26</v>
      </c>
      <c r="F2" s="29" t="s">
        <v>60</v>
      </c>
      <c r="G2" s="26" t="s">
        <v>51</v>
      </c>
      <c r="H2" s="26" t="s">
        <v>51</v>
      </c>
      <c r="I2" s="29" t="s">
        <v>55</v>
      </c>
      <c r="J2" s="26">
        <v>20000</v>
      </c>
      <c r="K2" s="26">
        <v>240000</v>
      </c>
      <c r="L2" s="30" cm="1">
        <f t="array" ref="L2">IF(E2="","",_xlfn.SWITCH(E2,"Signature",K2*IF(M2&gt;10,120%,IF(M2&gt;5,110%,100%)),"LTC",K2*IF(M2&gt;10,120%,IF(M2&gt;5,110%,100%)),"GIFT",K2*IF(M2=5,110%,IF(M2=6,120%,IF(AND(M2&gt;=7,M2&lt;=10),135%,IF(M2&gt;10,150%,1)))),"GIFT Pro",K2*IF(M2=5,110%,IF(M2=6,120%,IF(AND(M2&gt;=7,M2&lt;=10),135%,IF(M2&gt;10,150%,1)))),"GPP Flexi",K2*IF(M2=5,110%,IF(M2=6,120%,IF(AND(M2&gt;=7,M2&lt;=10),135%,IF(M2&gt;10,150%,1)))),"Gold",K2*IF(M2=5,100%,IF(AND(M2&gt;=6,M2&lt;=10),120%,IF(M2&gt;10,150%,1))),"I Protect Supreme",K2*IF(M2&lt;=10,205%,600%),"IP-ROP",K2*IF(M2&lt;=10,205%,600%),"Wish",K2*IF(M2&lt;=10,205%,600%),"GPS",K2*IF(M2=2,100%,1),K2))</f>
        <v>288000</v>
      </c>
      <c r="M2" s="31">
        <v>12</v>
      </c>
      <c r="N2" s="31"/>
      <c r="O2" s="31"/>
      <c r="P2" s="31" t="s">
        <v>51</v>
      </c>
      <c r="Q2" s="31"/>
      <c r="R2" s="31"/>
    </row>
    <row r="3" spans="1:18" ht="15" thickBot="1">
      <c r="A3" s="26">
        <v>2</v>
      </c>
      <c r="B3" s="27">
        <v>45932</v>
      </c>
      <c r="C3" s="28" t="s">
        <v>57</v>
      </c>
      <c r="D3" s="28" t="s">
        <v>56</v>
      </c>
      <c r="E3" s="29" t="s">
        <v>26</v>
      </c>
      <c r="F3" s="29" t="s">
        <v>62</v>
      </c>
      <c r="G3" s="26" t="s">
        <v>51</v>
      </c>
      <c r="H3" s="26" t="s">
        <v>51</v>
      </c>
      <c r="I3" s="29" t="s">
        <v>54</v>
      </c>
      <c r="J3" s="26">
        <v>10000</v>
      </c>
      <c r="K3" s="26">
        <v>120000</v>
      </c>
      <c r="L3" s="30" cm="1">
        <f t="array" ref="L3">IF(E3="","",_xlfn.SWITCH(E3,"Signature",K3*IF(M3&gt;10,120%,IF(M3&gt;5,110%,100%)),"LTC",K3*IF(M3&gt;10,120%,IF(M3&gt;5,110%,100%)),"GIFT",K3*IF(M3=5,110%,IF(M3=6,120%,IF(AND(M3&gt;=7,M3&lt;=10),135%,IF(M3&gt;10,150%,1)))),"GIFT Pro",K3*IF(M3=5,110%,IF(M3=6,120%,IF(AND(M3&gt;=7,M3&lt;=10),135%,IF(M3&gt;10,150%,1)))),"GPP Flexi",K3*IF(M3=5,110%,IF(M3=6,120%,IF(AND(M3&gt;=7,M3&lt;=10),135%,IF(M3&gt;10,150%,1)))),"Gold",K3*IF(M3=5,100%,IF(AND(M3&gt;=6,M3&lt;=10),120%,IF(M3&gt;10,150%,1))),"I Protect Supreme",K3*IF(M3&lt;=10,205%,600%),"IP-ROP",K3*IF(M3&lt;=10,205%,600%),"Wish",K3*IF(M3&lt;=10,205%,600%),"GPS",K3*IF(M3=2,100%,1),K3))</f>
        <v>132000</v>
      </c>
      <c r="M3" s="31">
        <v>10</v>
      </c>
      <c r="N3" s="31"/>
      <c r="O3" s="31"/>
      <c r="P3" s="31"/>
      <c r="Q3" s="31"/>
      <c r="R3" s="31"/>
    </row>
    <row r="4" spans="1:18" ht="15" thickBot="1">
      <c r="A4" s="26">
        <v>3</v>
      </c>
      <c r="B4" s="27">
        <v>45933</v>
      </c>
      <c r="C4" s="28" t="s">
        <v>57</v>
      </c>
      <c r="D4" s="28" t="s">
        <v>56</v>
      </c>
      <c r="E4" s="29" t="s">
        <v>53</v>
      </c>
      <c r="F4" s="29" t="s">
        <v>60</v>
      </c>
      <c r="G4" s="26" t="s">
        <v>51</v>
      </c>
      <c r="H4" s="26" t="s">
        <v>51</v>
      </c>
      <c r="I4" s="29" t="s">
        <v>52</v>
      </c>
      <c r="J4" s="26">
        <v>30646</v>
      </c>
      <c r="K4" s="26">
        <v>30646</v>
      </c>
      <c r="L4" s="30" cm="1">
        <f t="array" ref="L4">IF(E4="","",_xlfn.SWITCH(E4,"Signature",K4*IF(M4&gt;10,120%,IF(M4&gt;5,110%,100%)),"LTC",K4*IF(M4&gt;10,120%,IF(M4&gt;5,110%,100%)),"GIFT",K4*IF(M4=5,110%,IF(M4=6,120%,IF(AND(M4&gt;=7,M4&lt;=10),135%,IF(M4&gt;10,150%,1)))),"GIFT Pro",K4*IF(M4=5,110%,IF(M4=6,120%,IF(AND(M4&gt;=7,M4&lt;=10),135%,IF(M4&gt;10,150%,1)))),"GPP Flexi",K4*IF(M4=5,110%,IF(M4=6,120%,IF(AND(M4&gt;=7,M4&lt;=10),135%,IF(M4&gt;10,150%,1)))),"Gold",K4*IF(M4=5,100%,IF(AND(M4&gt;=6,M4&lt;=10),120%,IF(M4&gt;10,150%,1))),"I Protect Supreme",K4*IF(M4&lt;=10,205%,600%),"IP-ROP",K4*IF(M4&lt;=10,205%,600%),"Wish",K4*IF(M4&lt;=10,205%,600%),"GPS",K4*IF(M4=2,100%,1),K4))</f>
        <v>183876</v>
      </c>
      <c r="M4" s="31">
        <v>25</v>
      </c>
      <c r="N4" s="31"/>
      <c r="O4" s="31"/>
      <c r="P4" s="31"/>
      <c r="Q4" s="31"/>
      <c r="R4" s="31" t="s">
        <v>51</v>
      </c>
    </row>
    <row r="5" spans="1:18" ht="15" thickBot="1">
      <c r="A5" s="26">
        <v>4</v>
      </c>
      <c r="B5" s="27">
        <v>45934</v>
      </c>
      <c r="C5" s="28" t="s">
        <v>57</v>
      </c>
      <c r="D5" s="28" t="s">
        <v>56</v>
      </c>
      <c r="E5" s="29" t="s">
        <v>63</v>
      </c>
      <c r="F5" s="29" t="s">
        <v>58</v>
      </c>
      <c r="G5" s="26" t="s">
        <v>51</v>
      </c>
      <c r="H5" s="26" t="s">
        <v>51</v>
      </c>
      <c r="I5" s="29" t="s">
        <v>54</v>
      </c>
      <c r="J5" s="26">
        <v>500000</v>
      </c>
      <c r="K5" s="26">
        <v>500000</v>
      </c>
      <c r="L5" s="30" cm="1">
        <f t="array" ref="L5">IF(E5="","",_xlfn.SWITCH(E5,"Signature",K5*IF(M5&gt;10,120%,IF(M5&gt;5,110%,100%)),"LTC",K5*IF(M5&gt;10,120%,IF(M5&gt;5,110%,100%)),"GIFT",K5*IF(M5=5,110%,IF(M5=6,120%,IF(AND(M5&gt;=7,M5&lt;=10),135%,IF(M5&gt;10,150%,1)))),"GIFT Pro",K5*IF(M5=5,110%,IF(M5=6,120%,IF(AND(M5&gt;=7,M5&lt;=10),135%,IF(M5&gt;10,150%,1)))),"GPP Flexi",K5*IF(M5=5,110%,IF(M5=6,120%,IF(AND(M5&gt;=7,M5&lt;=10),135%,IF(M5&gt;10,150%,1)))),"Gold",K5*IF(M5=5,100%,IF(AND(M5&gt;=6,M5&lt;=10),120%,IF(M5&gt;10,150%,1))),"I Protect Supreme",K5*IF(M5&lt;=10,205%,600%),"IP-ROP",K5*IF(M5&lt;=10,205%,600%),"Wish",K5*IF(M5&lt;=10,205%,600%),"GPS",K5*IF(M5=2,100%,1),K5))</f>
        <v>750000</v>
      </c>
      <c r="M5" s="31">
        <v>12</v>
      </c>
      <c r="N5" s="31"/>
      <c r="O5" s="31"/>
      <c r="P5" s="31"/>
      <c r="Q5" s="31"/>
      <c r="R5" s="31"/>
    </row>
    <row r="6" spans="1:18" ht="15" thickBot="1">
      <c r="A6" s="26">
        <v>5</v>
      </c>
      <c r="B6" s="27">
        <v>45935</v>
      </c>
      <c r="C6" s="28" t="s">
        <v>57</v>
      </c>
      <c r="D6" s="28" t="s">
        <v>56</v>
      </c>
      <c r="E6" s="29" t="s">
        <v>64</v>
      </c>
      <c r="F6" s="29" t="s">
        <v>59</v>
      </c>
      <c r="G6" s="26" t="s">
        <v>51</v>
      </c>
      <c r="H6" s="26" t="s">
        <v>51</v>
      </c>
      <c r="I6" s="29" t="s">
        <v>54</v>
      </c>
      <c r="J6" s="26">
        <v>500000</v>
      </c>
      <c r="K6" s="26">
        <v>500000</v>
      </c>
      <c r="L6" s="30" cm="1">
        <f t="array" ref="L6">IF(E6="","",_xlfn.SWITCH(E6,"Signature",K6*IF(M6&gt;10,120%,IF(M6&gt;5,110%,100%)),"LTC",K6*IF(M6&gt;10,120%,IF(M6&gt;5,110%,100%)),"GIFT",K6*IF(M6=5,110%,IF(M6=6,120%,IF(AND(M6&gt;=7,M6&lt;=10),135%,IF(M6&gt;10,150%,1)))),"GIFT Pro",K6*IF(M6=5,110%,IF(M6=6,120%,IF(AND(M6&gt;=7,M6&lt;=10),135%,IF(M6&gt;10,150%,1)))),"GPP Flexi",K6*IF(M6=5,110%,IF(M6=6,120%,IF(AND(M6&gt;=7,M6&lt;=10),135%,IF(M6&gt;10,150%,1)))),"Gold",K6*IF(M6=5,100%,IF(AND(M6&gt;=6,M6&lt;=10),120%,IF(M6&gt;10,150%,1))),"I Protect Supreme",K6*IF(M6&lt;=10,205%,600%),"IP-ROP",K6*IF(M6&lt;=10,205%,600%),"Wish",K6*IF(M6&lt;=10,205%,600%),"GPS",K6*IF(M6=2,100%,1),K6))</f>
        <v>750000</v>
      </c>
      <c r="M6" s="31">
        <v>12</v>
      </c>
      <c r="N6" s="31"/>
      <c r="O6" s="31"/>
      <c r="P6" s="31"/>
      <c r="Q6" s="31"/>
      <c r="R6" s="31"/>
    </row>
    <row r="7" spans="1:18" ht="15" thickBot="1">
      <c r="A7" s="26">
        <v>6</v>
      </c>
      <c r="B7" s="27">
        <v>45936</v>
      </c>
      <c r="C7" s="28" t="s">
        <v>57</v>
      </c>
      <c r="D7" s="28" t="s">
        <v>56</v>
      </c>
      <c r="E7" s="29" t="s">
        <v>26</v>
      </c>
      <c r="F7" s="29" t="s">
        <v>61</v>
      </c>
      <c r="G7" s="26" t="s">
        <v>51</v>
      </c>
      <c r="H7" s="26" t="s">
        <v>51</v>
      </c>
      <c r="I7" s="29" t="s">
        <v>54</v>
      </c>
      <c r="J7" s="26">
        <v>500000</v>
      </c>
      <c r="K7" s="26">
        <v>500000</v>
      </c>
      <c r="L7" s="30" cm="1">
        <f t="array" ref="L7">IF(E7="","",_xlfn.SWITCH(E7,"Signature",K7*IF(M7&gt;10,120%,IF(M7&gt;5,110%,100%)),"LTC",K7*IF(M7&gt;10,120%,IF(M7&gt;5,110%,100%)),"GIFT",K7*IF(M7=5,110%,IF(M7=6,120%,IF(AND(M7&gt;=7,M7&lt;=10),135%,IF(M7&gt;10,150%,1)))),"GIFT Pro",K7*IF(M7=5,110%,IF(M7=6,120%,IF(AND(M7&gt;=7,M7&lt;=10),135%,IF(M7&gt;10,150%,1)))),"GPP Flexi",K7*IF(M7=5,110%,IF(M7=6,120%,IF(AND(M7&gt;=7,M7&lt;=10),135%,IF(M7&gt;10,150%,1)))),"Gold",K7*IF(M7=5,100%,IF(AND(M7&gt;=6,M7&lt;=10),120%,IF(M7&gt;10,150%,1))),"I Protect Supreme",K7*IF(M7&lt;=10,205%,600%),"IP-ROP",K7*IF(M7&lt;=10,205%,600%),"Wish",K7*IF(M7&lt;=10,205%,600%),"GPS",K7*IF(M7=2,100%,1),K7))</f>
        <v>550000</v>
      </c>
      <c r="M7" s="31">
        <v>7</v>
      </c>
      <c r="N7" s="31"/>
      <c r="O7" s="31"/>
      <c r="P7" s="31"/>
      <c r="Q7" s="31"/>
      <c r="R7" s="31"/>
    </row>
    <row r="8" spans="1:18" ht="15" thickBot="1">
      <c r="A8" s="26">
        <v>7</v>
      </c>
      <c r="B8" s="27">
        <v>45937</v>
      </c>
      <c r="C8" s="28" t="s">
        <v>57</v>
      </c>
      <c r="D8" s="28" t="s">
        <v>56</v>
      </c>
      <c r="E8" s="29" t="s">
        <v>66</v>
      </c>
      <c r="F8" s="29" t="s">
        <v>61</v>
      </c>
      <c r="G8" s="26" t="s">
        <v>51</v>
      </c>
      <c r="H8" s="26" t="s">
        <v>51</v>
      </c>
      <c r="I8" s="29" t="s">
        <v>54</v>
      </c>
      <c r="J8" s="26">
        <v>2000000</v>
      </c>
      <c r="K8" s="26">
        <v>2000000</v>
      </c>
      <c r="L8" s="30" cm="1">
        <f t="array" ref="L8">IF(E8="","",_xlfn.SWITCH(E8,"Signature",K8*IF(M8&gt;10,120%,IF(M8&gt;5,110%,100%)),"LTC",K8*IF(M8&gt;10,120%,IF(M8&gt;5,110%,100%)),"GIFT",K8*IF(M8=5,110%,IF(M8=6,120%,IF(AND(M8&gt;=7,M8&lt;=10),135%,IF(M8&gt;10,150%,1)))),"GIFT Pro",K8*IF(M8=5,110%,IF(M8=6,120%,IF(AND(M8&gt;=7,M8&lt;=10),135%,IF(M8&gt;10,150%,1)))),"GPP Flexi",K8*IF(M8=5,110%,IF(M8=6,120%,IF(AND(M8&gt;=7,M8&lt;=10),135%,IF(M8&gt;10,150%,1)))),"Gold",K8*IF(M8=5,100%,IF(AND(M8&gt;=6,M8&lt;=10),120%,IF(M8&gt;10,150%,1))),"I Protect Supreme",K8*IF(M8&lt;=10,205%,600%),"IP-ROP",K8*IF(M8&lt;=10,205%,600%),"Wish",K8*IF(M8&lt;=10,205%,600%),"GPS",K8*IF(M8=2,100%,1),K8))</f>
        <v>2000000</v>
      </c>
      <c r="M8" s="31">
        <v>2</v>
      </c>
      <c r="N8" s="31"/>
      <c r="O8" s="31"/>
      <c r="P8" s="31"/>
      <c r="Q8" s="31"/>
      <c r="R8" s="31"/>
    </row>
    <row r="9" spans="1:18" ht="15" thickBot="1">
      <c r="A9" s="26">
        <v>8</v>
      </c>
      <c r="B9" s="27">
        <v>45938</v>
      </c>
      <c r="C9" s="28" t="s">
        <v>57</v>
      </c>
      <c r="D9" s="28" t="s">
        <v>56</v>
      </c>
      <c r="E9" s="29" t="s">
        <v>67</v>
      </c>
      <c r="F9" s="29" t="s">
        <v>62</v>
      </c>
      <c r="G9" s="26" t="s">
        <v>51</v>
      </c>
      <c r="H9" s="26" t="s">
        <v>51</v>
      </c>
      <c r="I9" s="29" t="s">
        <v>69</v>
      </c>
      <c r="J9" s="26">
        <v>35000</v>
      </c>
      <c r="K9" s="26">
        <v>35000</v>
      </c>
      <c r="L9" s="30" cm="1">
        <f t="array" ref="L9">IF(E9="","",_xlfn.SWITCH(E9,"Signature",K9*IF(M9&gt;10,120%,IF(M9&gt;5,110%,100%)),"LTC",K9*IF(M9&gt;10,120%,IF(M9&gt;5,110%,100%)),"GIFT",K9*IF(M9=5,110%,IF(M9=6,120%,IF(AND(M9&gt;=7,M9&lt;=10),135%,IF(M9&gt;10,150%,1)))),"GIFT Pro",K9*IF(M9=5,110%,IF(M9=6,120%,IF(AND(M9&gt;=7,M9&lt;=10),135%,IF(M9&gt;10,150%,1)))),"GPP Flexi",K9*IF(M9=5,110%,IF(M9=6,120%,IF(AND(M9&gt;=7,M9&lt;=10),135%,IF(M9&gt;10,150%,1)))),"Gold",K9*IF(M9=5,100%,IF(AND(M9&gt;=6,M9&lt;=10),120%,IF(M9&gt;10,150%,1))),"I Protect Supreme",K9*IF(M9&lt;=10,250%,600%),"IP-ROP",K9*IF(M9&lt;=10,250%,600%),"Wish",K9*IF(M9&lt;=10,205%,600%),"GPS",K9*IF(M9=2,100%,1),K9))</f>
        <v>210000</v>
      </c>
      <c r="M9" s="31">
        <v>21</v>
      </c>
      <c r="N9" s="31"/>
      <c r="O9" s="31"/>
      <c r="P9" s="31"/>
      <c r="Q9" s="31"/>
      <c r="R9" s="31"/>
    </row>
    <row r="10" spans="1:18" ht="15" thickBot="1">
      <c r="A10" s="26">
        <v>9</v>
      </c>
      <c r="B10" s="27">
        <v>45939</v>
      </c>
      <c r="C10" s="28" t="s">
        <v>57</v>
      </c>
      <c r="D10" s="28" t="s">
        <v>56</v>
      </c>
      <c r="E10" s="29" t="s">
        <v>65</v>
      </c>
      <c r="F10" s="29" t="s">
        <v>59</v>
      </c>
      <c r="G10" s="26" t="s">
        <v>51</v>
      </c>
      <c r="H10" s="26" t="s">
        <v>51</v>
      </c>
      <c r="I10" s="29" t="s">
        <v>54</v>
      </c>
      <c r="J10" s="26">
        <v>400000</v>
      </c>
      <c r="K10" s="26">
        <v>400000</v>
      </c>
      <c r="L10" s="30" cm="1">
        <f t="array" ref="L10">IF(E10="","",_xlfn.SWITCH(E10,"Signature",K10*IF(M10&gt;10,120%,IF(M10&gt;5,110%,100%)),"LTC",K10*IF(M10&gt;10,120%,IF(M10&gt;5,110%,100%)),"GIFT",K10*IF(M10=5,110%,IF(M10=6,120%,IF(AND(M10&gt;=7,M10&lt;=10),135%,IF(M10&gt;10,150%,1)))),"GIFT Pro",K10*IF(M10=5,110%,IF(M10=6,120%,IF(AND(M10&gt;=7,M10&lt;=10),135%,IF(M10&gt;10,150%,1)))),"GPP Flexi",K10*IF(M10=5,110%,IF(M10=6,120%,IF(AND(M10&gt;=7,M10&lt;=10),135%,IF(M10&gt;10,150%,1)))),"Gold",K10*IF(M10=5,100%,IF(AND(M10&gt;=6,M10&lt;=10),120%,IF(M10&gt;10,150%,1))),"I Protect Supreme",K10*IF(M10&lt;=10,205%,600%),"IP-ROP",K10*IF(M10&lt;=10,205%,600%),"Wish",K10*IF(M10&lt;=10,205%,600%),"GPS",K10*IF(M10=2,100%,1),K10))</f>
        <v>600000</v>
      </c>
      <c r="M10" s="31">
        <v>12</v>
      </c>
      <c r="N10" s="31"/>
      <c r="O10" s="31"/>
      <c r="P10" s="31"/>
      <c r="Q10" s="31"/>
      <c r="R10" s="31"/>
    </row>
    <row r="11" spans="1:18" ht="15" thickBot="1">
      <c r="A11" s="26">
        <v>10</v>
      </c>
      <c r="B11" s="27">
        <v>45940</v>
      </c>
      <c r="C11" s="28" t="s">
        <v>57</v>
      </c>
      <c r="D11" s="28" t="s">
        <v>56</v>
      </c>
      <c r="E11" s="29" t="s">
        <v>64</v>
      </c>
      <c r="F11" s="29" t="s">
        <v>60</v>
      </c>
      <c r="G11" s="26" t="s">
        <v>51</v>
      </c>
      <c r="H11" s="26" t="s">
        <v>51</v>
      </c>
      <c r="I11" s="29" t="s">
        <v>69</v>
      </c>
      <c r="J11" s="26">
        <v>500000</v>
      </c>
      <c r="K11" s="26">
        <v>500000</v>
      </c>
      <c r="L11" s="30" cm="1">
        <f t="array" ref="L11">IF(E11="","",_xlfn.SWITCH(E11,"Signature",K11*IF(M11&gt;10,120%,IF(M11&gt;5,110%,100%)),"LTC",K11*IF(M11&gt;10,120%,IF(M11&gt;5,110%,100%)),"GIFT",K11*IF(M11=5,110%,IF(M11=6,120%,IF(AND(M11&gt;=7,M11&lt;=10),135%,IF(M11&gt;10,150%,1)))),"GIFT Pro",K11*IF(M11=5,110%,IF(M11=6,120%,IF(AND(M11&gt;=7,M11&lt;=10),135%,IF(M11&gt;10,150%,1)))),"GPP Flexi",K11*IF(M11=5,110%,IF(M11=6,120%,IF(AND(M11&gt;=7,M11&lt;=10),135%,IF(M11&gt;10,150%,1)))),"Gold",K11*IF(M11=5,100%,IF(AND(M11&gt;=6,M11&lt;=10),120%,IF(M11&gt;10,150%,1))),"I Protect Supreme",K11*IF(M11&lt;=10,205%,600%),"IP-ROP",K11*IF(M11&lt;=10,205%,600%),"Wish",K11*IF(M11&lt;=10,205%,600%),"GPS",K11*IF(M11=2,100%,1),K11))</f>
        <v>750000</v>
      </c>
      <c r="M11" s="31">
        <v>12</v>
      </c>
      <c r="N11" s="31"/>
      <c r="O11" s="31" t="s">
        <v>51</v>
      </c>
      <c r="P11" s="31"/>
      <c r="Q11" s="31"/>
      <c r="R11" s="31"/>
    </row>
    <row r="12" spans="1:18" ht="15" thickBot="1">
      <c r="A12" s="26">
        <v>11</v>
      </c>
      <c r="B12" s="27">
        <v>45941</v>
      </c>
      <c r="C12" s="28" t="s">
        <v>57</v>
      </c>
      <c r="D12" s="28" t="s">
        <v>56</v>
      </c>
      <c r="E12" s="29" t="s">
        <v>68</v>
      </c>
      <c r="F12" s="29" t="s">
        <v>58</v>
      </c>
      <c r="G12" s="26" t="s">
        <v>51</v>
      </c>
      <c r="H12" s="26" t="s">
        <v>51</v>
      </c>
      <c r="I12" s="29" t="s">
        <v>69</v>
      </c>
      <c r="J12" s="26">
        <v>1000000</v>
      </c>
      <c r="K12" s="26">
        <v>1000000</v>
      </c>
      <c r="L12" s="30" cm="1">
        <f t="array" ref="L12">IF(E12="","",_xlfn.SWITCH(E12,"Signature",K12*IF(M12&gt;10,120%,IF(M12&gt;5,110%,100%)),"LTC",K12*IF(M12&gt;10,120%,IF(M12&gt;5,110%,100%)),"GIFT",K12*IF(M12=5,110%,IF(M12=6,120%,IF(AND(M12&gt;=7,M12&lt;=10),135%,IF(M12&gt;10,150%,1)))),"GIFT Pro",K12*IF(M12=5,110%,IF(M12=6,120%,IF(AND(M12&gt;=7,M12&lt;=10),135%,IF(M12&gt;10,150%,1)))),"GPP Flexi",K12*IF(M12=5,110%,IF(M12=6,120%,IF(AND(M12&gt;=7,M12&lt;=10),135%,IF(M12&gt;10,150%,1)))),"Gold",K12*IF(M12=5,100%,IF(AND(M12&gt;=6,M12&lt;=10),120%,IF(M12&gt;10,150%,1))),"I Protect Supreme",K12*IF(M12&lt;=10,205%,600%),"IP-ROP",K12*IF(M12&lt;=10,205%,600%),"Wish",K12*IF(M12&lt;=10,205%,600%),"GPS",K12*IF(M12=2,100%,1),K12))</f>
        <v>1350000</v>
      </c>
      <c r="M12" s="31">
        <v>10</v>
      </c>
      <c r="N12" s="31" t="s">
        <v>51</v>
      </c>
      <c r="O12" s="31"/>
      <c r="P12" s="31"/>
      <c r="Q12" s="31"/>
      <c r="R12" s="31"/>
    </row>
    <row r="13" spans="1:18" ht="15" thickBot="1">
      <c r="A13" s="58" t="s">
        <v>24</v>
      </c>
      <c r="B13" s="58"/>
      <c r="C13" s="58"/>
      <c r="D13" s="58"/>
      <c r="E13" s="58"/>
      <c r="F13" s="58"/>
      <c r="G13" s="58"/>
      <c r="H13" s="58"/>
      <c r="I13" s="58"/>
      <c r="J13" s="25">
        <f>SUM(J2:J12)</f>
        <v>5495646</v>
      </c>
      <c r="K13" s="25">
        <f>SUM(K2:K12)</f>
        <v>5825646</v>
      </c>
      <c r="L13" s="46">
        <f>SUM(L2:L12)</f>
        <v>7563876</v>
      </c>
      <c r="M13" s="32"/>
      <c r="N13" s="32">
        <f>COUNTIF(N2:N11,"Y")</f>
        <v>0</v>
      </c>
      <c r="O13" s="32">
        <f t="shared" ref="O13:R13" si="0">COUNTIF(O2:O11,"Y")</f>
        <v>1</v>
      </c>
      <c r="P13" s="32">
        <f t="shared" si="0"/>
        <v>1</v>
      </c>
      <c r="Q13" s="32">
        <f t="shared" si="0"/>
        <v>0</v>
      </c>
      <c r="R13" s="32">
        <f t="shared" si="0"/>
        <v>1</v>
      </c>
    </row>
    <row r="22" spans="6:6">
      <c r="F22" t="s">
        <v>72</v>
      </c>
    </row>
  </sheetData>
  <mergeCells count="1">
    <mergeCell ref="A13:I13"/>
  </mergeCells>
  <phoneticPr fontId="17" type="noConversion"/>
  <dataValidations count="1">
    <dataValidation type="list" allowBlank="1" showInputMessage="1" showErrorMessage="1" sqref="E2:E13 E47:E466" xr:uid="{00000000-0002-0000-0000-000000000000}">
      <formula1>"Signature,LTC,GIFT,GIFT Pro,Gold,GPS,GPP Flexi,GPP,I Protect Supreme,IP-ROP,Wish"</formula1>
    </dataValidation>
  </dataValidations>
  <pageMargins left="0.75" right="0.75" top="1" bottom="1" header="0.5" footer="0.5"/>
  <ignoredErrors>
    <ignoredError sqref="L9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2816AAA-2E59-485F-B38D-226FB1875713}">
          <x14:formula1>
            <xm:f>'RM Summary'!$E$3:$E$7</xm:f>
          </x14:formula1>
          <xm:sqref>F2:F12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1099-2656-40A5-95BA-D2BC96C9AB1E}">
  <sheetPr codeName="Sheet3"/>
  <dimension ref="A1:H35"/>
  <sheetViews>
    <sheetView tabSelected="1" zoomScale="107" workbookViewId="0">
      <selection activeCell="F31" sqref="F31"/>
    </sheetView>
  </sheetViews>
  <sheetFormatPr defaultColWidth="8.90625" defaultRowHeight="14"/>
  <cols>
    <col min="1" max="2" width="14.6328125" style="23" customWidth="1"/>
    <col min="3" max="3" width="27.1796875" style="23" customWidth="1"/>
    <col min="4" max="4" width="18" style="23" bestFit="1" customWidth="1"/>
    <col min="5" max="5" width="16.453125" style="23" customWidth="1"/>
    <col min="6" max="6" width="15.1796875" style="23" customWidth="1"/>
    <col min="7" max="7" width="15.54296875" style="23" customWidth="1"/>
    <col min="8" max="8" width="19.81640625" style="23" bestFit="1" customWidth="1"/>
    <col min="9" max="10" width="14.6328125" style="23" customWidth="1"/>
    <col min="11" max="16384" width="8.90625" style="23"/>
  </cols>
  <sheetData>
    <row r="1" spans="1:8" ht="14.5" thickBot="1">
      <c r="A1" s="35" t="s">
        <v>27</v>
      </c>
      <c r="B1" s="35" t="s">
        <v>8</v>
      </c>
      <c r="C1" s="35" t="s">
        <v>28</v>
      </c>
      <c r="D1" s="20"/>
      <c r="E1" s="35" t="s">
        <v>29</v>
      </c>
      <c r="F1" s="35" t="s">
        <v>9</v>
      </c>
      <c r="G1" s="35" t="s">
        <v>30</v>
      </c>
    </row>
    <row r="2" spans="1:8" ht="14.5" thickBot="1">
      <c r="A2" s="36" t="s">
        <v>31</v>
      </c>
      <c r="B2" s="36" cm="1">
        <f t="array" ref="B2">SUM(SUMIFS('Login Summary'!K2:K12,'Login Summary'!E2:E12,{"Signature","LTC"}))</f>
        <v>860000</v>
      </c>
      <c r="C2" s="37">
        <f>B2/'Login Summary'!K13</f>
        <v>0.14762311338519368</v>
      </c>
      <c r="E2" s="36">
        <f>'Login Summary'!K13</f>
        <v>5825646</v>
      </c>
      <c r="F2" s="36">
        <f>'Login Summary'!L13</f>
        <v>7563876</v>
      </c>
      <c r="G2" s="40">
        <f>SUM(E9:E19)</f>
        <v>7604876</v>
      </c>
    </row>
    <row r="3" spans="1:8" ht="14.5" thickBot="1">
      <c r="A3" s="36" t="s">
        <v>32</v>
      </c>
      <c r="B3" s="36" cm="1">
        <f t="array" ref="B3">SUM(SUMIFS('Login Summary'!K2:K12,'Login Summary'!E2:E12,{"GIFT","GIFT Pro","Gold"}))</f>
        <v>2500000</v>
      </c>
      <c r="C3" s="37">
        <f>B3/'Login Summary'!K13</f>
        <v>0.42913695751509789</v>
      </c>
      <c r="D3" s="20"/>
      <c r="E3" s="20"/>
      <c r="F3" s="20"/>
    </row>
    <row r="4" spans="1:8" ht="14.5" thickBot="1">
      <c r="A4" s="36" t="s">
        <v>33</v>
      </c>
      <c r="B4" s="36" cm="1">
        <f t="array" ref="B4">SUM(SUMIFS('Login Summary'!K2:K12,'Login Summary'!E2:E12,{"I Protect Supreme","IP-ROP","WISH"}))</f>
        <v>65646</v>
      </c>
      <c r="C4" s="37">
        <f>B4/'Login Summary'!K13</f>
        <v>1.1268449885214447E-2</v>
      </c>
      <c r="D4" s="20"/>
      <c r="E4" s="20"/>
      <c r="F4" s="20"/>
    </row>
    <row r="5" spans="1:8" ht="14.5" thickBot="1">
      <c r="A5" s="36" t="s">
        <v>34</v>
      </c>
      <c r="B5" s="36" cm="1">
        <f t="array" ref="B5">SUM(SUMIFS('Login Summary'!K2:K12,'Login Summary'!E2:E12,{"GPS","GPP","GPP Flexi"}))</f>
        <v>2400000</v>
      </c>
      <c r="C5" s="37">
        <f>B5/'Login Summary'!K13</f>
        <v>0.41197147921449401</v>
      </c>
      <c r="D5" s="20"/>
      <c r="E5" s="20"/>
      <c r="F5" s="20"/>
    </row>
    <row r="6" spans="1:8" ht="14.5" thickBot="1">
      <c r="A6" s="38" t="s">
        <v>35</v>
      </c>
      <c r="B6" s="36">
        <f>SUM('Login Summary'!K2:K12)</f>
        <v>5825646</v>
      </c>
      <c r="C6" s="39">
        <f>SUM(C2:C5)</f>
        <v>1</v>
      </c>
      <c r="D6" s="20"/>
      <c r="E6" s="20"/>
      <c r="F6" s="20"/>
    </row>
    <row r="7" spans="1:8" ht="15" thickBot="1">
      <c r="A7" s="20"/>
      <c r="B7" s="20"/>
      <c r="C7" s="20"/>
      <c r="D7" s="20"/>
      <c r="E7" s="20"/>
      <c r="F7" s="20"/>
      <c r="H7"/>
    </row>
    <row r="8" spans="1:8" ht="15" thickBot="1">
      <c r="A8" s="35" t="s">
        <v>36</v>
      </c>
      <c r="B8" s="35" t="s">
        <v>37</v>
      </c>
      <c r="C8" s="35" t="s">
        <v>38</v>
      </c>
      <c r="D8" s="35" t="s">
        <v>8</v>
      </c>
      <c r="E8" s="35" t="s">
        <v>39</v>
      </c>
      <c r="F8" s="20"/>
      <c r="H8"/>
    </row>
    <row r="9" spans="1:8" ht="15" thickBot="1">
      <c r="A9" s="36">
        <v>1</v>
      </c>
      <c r="B9" s="36" t="s">
        <v>70</v>
      </c>
      <c r="C9" s="36" t="str">
        <f>'Login Summary'!C2</f>
        <v>OSXXXXXXX</v>
      </c>
      <c r="D9" s="41">
        <f>'Login Summary'!K2</f>
        <v>240000</v>
      </c>
      <c r="E9" s="42" cm="1">
        <f t="array" ref="E9">_xlfn.LET(_xlpm.loginRow,ROW()-7,_xlpm.prod,LOWER(INDEX('Login Summary'!E:E,_xlpm.loginRow)),_xlpm.wrp,INDEX('Login Summary'!J:J,_xlpm.loginRow),_xlpm.ape,INDEX('Login Summary'!K:K,_xlpm.loginRow),_xlpm.ppt,INDEX('Login Summary'!M:M,_xlpm.loginRow),_xlpm.payType,IF(_xlpm.wrp=_xlpm.ape,"Annual","Monthly"),_xlpm.anyRiderFlagCount,COUNTA(INDEX('Login Summary'!N:N,_xlpm.loginRow),INDEX('Login Summary'!O:O,_xlpm.loginRow),INDEX('Login Summary'!P:P,_xlpm.loginRow),INDEX('Login Summary'!Q:Q,_xlpm.loginRow),INDEX('Login Summary'!R:R,_xlpm.loginRow)),_xlpm.anyRider,IF(_xlpm.anyRiderFlagCount=0,"N","Y"),_xlpm.yN,IF(INDEX('Login Summary'!N:N,_xlpm.loginRow)="Y",1,0),_xlpm.yO,IF(INDEX('Login Summary'!O:O,_xlpm.loginRow)="Y",1,0),_xlpm.yP,IF(INDEX('Login Summary'!P:P,_xlpm.loginRow)="Y",1,0),_xlpm.yQ,IF(INDEX('Login Summary'!Q:Q,_xlpm.loginRow)="Y",1,0),_xlpm.yR,IF(INDEX('Login Summary'!R:R,_xlpm.loginRow)="Y",1,0),IF(OR(_xlpm.prod="signature",_xlpm.prod="ltc"),IF(_xlpm.payType="Annual",IF(_xlpm.ape&gt;=1000000,IF(_xlpm.anyRider="N",_xlpm.ape*25%,IF(_xlpm.yN,_xlpm.ape*50%,IF(_xlpm.yO,_xlpm.ape*50%,IF(_xlpm.yP,_xlpm.ape*75%)))),IF(_xlpm.anyRider="N",_xlpm.ape*50%,IF(_xlpm.yN,_xlpm.ape*75%,IF(_xlpm.yO,_xlpm.ape*75%,IF(_xlpm.yP,_xlpm.ape*100%))))),IF(_xlpm.ape&gt;=1000000,IF(_xlpm.anyRider="N",0,IF(_xlpm.yN,_xlpm.ape*25%,IF(_xlpm.yO,_xlpm.ape*25%,IF(_xlpm.yP,_xlpm.ape*50%)))),IF(_xlpm.anyRider="N",_xlpm.ape*10%,IF(_xlpm.yN,_xlpm.ape*35%,IF(_xlpm.yO,_xlpm.ape*35%,IF(_xlpm.yP,_xlpm.ape*60%)))))),IF(_xlpm.prod="gold",IF(_xlpm.ppt&gt;10,IF(_xlpm.anyRider="N",_xlpm.ape*120%,IF(OR(_xlpm.yN,_xlpm.yO),_xlpm.ape*145%)),IF(_xlpm.ppt&gt;7,IF(_xlpm.anyRider="N",_xlpm.ape*100%,IF(_xlpm.yN,_xlpm.ape*110%,IF(_xlpm.yO,_xlpm.ape*120%))),"")),IF(OR(_xlpm.prod="gift",_xlpm.prod="gift pro"),IF(AND(_xlpm.ppt&gt;=7,_xlpm.ppt&lt;=9),IF(_xlpm.anyRider="N",_xlpm.ape*150%,IF(OR(_xlpm.yN,_xlpm.yO),_xlpm.ape*175%)),IF(AND(_xlpm.ppt&gt;=10,_xlpm.ppt&lt;=11),IF(_xlpm.anyRider="N",_xlpm.ape*200%,IF(OR(_xlpm.yN,_xlpm.yO),_xlpm.ape*225%)),IF(_xlpm.ppt=12,IF(_xlpm.anyRider="N",_xlpm.ape*250%,IF(OR(_xlpm.yN,_xlpm.yO),_xlpm.ape*275%)),""))),IF(OR(_xlpm.prod="I Protect Supreme",_xlpm.prod="IP-ROP"),IF(_xlpm.yR,_xlpm.ape*600%,IF(_xlpm.yQ,_xlpm.ape*400%,_xlpm.ape*300%)),IF(_xlpm.prod="wish",_xlpm.ape*400%,IF(_xlpm.prod="gps",IF(OR(_xlpm.ppt=2,_xlpm.ppt=3),_xlpm.ape*20%,IF(AND(_xlpm.ppt&gt;=5,_xlpm.ppt&lt;=7),_xlpm.ape*100%,IF(_xlpm.ppt&gt;7,_xlpm.ape*120%,""))),IF(OR(_xlpm.prod="gpp",_xlpm.prod="gpp flexi"),IF(_xlpm.ppt&lt;7,_xlpm.ape*100%,IF(AND(_xlpm.ppt&gt;=7,_xlpm.ppt&lt;=9),_xlpm.ape*150%,IF(_xlpm.ppt&gt;10,_xlpm.ape*250%,""))),""))))))))</f>
        <v>144000</v>
      </c>
      <c r="H9"/>
    </row>
    <row r="10" spans="1:8" ht="15" thickBot="1">
      <c r="A10" s="36">
        <v>2</v>
      </c>
      <c r="B10" s="36" t="s">
        <v>70</v>
      </c>
      <c r="C10" s="36" t="str">
        <f>'Login Summary'!C3</f>
        <v>OSXXXXXXX</v>
      </c>
      <c r="D10" s="41">
        <f>'Login Summary'!K3</f>
        <v>120000</v>
      </c>
      <c r="E10" s="42" cm="1">
        <f t="array" ref="E10">_xlfn.LET(_xlpm.loginRow,ROW()-7,_xlpm.prod,LOWER(INDEX('Login Summary'!E:E,_xlpm.loginRow)),_xlpm.wrp,INDEX('Login Summary'!J:J,_xlpm.loginRow),_xlpm.ape,INDEX('Login Summary'!K:K,_xlpm.loginRow),_xlpm.ppt,INDEX('Login Summary'!M:M,_xlpm.loginRow),_xlpm.payType,IF(_xlpm.wrp=_xlpm.ape,"Annual","Monthly"),_xlpm.anyRiderFlagCount,COUNTA(INDEX('Login Summary'!N:N,_xlpm.loginRow),INDEX('Login Summary'!O:O,_xlpm.loginRow),INDEX('Login Summary'!P:P,_xlpm.loginRow),INDEX('Login Summary'!Q:Q,_xlpm.loginRow),INDEX('Login Summary'!R:R,_xlpm.loginRow)),_xlpm.anyRider,IF(_xlpm.anyRiderFlagCount=0,"N","Y"),_xlpm.yN,IF(INDEX('Login Summary'!N:N,_xlpm.loginRow)="Y",1,0),_xlpm.yO,IF(INDEX('Login Summary'!O:O,_xlpm.loginRow)="Y",1,0),_xlpm.yP,IF(INDEX('Login Summary'!P:P,_xlpm.loginRow)="Y",1,0),_xlpm.yQ,IF(INDEX('Login Summary'!Q:Q,_xlpm.loginRow)="Y",1,0),_xlpm.yR,IF(INDEX('Login Summary'!R:R,_xlpm.loginRow)="Y",1,0),IF(OR(_xlpm.prod="signature",_xlpm.prod="ltc"),IF(_xlpm.payType="Annual",IF(_xlpm.ape&gt;=1000000,IF(_xlpm.anyRider="N",_xlpm.ape*25%,IF(_xlpm.yN,_xlpm.ape*50%,IF(_xlpm.yO,_xlpm.ape*50%,IF(_xlpm.yP,_xlpm.ape*75%)))),IF(_xlpm.anyRider="N",_xlpm.ape*50%,IF(_xlpm.yN,_xlpm.ape*75%,IF(_xlpm.yO,_xlpm.ape*75%,IF(_xlpm.yP,_xlpm.ape*100%))))),IF(_xlpm.ape&gt;=1000000,IF(_xlpm.anyRider="N",0,IF(_xlpm.yN,_xlpm.ape*25%,IF(_xlpm.yO,_xlpm.ape*25%,IF(_xlpm.yP,_xlpm.ape*50%)))),IF(_xlpm.anyRider="N",_xlpm.ape*10%,IF(_xlpm.yN,_xlpm.ape*35%,IF(_xlpm.yO,_xlpm.ape*35%,IF(_xlpm.yP,_xlpm.ape*60%)))))),IF(_xlpm.prod="gold",IF(_xlpm.ppt&gt;10,IF(_xlpm.anyRider="N",_xlpm.ape*120%,IF(OR(_xlpm.yN,_xlpm.yO),_xlpm.ape*145%)),IF(_xlpm.ppt&gt;7,IF(_xlpm.anyRider="N",_xlpm.ape*100%,IF(_xlpm.yN,_xlpm.ape*110%,IF(_xlpm.yO,_xlpm.ape*120%))),"")),IF(OR(_xlpm.prod="gift",_xlpm.prod="gift pro"),IF(AND(_xlpm.ppt&gt;=7,_xlpm.ppt&lt;=9),IF(_xlpm.anyRider="N",_xlpm.ape*150%,IF(OR(_xlpm.yN,_xlpm.yO),_xlpm.ape*175%)),IF(AND(_xlpm.ppt&gt;=10,_xlpm.ppt&lt;=11),IF(_xlpm.anyRider="N",_xlpm.ape*200%,IF(OR(_xlpm.yN,_xlpm.yO),_xlpm.ape*225%)),IF(_xlpm.ppt=12,IF(_xlpm.anyRider="N",_xlpm.ape*250%,IF(OR(_xlpm.yN,_xlpm.yO),_xlpm.ape*275%)),""))),IF(OR(_xlpm.prod="I Protect Supreme",_xlpm.prod="IP-ROP"),IF(_xlpm.yR,_xlpm.ape*600%,IF(_xlpm.yQ,_xlpm.ape*400%,_xlpm.ape*300%)),IF(_xlpm.prod="wish",_xlpm.ape*400%,IF(_xlpm.prod="gps",IF(OR(_xlpm.ppt=2,_xlpm.ppt=3),_xlpm.ape*20%,IF(AND(_xlpm.ppt&gt;=5,_xlpm.ppt&lt;=7),_xlpm.ape*100%,IF(_xlpm.ppt&gt;7,_xlpm.ape*120%,""))),IF(OR(_xlpm.prod="gpp",_xlpm.prod="gpp flexi"),IF(_xlpm.ppt&lt;7,_xlpm.ape*100%,IF(AND(_xlpm.ppt&gt;=7,_xlpm.ppt&lt;=9),_xlpm.ape*150%,IF(_xlpm.ppt&gt;10,_xlpm.ape*250%,""))),""))))))))</f>
        <v>12000</v>
      </c>
      <c r="H10"/>
    </row>
    <row r="11" spans="1:8" ht="15" thickBot="1">
      <c r="A11" s="36">
        <v>3</v>
      </c>
      <c r="B11" s="36" t="s">
        <v>71</v>
      </c>
      <c r="C11" s="36" t="str">
        <f>'Login Summary'!C4</f>
        <v>OSXXXXXXX</v>
      </c>
      <c r="D11" s="41">
        <f>'Login Summary'!K4</f>
        <v>30646</v>
      </c>
      <c r="E11" s="42" cm="1">
        <f t="array" ref="E11">_xlfn.LET(_xlpm.loginRow,ROW()-7,_xlpm.prod,LOWER(INDEX('Login Summary'!E:E,_xlpm.loginRow)),_xlpm.wrp,INDEX('Login Summary'!J:J,_xlpm.loginRow),_xlpm.ape,INDEX('Login Summary'!K:K,_xlpm.loginRow),_xlpm.ppt,INDEX('Login Summary'!M:M,_xlpm.loginRow),_xlpm.payType,IF(_xlpm.wrp=_xlpm.ape,"Annual","Monthly"),_xlpm.anyRiderFlagCount,COUNTA(INDEX('Login Summary'!N:N,_xlpm.loginRow),INDEX('Login Summary'!O:O,_xlpm.loginRow),INDEX('Login Summary'!P:P,_xlpm.loginRow),INDEX('Login Summary'!Q:Q,_xlpm.loginRow),INDEX('Login Summary'!R:R,_xlpm.loginRow)),_xlpm.anyRider,IF(_xlpm.anyRiderFlagCount=0,"N","Y"),_xlpm.yN,IF(INDEX('Login Summary'!N:N,_xlpm.loginRow)="Y",1,0),_xlpm.yO,IF(INDEX('Login Summary'!O:O,_xlpm.loginRow)="Y",1,0),_xlpm.yP,IF(INDEX('Login Summary'!P:P,_xlpm.loginRow)="Y",1,0),_xlpm.yQ,IF(INDEX('Login Summary'!Q:Q,_xlpm.loginRow)="Y",1,0),_xlpm.yR,IF(INDEX('Login Summary'!R:R,_xlpm.loginRow)="Y",1,0),IF(OR(_xlpm.prod="signature",_xlpm.prod="ltc"),IF(_xlpm.payType="Annual",IF(_xlpm.ape&gt;=1000000,IF(_xlpm.anyRider="N",_xlpm.ape*25%,IF(_xlpm.yN,_xlpm.ape*50%,IF(_xlpm.yO,_xlpm.ape*50%,IF(_xlpm.yP,_xlpm.ape*75%)))),IF(_xlpm.anyRider="N",_xlpm.ape*50%,IF(_xlpm.yN,_xlpm.ape*75%,IF(_xlpm.yO,_xlpm.ape*75%,IF(_xlpm.yP,_xlpm.ape*100%))))),IF(_xlpm.ape&gt;=1000000,IF(_xlpm.anyRider="N",0,IF(_xlpm.yN,_xlpm.ape*25%,IF(_xlpm.yO,_xlpm.ape*25%,IF(_xlpm.yP,_xlpm.ape*50%)))),IF(_xlpm.anyRider="N",_xlpm.ape*10%,IF(_xlpm.yN,_xlpm.ape*35%,IF(_xlpm.yO,_xlpm.ape*35%,IF(_xlpm.yP,_xlpm.ape*60%)))))),IF(_xlpm.prod="gold",IF(_xlpm.ppt&gt;10,IF(_xlpm.anyRider="N",_xlpm.ape*120%,IF(OR(_xlpm.yN,_xlpm.yO),_xlpm.ape*145%)),IF(_xlpm.ppt&gt;7,IF(_xlpm.anyRider="N",_xlpm.ape*100%,IF(_xlpm.yN,_xlpm.ape*110%,IF(_xlpm.yO,_xlpm.ape*120%))),"")),IF(OR(_xlpm.prod="gift",_xlpm.prod="gift pro"),IF(AND(_xlpm.ppt&gt;=7,_xlpm.ppt&lt;=9),IF(_xlpm.anyRider="N",_xlpm.ape*150%,IF(OR(_xlpm.yN,_xlpm.yO),_xlpm.ape*175%)),IF(AND(_xlpm.ppt&gt;=10,_xlpm.ppt&lt;=11),IF(_xlpm.anyRider="N",_xlpm.ape*200%,IF(OR(_xlpm.yN,_xlpm.yO),_xlpm.ape*225%)),IF(_xlpm.ppt=12,IF(_xlpm.anyRider="N",_xlpm.ape*250%,IF(OR(_xlpm.yN,_xlpm.yO),_xlpm.ape*275%)),""))),IF(OR(_xlpm.prod="I Protect Supreme",_xlpm.prod="IP-ROP"),IF(_xlpm.yR,_xlpm.ape*600%,IF(_xlpm.yQ,_xlpm.ape*400%,_xlpm.ape*300%)),IF(_xlpm.prod="wish",_xlpm.ape*400%,IF(_xlpm.prod="gps",IF(OR(_xlpm.ppt=2,_xlpm.ppt=3),_xlpm.ape*20%,IF(AND(_xlpm.ppt&gt;=5,_xlpm.ppt&lt;=7),_xlpm.ape*100%,IF(_xlpm.ppt&gt;7,_xlpm.ape*120%,""))),IF(OR(_xlpm.prod="gpp",_xlpm.prod="gpp flexi"),IF(_xlpm.ppt&lt;7,_xlpm.ape*100%,IF(AND(_xlpm.ppt&gt;=7,_xlpm.ppt&lt;=9),_xlpm.ape*150%,IF(_xlpm.ppt&gt;10,_xlpm.ape*250%,""))),""))))))))</f>
        <v>183876</v>
      </c>
      <c r="H11"/>
    </row>
    <row r="12" spans="1:8" ht="15" thickBot="1">
      <c r="A12" s="36">
        <v>4</v>
      </c>
      <c r="B12" s="36" t="s">
        <v>71</v>
      </c>
      <c r="C12" s="36" t="str">
        <f>'Login Summary'!C5</f>
        <v>OSXXXXXXX</v>
      </c>
      <c r="D12" s="41">
        <f>'Login Summary'!K5</f>
        <v>500000</v>
      </c>
      <c r="E12" s="42" cm="1">
        <f t="array" ref="E12">_xlfn.LET(_xlpm.loginRow,ROW()-7,_xlpm.prod,LOWER(INDEX('Login Summary'!E:E,_xlpm.loginRow)),_xlpm.wrp,INDEX('Login Summary'!J:J,_xlpm.loginRow),_xlpm.ape,INDEX('Login Summary'!K:K,_xlpm.loginRow),_xlpm.ppt,INDEX('Login Summary'!M:M,_xlpm.loginRow),_xlpm.payType,IF(_xlpm.wrp=_xlpm.ape,"Annual","Monthly"),_xlpm.anyRiderFlagCount,COUNTA(INDEX('Login Summary'!N:N,_xlpm.loginRow),INDEX('Login Summary'!O:O,_xlpm.loginRow),INDEX('Login Summary'!P:P,_xlpm.loginRow),INDEX('Login Summary'!Q:Q,_xlpm.loginRow),INDEX('Login Summary'!R:R,_xlpm.loginRow)),_xlpm.anyRider,IF(_xlpm.anyRiderFlagCount=0,"N","Y"),_xlpm.yN,IF(INDEX('Login Summary'!N:N,_xlpm.loginRow)="Y",1,0),_xlpm.yO,IF(INDEX('Login Summary'!O:O,_xlpm.loginRow)="Y",1,0),_xlpm.yP,IF(INDEX('Login Summary'!P:P,_xlpm.loginRow)="Y",1,0),_xlpm.yQ,IF(INDEX('Login Summary'!Q:Q,_xlpm.loginRow)="Y",1,0),_xlpm.yR,IF(INDEX('Login Summary'!R:R,_xlpm.loginRow)="Y",1,0),IF(OR(_xlpm.prod="signature",_xlpm.prod="ltc"),IF(_xlpm.payType="Annual",IF(_xlpm.ape&gt;=1000000,IF(_xlpm.anyRider="N",_xlpm.ape*25%,IF(_xlpm.yN,_xlpm.ape*50%,IF(_xlpm.yO,_xlpm.ape*50%,IF(_xlpm.yP,_xlpm.ape*75%)))),IF(_xlpm.anyRider="N",_xlpm.ape*50%,IF(_xlpm.yN,_xlpm.ape*75%,IF(_xlpm.yO,_xlpm.ape*75%,IF(_xlpm.yP,_xlpm.ape*100%))))),IF(_xlpm.ape&gt;=1000000,IF(_xlpm.anyRider="N",0,IF(_xlpm.yN,_xlpm.ape*25%,IF(_xlpm.yO,_xlpm.ape*25%,IF(_xlpm.yP,_xlpm.ape*50%)))),IF(_xlpm.anyRider="N",_xlpm.ape*10%,IF(_xlpm.yN,_xlpm.ape*35%,IF(_xlpm.yO,_xlpm.ape*35%,IF(_xlpm.yP,_xlpm.ape*60%)))))),IF(_xlpm.prod="gold",IF(_xlpm.ppt&gt;10,IF(_xlpm.anyRider="N",_xlpm.ape*120%,IF(OR(_xlpm.yN,_xlpm.yO),_xlpm.ape*145%)),IF(_xlpm.ppt&gt;7,IF(_xlpm.anyRider="N",_xlpm.ape*100%,IF(_xlpm.yN,_xlpm.ape*110%,IF(_xlpm.yO,_xlpm.ape*120%))),"")),IF(OR(_xlpm.prod="gift",_xlpm.prod="gift pro"),IF(AND(_xlpm.ppt&gt;=7,_xlpm.ppt&lt;=9),IF(_xlpm.anyRider="N",_xlpm.ape*150%,IF(OR(_xlpm.yN,_xlpm.yO),_xlpm.ape*175%)),IF(AND(_xlpm.ppt&gt;=10,_xlpm.ppt&lt;=11),IF(_xlpm.anyRider="N",_xlpm.ape*200%,IF(OR(_xlpm.yN,_xlpm.yO),_xlpm.ape*225%)),IF(_xlpm.ppt=12,IF(_xlpm.anyRider="N",_xlpm.ape*250%,IF(OR(_xlpm.yN,_xlpm.yO),_xlpm.ape*275%)),""))),IF(OR(_xlpm.prod="I Protect Supreme",_xlpm.prod="IP-ROP"),IF(_xlpm.yR,_xlpm.ape*600%,IF(_xlpm.yQ,_xlpm.ape*400%,_xlpm.ape*300%)),IF(_xlpm.prod="wish",_xlpm.ape*400%,IF(_xlpm.prod="gps",IF(OR(_xlpm.ppt=2,_xlpm.ppt=3),_xlpm.ape*20%,IF(AND(_xlpm.ppt&gt;=5,_xlpm.ppt&lt;=7),_xlpm.ape*100%,IF(_xlpm.ppt&gt;7,_xlpm.ape*120%,""))),IF(OR(_xlpm.prod="gpp",_xlpm.prod="gpp flexi"),IF(_xlpm.ppt&lt;7,_xlpm.ape*100%,IF(AND(_xlpm.ppt&gt;=7,_xlpm.ppt&lt;=9),_xlpm.ape*150%,IF(_xlpm.ppt&gt;10,_xlpm.ape*250%,""))),""))))))))</f>
        <v>600000</v>
      </c>
      <c r="H12"/>
    </row>
    <row r="13" spans="1:8" ht="15" thickBot="1">
      <c r="A13" s="36">
        <v>5</v>
      </c>
      <c r="B13" s="36" t="s">
        <v>71</v>
      </c>
      <c r="C13" s="36" t="str">
        <f>'Login Summary'!C6</f>
        <v>OSXXXXXXX</v>
      </c>
      <c r="D13" s="41">
        <f>'Login Summary'!K6</f>
        <v>500000</v>
      </c>
      <c r="E13" s="42" cm="1">
        <f t="array" ref="E13">_xlfn.LET(_xlpm.loginRow,ROW()-7,_xlpm.prod,LOWER(INDEX('Login Summary'!E:E,_xlpm.loginRow)),_xlpm.wrp,INDEX('Login Summary'!J:J,_xlpm.loginRow),_xlpm.ape,INDEX('Login Summary'!K:K,_xlpm.loginRow),_xlpm.ppt,INDEX('Login Summary'!M:M,_xlpm.loginRow),_xlpm.payType,IF(_xlpm.wrp=_xlpm.ape,"Annual","Monthly"),_xlpm.anyRiderFlagCount,COUNTA(INDEX('Login Summary'!N:N,_xlpm.loginRow),INDEX('Login Summary'!O:O,_xlpm.loginRow),INDEX('Login Summary'!P:P,_xlpm.loginRow),INDEX('Login Summary'!Q:Q,_xlpm.loginRow),INDEX('Login Summary'!R:R,_xlpm.loginRow)),_xlpm.anyRider,IF(_xlpm.anyRiderFlagCount=0,"N","Y"),_xlpm.yN,IF(INDEX('Login Summary'!N:N,_xlpm.loginRow)="Y",1,0),_xlpm.yO,IF(INDEX('Login Summary'!O:O,_xlpm.loginRow)="Y",1,0),_xlpm.yP,IF(INDEX('Login Summary'!P:P,_xlpm.loginRow)="Y",1,0),_xlpm.yQ,IF(INDEX('Login Summary'!Q:Q,_xlpm.loginRow)="Y",1,0),_xlpm.yR,IF(INDEX('Login Summary'!R:R,_xlpm.loginRow)="Y",1,0),IF(OR(_xlpm.prod="signature",_xlpm.prod="ltc"),IF(_xlpm.payType="Annual",IF(_xlpm.ape&gt;=1000000,IF(_xlpm.anyRider="N",_xlpm.ape*25%,IF(_xlpm.yN,_xlpm.ape*50%,IF(_xlpm.yO,_xlpm.ape*50%,IF(_xlpm.yP,_xlpm.ape*75%)))),IF(_xlpm.anyRider="N",_xlpm.ape*50%,IF(_xlpm.yN,_xlpm.ape*75%,IF(_xlpm.yO,_xlpm.ape*75%,IF(_xlpm.yP,_xlpm.ape*100%))))),IF(_xlpm.ape&gt;=1000000,IF(_xlpm.anyRider="N",0,IF(_xlpm.yN,_xlpm.ape*25%,IF(_xlpm.yO,_xlpm.ape*25%,IF(_xlpm.yP,_xlpm.ape*50%)))),IF(_xlpm.anyRider="N",_xlpm.ape*10%,IF(_xlpm.yN,_xlpm.ape*35%,IF(_xlpm.yO,_xlpm.ape*35%,IF(_xlpm.yP,_xlpm.ape*60%)))))),IF(_xlpm.prod="gold",IF(_xlpm.ppt&gt;10,IF(_xlpm.anyRider="N",_xlpm.ape*120%,IF(OR(_xlpm.yN,_xlpm.yO),_xlpm.ape*145%)),IF(_xlpm.ppt&gt;7,IF(_xlpm.anyRider="N",_xlpm.ape*100%,IF(_xlpm.yN,_xlpm.ape*110%,IF(_xlpm.yO,_xlpm.ape*120%))),"")),IF(OR(_xlpm.prod="gift",_xlpm.prod="gift pro"),IF(AND(_xlpm.ppt&gt;=7,_xlpm.ppt&lt;=9),IF(_xlpm.anyRider="N",_xlpm.ape*150%,IF(OR(_xlpm.yN,_xlpm.yO),_xlpm.ape*175%)),IF(AND(_xlpm.ppt&gt;=10,_xlpm.ppt&lt;=11),IF(_xlpm.anyRider="N",_xlpm.ape*200%,IF(OR(_xlpm.yN,_xlpm.yO),_xlpm.ape*225%)),IF(_xlpm.ppt=12,IF(_xlpm.anyRider="N",_xlpm.ape*250%,IF(OR(_xlpm.yN,_xlpm.yO),_xlpm.ape*275%)),""))),IF(OR(_xlpm.prod="I Protect Supreme",_xlpm.prod="IP-ROP"),IF(_xlpm.yR,_xlpm.ape*600%,IF(_xlpm.yQ,_xlpm.ape*400%,_xlpm.ape*300%)),IF(_xlpm.prod="wish",_xlpm.ape*400%,IF(_xlpm.prod="gps",IF(OR(_xlpm.ppt=2,_xlpm.ppt=3),_xlpm.ape*20%,IF(AND(_xlpm.ppt&gt;=5,_xlpm.ppt&lt;=7),_xlpm.ape*100%,IF(_xlpm.ppt&gt;7,_xlpm.ape*120%,""))),IF(OR(_xlpm.prod="gpp",_xlpm.prod="gpp flexi"),IF(_xlpm.ppt&lt;7,_xlpm.ape*100%,IF(AND(_xlpm.ppt&gt;=7,_xlpm.ppt&lt;=9),_xlpm.ape*150%,IF(_xlpm.ppt&gt;10,_xlpm.ape*250%,""))),""))))))))</f>
        <v>1250000</v>
      </c>
      <c r="H13"/>
    </row>
    <row r="14" spans="1:8" ht="15" thickBot="1">
      <c r="A14" s="36">
        <v>6</v>
      </c>
      <c r="B14" s="36" t="s">
        <v>70</v>
      </c>
      <c r="C14" s="36" t="str">
        <f>'Login Summary'!C7</f>
        <v>OSXXXXXXX</v>
      </c>
      <c r="D14" s="41">
        <f>'Login Summary'!K7</f>
        <v>500000</v>
      </c>
      <c r="E14" s="42" cm="1">
        <f t="array" ref="E14">_xlfn.LET(_xlpm.loginRow,ROW()-7,_xlpm.prod,LOWER(INDEX('Login Summary'!E:E,_xlpm.loginRow)),_xlpm.wrp,INDEX('Login Summary'!J:J,_xlpm.loginRow),_xlpm.ape,INDEX('Login Summary'!K:K,_xlpm.loginRow),_xlpm.ppt,INDEX('Login Summary'!M:M,_xlpm.loginRow),_xlpm.payType,IF(_xlpm.wrp=_xlpm.ape,"Annual","Monthly"),_xlpm.anyRiderFlagCount,COUNTA(INDEX('Login Summary'!N:N,_xlpm.loginRow),INDEX('Login Summary'!O:O,_xlpm.loginRow),INDEX('Login Summary'!P:P,_xlpm.loginRow),INDEX('Login Summary'!Q:Q,_xlpm.loginRow),INDEX('Login Summary'!R:R,_xlpm.loginRow)),_xlpm.anyRider,IF(_xlpm.anyRiderFlagCount=0,"N","Y"),_xlpm.yN,IF(INDEX('Login Summary'!N:N,_xlpm.loginRow)="Y",1,0),_xlpm.yO,IF(INDEX('Login Summary'!O:O,_xlpm.loginRow)="Y",1,0),_xlpm.yP,IF(INDEX('Login Summary'!P:P,_xlpm.loginRow)="Y",1,0),_xlpm.yQ,IF(INDEX('Login Summary'!Q:Q,_xlpm.loginRow)="Y",1,0),_xlpm.yR,IF(INDEX('Login Summary'!R:R,_xlpm.loginRow)="Y",1,0),IF(OR(_xlpm.prod="signature",_xlpm.prod="ltc"),IF(_xlpm.payType="Annual",IF(_xlpm.ape&gt;=1000000,IF(_xlpm.anyRider="N",_xlpm.ape*25%,IF(_xlpm.yN,_xlpm.ape*50%,IF(_xlpm.yO,_xlpm.ape*50%,IF(_xlpm.yP,_xlpm.ape*75%)))),IF(_xlpm.anyRider="N",_xlpm.ape*50%,IF(_xlpm.yN,_xlpm.ape*75%,IF(_xlpm.yO,_xlpm.ape*75%,IF(_xlpm.yP,_xlpm.ape*100%))))),IF(_xlpm.ape&gt;=1000000,IF(_xlpm.anyRider="N",0,IF(_xlpm.yN,_xlpm.ape*25%,IF(_xlpm.yO,_xlpm.ape*25%,IF(_xlpm.yP,_xlpm.ape*50%)))),IF(_xlpm.anyRider="N",_xlpm.ape*10%,IF(_xlpm.yN,_xlpm.ape*35%,IF(_xlpm.yO,_xlpm.ape*35%,IF(_xlpm.yP,_xlpm.ape*60%)))))),IF(_xlpm.prod="gold",IF(_xlpm.ppt&gt;10,IF(_xlpm.anyRider="N",_xlpm.ape*120%,IF(OR(_xlpm.yN,_xlpm.yO),_xlpm.ape*145%)),IF(_xlpm.ppt&gt;7,IF(_xlpm.anyRider="N",_xlpm.ape*100%,IF(_xlpm.yN,_xlpm.ape*110%,IF(_xlpm.yO,_xlpm.ape*120%))),"")),IF(OR(_xlpm.prod="gift",_xlpm.prod="gift pro"),IF(AND(_xlpm.ppt&gt;=7,_xlpm.ppt&lt;=9),IF(_xlpm.anyRider="N",_xlpm.ape*150%,IF(OR(_xlpm.yN,_xlpm.yO),_xlpm.ape*175%)),IF(AND(_xlpm.ppt&gt;=10,_xlpm.ppt&lt;=11),IF(_xlpm.anyRider="N",_xlpm.ape*200%,IF(OR(_xlpm.yN,_xlpm.yO),_xlpm.ape*225%)),IF(_xlpm.ppt=12,IF(_xlpm.anyRider="N",_xlpm.ape*250%,IF(OR(_xlpm.yN,_xlpm.yO),_xlpm.ape*275%)),""))),IF(OR(_xlpm.prod="I Protect Supreme",_xlpm.prod="IP-ROP"),IF(_xlpm.yR,_xlpm.ape*600%,IF(_xlpm.yQ,_xlpm.ape*400%,_xlpm.ape*300%)),IF(_xlpm.prod="wish",_xlpm.ape*400%,IF(_xlpm.prod="gps",IF(OR(_xlpm.ppt=2,_xlpm.ppt=3),_xlpm.ape*20%,IF(AND(_xlpm.ppt&gt;=5,_xlpm.ppt&lt;=7),_xlpm.ape*100%,IF(_xlpm.ppt&gt;7,_xlpm.ape*120%,""))),IF(OR(_xlpm.prod="gpp",_xlpm.prod="gpp flexi"),IF(_xlpm.ppt&lt;7,_xlpm.ape*100%,IF(AND(_xlpm.ppt&gt;=7,_xlpm.ppt&lt;=9),_xlpm.ape*150%,IF(_xlpm.ppt&gt;10,_xlpm.ape*250%,""))),""))))))))</f>
        <v>250000</v>
      </c>
      <c r="H14"/>
    </row>
    <row r="15" spans="1:8" ht="15" thickBot="1">
      <c r="A15" s="36">
        <v>7</v>
      </c>
      <c r="B15" s="36" t="s">
        <v>70</v>
      </c>
      <c r="C15" s="36" t="str">
        <f>'Login Summary'!C8</f>
        <v>OSXXXXXXX</v>
      </c>
      <c r="D15" s="41">
        <f>'Login Summary'!K8</f>
        <v>2000000</v>
      </c>
      <c r="E15" s="42" cm="1">
        <f t="array" ref="E15">_xlfn.LET(_xlpm.loginRow,ROW()-7,_xlpm.prod,LOWER(INDEX('Login Summary'!E:E,_xlpm.loginRow)),_xlpm.wrp,INDEX('Login Summary'!J:J,_xlpm.loginRow),_xlpm.ape,INDEX('Login Summary'!K:K,_xlpm.loginRow),_xlpm.ppt,INDEX('Login Summary'!M:M,_xlpm.loginRow),_xlpm.payType,IF(_xlpm.wrp=_xlpm.ape,"Annual","Monthly"),_xlpm.anyRiderFlagCount,COUNTA(INDEX('Login Summary'!N:N,_xlpm.loginRow),INDEX('Login Summary'!O:O,_xlpm.loginRow),INDEX('Login Summary'!P:P,_xlpm.loginRow),INDEX('Login Summary'!Q:Q,_xlpm.loginRow),INDEX('Login Summary'!R:R,_xlpm.loginRow)),_xlpm.anyRider,IF(_xlpm.anyRiderFlagCount=0,"N","Y"),_xlpm.yN,IF(INDEX('Login Summary'!N:N,_xlpm.loginRow)="Y",1,0),_xlpm.yO,IF(INDEX('Login Summary'!O:O,_xlpm.loginRow)="Y",1,0),_xlpm.yP,IF(INDEX('Login Summary'!P:P,_xlpm.loginRow)="Y",1,0),_xlpm.yQ,IF(INDEX('Login Summary'!Q:Q,_xlpm.loginRow)="Y",1,0),_xlpm.yR,IF(INDEX('Login Summary'!R:R,_xlpm.loginRow)="Y",1,0),IF(OR(_xlpm.prod="signature",_xlpm.prod="ltc"),IF(_xlpm.payType="Annual",IF(_xlpm.ape&gt;=1000000,IF(_xlpm.anyRider="N",_xlpm.ape*25%,IF(_xlpm.yN,_xlpm.ape*50%,IF(_xlpm.yO,_xlpm.ape*50%,IF(_xlpm.yP,_xlpm.ape*75%)))),IF(_xlpm.anyRider="N",_xlpm.ape*50%,IF(_xlpm.yN,_xlpm.ape*75%,IF(_xlpm.yO,_xlpm.ape*75%,IF(_xlpm.yP,_xlpm.ape*100%))))),IF(_xlpm.ape&gt;=1000000,IF(_xlpm.anyRider="N",0,IF(_xlpm.yN,_xlpm.ape*25%,IF(_xlpm.yO,_xlpm.ape*25%,IF(_xlpm.yP,_xlpm.ape*50%)))),IF(_xlpm.anyRider="N",_xlpm.ape*10%,IF(_xlpm.yN,_xlpm.ape*35%,IF(_xlpm.yO,_xlpm.ape*35%,IF(_xlpm.yP,_xlpm.ape*60%)))))),IF(_xlpm.prod="gold",IF(_xlpm.ppt&gt;10,IF(_xlpm.anyRider="N",_xlpm.ape*120%,IF(OR(_xlpm.yN,_xlpm.yO),_xlpm.ape*145%)),IF(_xlpm.ppt&gt;7,IF(_xlpm.anyRider="N",_xlpm.ape*100%,IF(_xlpm.yN,_xlpm.ape*110%,IF(_xlpm.yO,_xlpm.ape*120%))),"")),IF(OR(_xlpm.prod="gift",_xlpm.prod="gift pro"),IF(AND(_xlpm.ppt&gt;=7,_xlpm.ppt&lt;=9),IF(_xlpm.anyRider="N",_xlpm.ape*150%,IF(OR(_xlpm.yN,_xlpm.yO),_xlpm.ape*175%)),IF(AND(_xlpm.ppt&gt;=10,_xlpm.ppt&lt;=11),IF(_xlpm.anyRider="N",_xlpm.ape*200%,IF(OR(_xlpm.yN,_xlpm.yO),_xlpm.ape*225%)),IF(_xlpm.ppt=12,IF(_xlpm.anyRider="N",_xlpm.ape*250%,IF(OR(_xlpm.yN,_xlpm.yO),_xlpm.ape*275%)),""))),IF(OR(_xlpm.prod="I Protect Supreme",_xlpm.prod="IP-ROP"),IF(_xlpm.yR,_xlpm.ape*600%,IF(_xlpm.yQ,_xlpm.ape*400%,_xlpm.ape*300%)),IF(_xlpm.prod="wish",_xlpm.ape*400%,IF(_xlpm.prod="gps",IF(OR(_xlpm.ppt=2,_xlpm.ppt=3),_xlpm.ape*20%,IF(AND(_xlpm.ppt&gt;=5,_xlpm.ppt&lt;=7),_xlpm.ape*100%,IF(_xlpm.ppt&gt;7,_xlpm.ape*120%,""))),IF(OR(_xlpm.prod="gpp",_xlpm.prod="gpp flexi"),IF(_xlpm.ppt&lt;7,_xlpm.ape*100%,IF(AND(_xlpm.ppt&gt;=7,_xlpm.ppt&lt;=9),_xlpm.ape*150%,IF(_xlpm.ppt&gt;10,_xlpm.ape*250%,""))),""))))))))</f>
        <v>400000</v>
      </c>
      <c r="H15"/>
    </row>
    <row r="16" spans="1:8" ht="15" thickBot="1">
      <c r="A16" s="36">
        <v>8</v>
      </c>
      <c r="B16" s="36" t="s">
        <v>71</v>
      </c>
      <c r="C16" s="36" t="str">
        <f>'Login Summary'!C9</f>
        <v>OSXXXXXXX</v>
      </c>
      <c r="D16" s="41">
        <f>'Login Summary'!K9</f>
        <v>35000</v>
      </c>
      <c r="E16" s="42" cm="1">
        <f t="array" ref="E16">_xlfn.LET(_xlpm.loginRow,ROW()-7,_xlpm.prod,LOWER(INDEX('Login Summary'!E:E,_xlpm.loginRow)),_xlpm.wrp,INDEX('Login Summary'!J:J,_xlpm.loginRow),_xlpm.ape,INDEX('Login Summary'!K:K,_xlpm.loginRow),_xlpm.ppt,INDEX('Login Summary'!M:M,_xlpm.loginRow),_xlpm.payType,IF(_xlpm.wrp=_xlpm.ape,"Annual","Monthly"),_xlpm.anyRiderFlagCount,COUNTA(INDEX('Login Summary'!N:N,_xlpm.loginRow),INDEX('Login Summary'!O:O,_xlpm.loginRow),INDEX('Login Summary'!P:P,_xlpm.loginRow),INDEX('Login Summary'!Q:Q,_xlpm.loginRow),INDEX('Login Summary'!R:R,_xlpm.loginRow)),_xlpm.anyRider,IF(_xlpm.anyRiderFlagCount=0,"N","Y"),_xlpm.yN,IF(INDEX('Login Summary'!N:N,_xlpm.loginRow)="Y",1,0),_xlpm.yO,IF(INDEX('Login Summary'!O:O,_xlpm.loginRow)="Y",1,0),_xlpm.yP,IF(INDEX('Login Summary'!P:P,_xlpm.loginRow)="Y",1,0),_xlpm.yQ,IF(INDEX('Login Summary'!Q:Q,_xlpm.loginRow)="Y",1,0),_xlpm.yR,IF(INDEX('Login Summary'!R:R,_xlpm.loginRow)="Y",1,0),IF(OR(_xlpm.prod="signature",_xlpm.prod="ltc"),IF(_xlpm.payType="Annual",IF(_xlpm.ape&gt;=1000000,IF(_xlpm.anyRider="N",_xlpm.ape*25%,IF(_xlpm.yN,_xlpm.ape*50%,IF(_xlpm.yO,_xlpm.ape*50%,IF(_xlpm.yP,_xlpm.ape*75%)))),IF(_xlpm.anyRider="N",_xlpm.ape*50%,IF(_xlpm.yN,_xlpm.ape*75%,IF(_xlpm.yO,_xlpm.ape*75%,IF(_xlpm.yP,_xlpm.ape*100%))))),IF(_xlpm.ape&gt;=1000000,IF(_xlpm.anyRider="N",0,IF(_xlpm.yN,_xlpm.ape*25%,IF(_xlpm.yO,_xlpm.ape*25%,IF(_xlpm.yP,_xlpm.ape*50%)))),IF(_xlpm.anyRider="N",_xlpm.ape*10%,IF(_xlpm.yN,_xlpm.ape*35%,IF(_xlpm.yO,_xlpm.ape*35%,IF(_xlpm.yP,_xlpm.ape*60%)))))),IF(_xlpm.prod="gold",IF(_xlpm.ppt&gt;10,IF(_xlpm.anyRider="N",_xlpm.ape*120%,IF(OR(_xlpm.yN,_xlpm.yO),_xlpm.ape*145%)),IF(_xlpm.ppt&gt;7,IF(_xlpm.anyRider="N",_xlpm.ape*100%,IF(_xlpm.yN,_xlpm.ape*110%,IF(_xlpm.yO,_xlpm.ape*120%))),"")),IF(OR(_xlpm.prod="gift",_xlpm.prod="gift pro"),IF(AND(_xlpm.ppt&gt;=7,_xlpm.ppt&lt;=9),IF(_xlpm.anyRider="N",_xlpm.ape*150%,IF(OR(_xlpm.yN,_xlpm.yO),_xlpm.ape*175%)),IF(AND(_xlpm.ppt&gt;=10,_xlpm.ppt&lt;=11),IF(_xlpm.anyRider="N",_xlpm.ape*200%,IF(OR(_xlpm.yN,_xlpm.yO),_xlpm.ape*225%)),IF(_xlpm.ppt=12,IF(_xlpm.anyRider="N",_xlpm.ape*250%,IF(OR(_xlpm.yN,_xlpm.yO),_xlpm.ape*275%)),""))),IF(OR(_xlpm.prod="I Protect Supreme",_xlpm.prod="IP-ROP"),IF(_xlpm.yR,_xlpm.ape*600%,IF(_xlpm.yQ,_xlpm.ape*400%,_xlpm.ape*300%)),IF(_xlpm.prod="wish",_xlpm.ape*400%,IF(_xlpm.prod="gps",IF(OR(_xlpm.ppt=2,_xlpm.ppt=3),_xlpm.ape*20%,IF(AND(_xlpm.ppt&gt;=5,_xlpm.ppt&lt;=7),_xlpm.ape*100%,IF(_xlpm.ppt&gt;7,_xlpm.ape*120%,""))),IF(OR(_xlpm.prod="gpp",_xlpm.prod="gpp flexi"),IF(_xlpm.ppt&lt;7,_xlpm.ape*100%,IF(AND(_xlpm.ppt&gt;=7,_xlpm.ppt&lt;=9),_xlpm.ape*150%,IF(_xlpm.ppt&gt;10,_xlpm.ape*250%,""))),""))))))))</f>
        <v>140000</v>
      </c>
      <c r="H16"/>
    </row>
    <row r="17" spans="1:8" ht="15" thickBot="1">
      <c r="A17" s="36">
        <v>9</v>
      </c>
      <c r="B17" s="36" t="s">
        <v>70</v>
      </c>
      <c r="C17" s="36" t="str">
        <f>'Login Summary'!C10</f>
        <v>OSXXXXXXX</v>
      </c>
      <c r="D17" s="41">
        <f>'Login Summary'!K10</f>
        <v>400000</v>
      </c>
      <c r="E17" s="42" cm="1">
        <f t="array" ref="E17">_xlfn.LET(_xlpm.loginRow,ROW()-7,_xlpm.prod,LOWER(INDEX('Login Summary'!E:E,_xlpm.loginRow)),_xlpm.wrp,INDEX('Login Summary'!J:J,_xlpm.loginRow),_xlpm.ape,INDEX('Login Summary'!K:K,_xlpm.loginRow),_xlpm.ppt,INDEX('Login Summary'!M:M,_xlpm.loginRow),_xlpm.payType,IF(_xlpm.wrp=_xlpm.ape,"Annual","Monthly"),_xlpm.anyRiderFlagCount,COUNTA(INDEX('Login Summary'!N:N,_xlpm.loginRow),INDEX('Login Summary'!O:O,_xlpm.loginRow),INDEX('Login Summary'!P:P,_xlpm.loginRow),INDEX('Login Summary'!Q:Q,_xlpm.loginRow),INDEX('Login Summary'!R:R,_xlpm.loginRow)),_xlpm.anyRider,IF(_xlpm.anyRiderFlagCount=0,"N","Y"),_xlpm.yN,IF(INDEX('Login Summary'!N:N,_xlpm.loginRow)="Y",1,0),_xlpm.yO,IF(INDEX('Login Summary'!O:O,_xlpm.loginRow)="Y",1,0),_xlpm.yP,IF(INDEX('Login Summary'!P:P,_xlpm.loginRow)="Y",1,0),_xlpm.yQ,IF(INDEX('Login Summary'!Q:Q,_xlpm.loginRow)="Y",1,0),_xlpm.yR,IF(INDEX('Login Summary'!R:R,_xlpm.loginRow)="Y",1,0),IF(OR(_xlpm.prod="signature",_xlpm.prod="ltc"),IF(_xlpm.payType="Annual",IF(_xlpm.ape&gt;=1000000,IF(_xlpm.anyRider="N",_xlpm.ape*25%,IF(_xlpm.yN,_xlpm.ape*50%,IF(_xlpm.yO,_xlpm.ape*50%,IF(_xlpm.yP,_xlpm.ape*75%)))),IF(_xlpm.anyRider="N",_xlpm.ape*50%,IF(_xlpm.yN,_xlpm.ape*75%,IF(_xlpm.yO,_xlpm.ape*75%,IF(_xlpm.yP,_xlpm.ape*100%))))),IF(_xlpm.ape&gt;=1000000,IF(_xlpm.anyRider="N",0,IF(_xlpm.yN,_xlpm.ape*25%,IF(_xlpm.yO,_xlpm.ape*25%,IF(_xlpm.yP,_xlpm.ape*50%)))),IF(_xlpm.anyRider="N",_xlpm.ape*10%,IF(_xlpm.yN,_xlpm.ape*35%,IF(_xlpm.yO,_xlpm.ape*35%,IF(_xlpm.yP,_xlpm.ape*60%)))))),IF(_xlpm.prod="gold",IF(_xlpm.ppt&gt;10,IF(_xlpm.anyRider="N",_xlpm.ape*120%,IF(OR(_xlpm.yN,_xlpm.yO),_xlpm.ape*145%)),IF(_xlpm.ppt&gt;7,IF(_xlpm.anyRider="N",_xlpm.ape*100%,IF(_xlpm.yN,_xlpm.ape*110%,IF(_xlpm.yO,_xlpm.ape*120%))),"")),IF(OR(_xlpm.prod="gift",_xlpm.prod="gift pro"),IF(AND(_xlpm.ppt&gt;=7,_xlpm.ppt&lt;=9),IF(_xlpm.anyRider="N",_xlpm.ape*150%,IF(OR(_xlpm.yN,_xlpm.yO),_xlpm.ape*175%)),IF(AND(_xlpm.ppt&gt;=10,_xlpm.ppt&lt;=11),IF(_xlpm.anyRider="N",_xlpm.ape*200%,IF(OR(_xlpm.yN,_xlpm.yO),_xlpm.ape*225%)),IF(_xlpm.ppt=12,IF(_xlpm.anyRider="N",_xlpm.ape*250%,IF(OR(_xlpm.yN,_xlpm.yO),_xlpm.ape*275%)),""))),IF(OR(_xlpm.prod="I Protect Supreme",_xlpm.prod="IP-ROP"),IF(_xlpm.yR,_xlpm.ape*600%,IF(_xlpm.yQ,_xlpm.ape*400%,_xlpm.ape*300%)),IF(_xlpm.prod="wish",_xlpm.ape*400%,IF(_xlpm.prod="gps",IF(OR(_xlpm.ppt=2,_xlpm.ppt=3),_xlpm.ape*20%,IF(AND(_xlpm.ppt&gt;=5,_xlpm.ppt&lt;=7),_xlpm.ape*100%,IF(_xlpm.ppt&gt;7,_xlpm.ape*120%,""))),IF(OR(_xlpm.prod="gpp",_xlpm.prod="gpp flexi"),IF(_xlpm.ppt&lt;7,_xlpm.ape*100%,IF(AND(_xlpm.ppt&gt;=7,_xlpm.ppt&lt;=9),_xlpm.ape*150%,IF(_xlpm.ppt&gt;10,_xlpm.ape*250%,""))),""))))))))</f>
        <v>1000000</v>
      </c>
      <c r="H17"/>
    </row>
    <row r="18" spans="1:8" ht="15" thickBot="1">
      <c r="A18" s="36">
        <v>10</v>
      </c>
      <c r="B18" s="36" t="s">
        <v>70</v>
      </c>
      <c r="C18" s="36" t="str">
        <f>'Login Summary'!C11</f>
        <v>OSXXXXXXX</v>
      </c>
      <c r="D18" s="41">
        <f>'Login Summary'!K11</f>
        <v>500000</v>
      </c>
      <c r="E18" s="42" cm="1">
        <f t="array" ref="E18">_xlfn.LET(_xlpm.loginRow,ROW()-7,_xlpm.prod,LOWER(INDEX('Login Summary'!E:E,_xlpm.loginRow)),_xlpm.wrp,INDEX('Login Summary'!J:J,_xlpm.loginRow),_xlpm.ape,INDEX('Login Summary'!K:K,_xlpm.loginRow),_xlpm.ppt,INDEX('Login Summary'!M:M,_xlpm.loginRow),_xlpm.payType,IF(_xlpm.wrp=_xlpm.ape,"Annual","Monthly"),_xlpm.anyRiderFlagCount,COUNTA(INDEX('Login Summary'!N:N,_xlpm.loginRow),INDEX('Login Summary'!O:O,_xlpm.loginRow),INDEX('Login Summary'!P:P,_xlpm.loginRow),INDEX('Login Summary'!Q:Q,_xlpm.loginRow),INDEX('Login Summary'!R:R,_xlpm.loginRow)),_xlpm.anyRider,IF(_xlpm.anyRiderFlagCount=0,"N","Y"),_xlpm.yN,IF(INDEX('Login Summary'!N:N,_xlpm.loginRow)="Y",1,0),_xlpm.yO,IF(INDEX('Login Summary'!O:O,_xlpm.loginRow)="Y",1,0),_xlpm.yP,IF(INDEX('Login Summary'!P:P,_xlpm.loginRow)="Y",1,0),_xlpm.yQ,IF(INDEX('Login Summary'!Q:Q,_xlpm.loginRow)="Y",1,0),_xlpm.yR,IF(INDEX('Login Summary'!R:R,_xlpm.loginRow)="Y",1,0),IF(OR(_xlpm.prod="signature",_xlpm.prod="ltc"),IF(_xlpm.payType="Annual",IF(_xlpm.ape&gt;=1000000,IF(_xlpm.anyRider="N",_xlpm.ape*25%,IF(_xlpm.yN,_xlpm.ape*50%,IF(_xlpm.yO,_xlpm.ape*50%,IF(_xlpm.yP,_xlpm.ape*75%)))),IF(_xlpm.anyRider="N",_xlpm.ape*50%,IF(_xlpm.yN,_xlpm.ape*75%,IF(_xlpm.yO,_xlpm.ape*75%,IF(_xlpm.yP,_xlpm.ape*100%))))),IF(_xlpm.ape&gt;=1000000,IF(_xlpm.anyRider="N",0,IF(_xlpm.yN,_xlpm.ape*25%,IF(_xlpm.yO,_xlpm.ape*25%,IF(_xlpm.yP,_xlpm.ape*50%)))),IF(_xlpm.anyRider="N",_xlpm.ape*10%,IF(_xlpm.yN,_xlpm.ape*35%,IF(_xlpm.yO,_xlpm.ape*35%,IF(_xlpm.yP,_xlpm.ape*60%)))))),IF(_xlpm.prod="gold",IF(_xlpm.ppt&gt;10,IF(_xlpm.anyRider="N",_xlpm.ape*120%,IF(OR(_xlpm.yN,_xlpm.yO),_xlpm.ape*145%)),IF(_xlpm.ppt&gt;7,IF(_xlpm.anyRider="N",_xlpm.ape*100%,IF(_xlpm.yN,_xlpm.ape*110%,IF(_xlpm.yO,_xlpm.ape*120%))),"")),IF(OR(_xlpm.prod="gift",_xlpm.prod="gift pro"),IF(AND(_xlpm.ppt&gt;=7,_xlpm.ppt&lt;=9),IF(_xlpm.anyRider="N",_xlpm.ape*150%,IF(OR(_xlpm.yN,_xlpm.yO),_xlpm.ape*175%)),IF(AND(_xlpm.ppt&gt;=10,_xlpm.ppt&lt;=11),IF(_xlpm.anyRider="N",_xlpm.ape*200%,IF(OR(_xlpm.yN,_xlpm.yO),_xlpm.ape*225%)),IF(_xlpm.ppt=12,IF(_xlpm.anyRider="N",_xlpm.ape*250%,IF(OR(_xlpm.yN,_xlpm.yO),_xlpm.ape*275%)),""))),IF(OR(_xlpm.prod="I Protect Supreme",_xlpm.prod="IP-ROP"),IF(_xlpm.yR,_xlpm.ape*600%,IF(_xlpm.yQ,_xlpm.ape*400%,_xlpm.ape*300%)),IF(_xlpm.prod="wish",_xlpm.ape*400%,IF(_xlpm.prod="gps",IF(OR(_xlpm.ppt=2,_xlpm.ppt=3),_xlpm.ape*20%,IF(AND(_xlpm.ppt&gt;=5,_xlpm.ppt&lt;=7),_xlpm.ape*100%,IF(_xlpm.ppt&gt;7,_xlpm.ape*120%,""))),IF(OR(_xlpm.prod="gpp",_xlpm.prod="gpp flexi"),IF(_xlpm.ppt&lt;7,_xlpm.ape*100%,IF(AND(_xlpm.ppt&gt;=7,_xlpm.ppt&lt;=9),_xlpm.ape*150%,IF(_xlpm.ppt&gt;10,_xlpm.ape*250%,""))),""))))))))</f>
        <v>1375000</v>
      </c>
      <c r="H18"/>
    </row>
    <row r="19" spans="1:8" ht="15" thickBot="1">
      <c r="A19" s="36">
        <v>11</v>
      </c>
      <c r="B19" s="36" t="s">
        <v>70</v>
      </c>
      <c r="C19" s="36" t="str">
        <f>'Login Summary'!C12</f>
        <v>OSXXXXXXX</v>
      </c>
      <c r="D19" s="41">
        <f>'Login Summary'!K12</f>
        <v>1000000</v>
      </c>
      <c r="E19" s="42" cm="1">
        <f t="array" ref="E19">_xlfn.LET(_xlpm.loginRow,ROW()-7,_xlpm.prod,LOWER(INDEX('Login Summary'!E:E,_xlpm.loginRow)),_xlpm.wrp,INDEX('Login Summary'!J:J,_xlpm.loginRow),_xlpm.ape,INDEX('Login Summary'!K:K,_xlpm.loginRow),_xlpm.ppt,INDEX('Login Summary'!M:M,_xlpm.loginRow),_xlpm.payType,IF(_xlpm.wrp=_xlpm.ape,"Annual","Monthly"),_xlpm.anyRiderFlagCount,COUNTA(INDEX('Login Summary'!N:N,_xlpm.loginRow),INDEX('Login Summary'!O:O,_xlpm.loginRow),INDEX('Login Summary'!P:P,_xlpm.loginRow),INDEX('Login Summary'!Q:Q,_xlpm.loginRow),INDEX('Login Summary'!R:R,_xlpm.loginRow)),_xlpm.anyRider,IF(_xlpm.anyRiderFlagCount=0,"N","Y"),_xlpm.yN,IF(INDEX('Login Summary'!N:N,_xlpm.loginRow)="Y",1,0),_xlpm.yO,IF(INDEX('Login Summary'!O:O,_xlpm.loginRow)="Y",1,0),_xlpm.yP,IF(INDEX('Login Summary'!P:P,_xlpm.loginRow)="Y",1,0),_xlpm.yQ,IF(INDEX('Login Summary'!Q:Q,_xlpm.loginRow)="Y",1,0),_xlpm.yR,IF(INDEX('Login Summary'!R:R,_xlpm.loginRow)="Y",1,0),IF(OR(_xlpm.prod="signature",_xlpm.prod="ltc"),IF(_xlpm.payType="Annual",IF(_xlpm.ape&gt;=1000000,IF(_xlpm.anyRider="N",_xlpm.ape*25%,IF(_xlpm.yN,_xlpm.ape*50%,IF(_xlpm.yO,_xlpm.ape*50%,IF(_xlpm.yP,_xlpm.ape*75%)))),IF(_xlpm.anyRider="N",_xlpm.ape*50%,IF(_xlpm.yN,_xlpm.ape*75%,IF(_xlpm.yO,_xlpm.ape*75%,IF(_xlpm.yP,_xlpm.ape*100%))))),IF(_xlpm.ape&gt;=1000000,IF(_xlpm.anyRider="N",0,IF(_xlpm.yN,_xlpm.ape*25%,IF(_xlpm.yO,_xlpm.ape*25%,IF(_xlpm.yP,_xlpm.ape*50%)))),IF(_xlpm.anyRider="N",_xlpm.ape*10%,IF(_xlpm.yN,_xlpm.ape*35%,IF(_xlpm.yO,_xlpm.ape*35%,IF(_xlpm.yP,_xlpm.ape*60%)))))),IF(_xlpm.prod="gold",IF(_xlpm.ppt&gt;10,IF(_xlpm.anyRider="N",_xlpm.ape*120%,IF(OR(_xlpm.yN,_xlpm.yO),_xlpm.ape*145%)),IF(_xlpm.ppt&gt;7,IF(_xlpm.anyRider="N",_xlpm.ape*100%,IF(_xlpm.yN,_xlpm.ape*110%,IF(_xlpm.yO,_xlpm.ape*120%))),"")),IF(OR(_xlpm.prod="gift",_xlpm.prod="gift pro"),IF(AND(_xlpm.ppt&gt;=7,_xlpm.ppt&lt;=9),IF(_xlpm.anyRider="N",_xlpm.ape*150%,IF(OR(_xlpm.yN,_xlpm.yO),_xlpm.ape*175%)),IF(AND(_xlpm.ppt&gt;=10,_xlpm.ppt&lt;=11),IF(_xlpm.anyRider="N",_xlpm.ape*200%,IF(OR(_xlpm.yN,_xlpm.yO),_xlpm.ape*225%)),IF(_xlpm.ppt=12,IF(_xlpm.anyRider="N",_xlpm.ape*250%,IF(OR(_xlpm.yN,_xlpm.yO),_xlpm.ape*275%)),""))),IF(OR(_xlpm.prod="I Protect Supreme",_xlpm.prod="IP-ROP"),IF(_xlpm.yR,_xlpm.ape*600%,IF(_xlpm.yQ,_xlpm.ape*400%,_xlpm.ape*300%)),IF(_xlpm.prod="wish",_xlpm.ape*400%,IF(_xlpm.prod="gps",IF(OR(_xlpm.ppt=2,_xlpm.ppt=3),_xlpm.ape*20%,IF(AND(_xlpm.ppt&gt;=5,_xlpm.ppt&lt;=7),_xlpm.ape*100%,IF(_xlpm.ppt&gt;7,_xlpm.ape*120%,""))),IF(OR(_xlpm.prod="gpp",_xlpm.prod="gpp flexi"),IF(_xlpm.ppt&lt;7,_xlpm.ape*100%,IF(AND(_xlpm.ppt&gt;=7,_xlpm.ppt&lt;=9),_xlpm.ape*150%,IF(_xlpm.ppt&gt;10,_xlpm.ape*250%,""))),""))))))))</f>
        <v>2250000</v>
      </c>
      <c r="H19"/>
    </row>
    <row r="20" spans="1:8" ht="14.5">
      <c r="A20" s="21"/>
      <c r="B20" s="21"/>
      <c r="C20" s="24"/>
      <c r="D20" s="24"/>
      <c r="E20" s="22"/>
      <c r="F20" s="20"/>
      <c r="H20"/>
    </row>
    <row r="21" spans="1:8" ht="15" thickBot="1">
      <c r="A21" s="22"/>
      <c r="B21" s="22"/>
      <c r="C21" s="22"/>
      <c r="D21" s="22"/>
      <c r="E21" s="20"/>
      <c r="F21" s="20"/>
      <c r="H21"/>
    </row>
    <row r="22" spans="1:8" ht="15" thickBot="1">
      <c r="A22" s="35" t="s">
        <v>36</v>
      </c>
      <c r="B22" s="35" t="s">
        <v>37</v>
      </c>
      <c r="C22" s="35" t="s">
        <v>40</v>
      </c>
      <c r="D22" s="35" t="s">
        <v>41</v>
      </c>
      <c r="E22" s="35" t="s">
        <v>42</v>
      </c>
      <c r="F22" s="20"/>
      <c r="H22"/>
    </row>
    <row r="23" spans="1:8" ht="15" thickBot="1">
      <c r="A23" s="36">
        <v>1</v>
      </c>
      <c r="B23" s="36" t="s">
        <v>70</v>
      </c>
      <c r="C23" s="36">
        <f>SUMIF(B9:B18,"Employee 1",E9:E18)</f>
        <v>3181000</v>
      </c>
      <c r="D23" s="36">
        <v>2500000</v>
      </c>
      <c r="E23" s="43">
        <f>C23/D23</f>
        <v>1.2724</v>
      </c>
      <c r="F23" s="20"/>
      <c r="H23"/>
    </row>
    <row r="24" spans="1:8" ht="15" thickBot="1">
      <c r="A24" s="36">
        <v>2</v>
      </c>
      <c r="B24" s="36" t="s">
        <v>71</v>
      </c>
      <c r="C24" s="36">
        <f>SUMIF(B9:B19,"Employee 2",E9:E19)</f>
        <v>2173876</v>
      </c>
      <c r="D24" s="36">
        <v>2500000</v>
      </c>
      <c r="E24" s="60">
        <f>C24/D24</f>
        <v>0.86955039999999995</v>
      </c>
      <c r="F24" s="20"/>
    </row>
    <row r="25" spans="1:8" ht="14.5" thickBot="1">
      <c r="A25" s="59" t="s">
        <v>35</v>
      </c>
      <c r="B25" s="59"/>
      <c r="C25" s="44">
        <f>SUM(C23:C24)</f>
        <v>5354876</v>
      </c>
      <c r="D25" s="44">
        <f t="shared" ref="D25" si="0">SUM(D23:D24)</f>
        <v>5000000</v>
      </c>
      <c r="E25" s="45">
        <f>C25/D25</f>
        <v>1.0709751999999999</v>
      </c>
    </row>
    <row r="32" spans="1:8" ht="14.5">
      <c r="D32"/>
      <c r="E32"/>
      <c r="F32"/>
      <c r="G32"/>
    </row>
    <row r="33" spans="4:7" ht="14.5">
      <c r="D33"/>
      <c r="E33"/>
      <c r="F33"/>
      <c r="G33"/>
    </row>
    <row r="34" spans="4:7" ht="14.5">
      <c r="D34"/>
      <c r="E34"/>
      <c r="F34"/>
      <c r="G34"/>
    </row>
    <row r="35" spans="4:7" ht="14.5">
      <c r="D35"/>
      <c r="E35"/>
      <c r="F35"/>
      <c r="G35"/>
    </row>
  </sheetData>
  <mergeCells count="1">
    <mergeCell ref="A25:B25"/>
  </mergeCells>
  <phoneticPr fontId="17" type="noConversion"/>
  <conditionalFormatting sqref="E23">
    <cfRule type="cellIs" dxfId="0" priority="1" operator="greaterThan">
      <formula>0.75</formula>
    </cfRule>
  </conditionalFormatting>
  <dataValidations count="1">
    <dataValidation type="list" allowBlank="1" showInputMessage="1" showErrorMessage="1" sqref="B9:B19" xr:uid="{EA451DDA-7A40-47D4-ADA1-045D34C7863B}">
      <formula1>$B$23:$B$24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RM Summary</vt:lpstr>
      <vt:lpstr>Login Summary</vt:lpstr>
      <vt:lpstr>T vs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Pillai</cp:lastModifiedBy>
  <dcterms:created xsi:type="dcterms:W3CDTF">2025-09-20T07:34:23Z</dcterms:created>
  <dcterms:modified xsi:type="dcterms:W3CDTF">2025-10-27T16:35:51Z</dcterms:modified>
</cp:coreProperties>
</file>