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 codeName="ThisWorkbook"/>
  <xr:revisionPtr revIDLastSave="0" documentId="13_ncr:1_{0B11FB86-6977-4637-A062-5A21242F9BC6}" xr6:coauthVersionLast="47" xr6:coauthVersionMax="47" xr10:uidLastSave="{00000000-0000-0000-0000-000000000000}"/>
  <workbookProtection workbookAlgorithmName="SHA-512" workbookHashValue="ArpJujEI/x27DhPqDcWf25w762rkDlwbrtaug7O/nsSRpITZ4rLBgipqxCrsXbT3uAHabvIAZ6v2Ze7YHQsXuQ==" workbookSaltValue="NMXlKI0AhbYKSVr55+ciQQ==" workbookSpinCount="100000" lockStructure="1"/>
  <bookViews>
    <workbookView xWindow="5970" yWindow="480" windowWidth="23655" windowHeight="20115" xr2:uid="{00000000-000D-0000-FFFF-FFFF00000000}"/>
  </bookViews>
  <sheets>
    <sheet name="計算ツール" sheetId="10" r:id="rId1"/>
    <sheet name="隠しデータシート" sheetId="8" state="hidden" r:id="rId2"/>
    <sheet name="隠し抵抗計算" sheetId="7" state="hidden" r:id="rId3"/>
    <sheet name="隠し容量計算" sheetId="9" state="hidden" r:id="rId4"/>
  </sheets>
  <definedNames>
    <definedName name="MainCategories">隠しデータシート!$A$1:$A$7</definedName>
    <definedName name="MaxValue">隠しデータシート!#REF!</definedName>
    <definedName name="MinValue">隠しデータシート!#REF!</definedName>
    <definedName name="ResultsList">隠しデータシート!#REF!</definedName>
    <definedName name="ResultsRH">隠しデータシート!$E$14:$E$17</definedName>
    <definedName name="ResultsRHHV">隠しデータシート!$E$18:$E$21</definedName>
    <definedName name="ResultsRHNV">隠しデータシート!$E$22:$E$25</definedName>
    <definedName name="ResultsRN">隠しデータシート!$E$10:$E$13</definedName>
    <definedName name="ResultsRNHV">隠しデータシート!$E$22:$E$25</definedName>
    <definedName name="ResultsRR">隠しデータシート!$E$1:$E$5</definedName>
    <definedName name="ResultsRRH">隠しデータシート!$F$14:$F$17</definedName>
    <definedName name="ResultsRRHHV">隠しデータシート!$F$18:$F$21</definedName>
    <definedName name="ResultsRRHNV">隠しデータシート!$F$22:$F$25</definedName>
    <definedName name="ResultsRRN">隠しデータシート!$F$10:$F$13</definedName>
    <definedName name="ResultsRRNHV">隠しデータシート!$F$22:$F$25</definedName>
    <definedName name="ResultsRRR">隠しデータシート!$F$1:$F$5</definedName>
    <definedName name="ResultsRRRH">隠しデータシート!$G$14:$G$17</definedName>
    <definedName name="ResultsRRRHHV">隠しデータシート!$G$18:$G$21</definedName>
    <definedName name="ResultsRRRHNV">隠しデータシート!$G$22:$G$25</definedName>
    <definedName name="ResultsRRRN">隠しデータシート!$G$10:$G$13</definedName>
    <definedName name="ResultsRRRNHV">隠しデータシート!$G$22:$G$25</definedName>
    <definedName name="ResultsRRRR">隠しデータシート!$G$1:$G$5</definedName>
    <definedName name="ResultsRRRS">隠しデータシート!$G$6:$G$9</definedName>
    <definedName name="ResultsRRS">隠しデータシート!$F$6:$F$9</definedName>
    <definedName name="ResultsRS">隠しデータシート!$E$6:$E$9</definedName>
    <definedName name="RH">隠しデータシート!$D$14:$D$17</definedName>
    <definedName name="RHHV">隠しデータシート!$D$18:$D$21</definedName>
    <definedName name="RHNV">隠しデータシート!$D$22:$D$25</definedName>
    <definedName name="RN">隠しデータシート!$D$10:$D$13</definedName>
    <definedName name="RNHV">隠しデータシート!$D$22:$D$25</definedName>
    <definedName name="RR">隠しデータシート!$D$1:$D$5</definedName>
    <definedName name="RS">隠しデータシート!$D$6:$D$9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" i="8" l="1"/>
  <c r="F10" i="8"/>
  <c r="G10" i="8"/>
  <c r="E11" i="8"/>
  <c r="F11" i="8"/>
  <c r="G11" i="8"/>
  <c r="E12" i="8"/>
  <c r="F12" i="8"/>
  <c r="G12" i="8"/>
  <c r="E13" i="8"/>
  <c r="F13" i="8"/>
  <c r="G13" i="8"/>
  <c r="E14" i="8"/>
  <c r="F14" i="8"/>
  <c r="G14" i="8"/>
  <c r="E15" i="8"/>
  <c r="F15" i="8"/>
  <c r="G15" i="8"/>
  <c r="E16" i="8"/>
  <c r="F16" i="8"/>
  <c r="G16" i="8"/>
  <c r="E17" i="8"/>
  <c r="F17" i="8"/>
  <c r="G17" i="8"/>
  <c r="E18" i="8"/>
  <c r="F18" i="8"/>
  <c r="G18" i="8"/>
  <c r="E19" i="8"/>
  <c r="F19" i="8"/>
  <c r="G19" i="8"/>
  <c r="E20" i="8"/>
  <c r="F20" i="8"/>
  <c r="G20" i="8"/>
  <c r="E21" i="8"/>
  <c r="F21" i="8"/>
  <c r="G21" i="8"/>
  <c r="E22" i="8"/>
  <c r="F22" i="8"/>
  <c r="G22" i="8"/>
  <c r="E23" i="8"/>
  <c r="F23" i="8"/>
  <c r="G23" i="8"/>
  <c r="E24" i="8"/>
  <c r="F24" i="8"/>
  <c r="G24" i="8"/>
  <c r="E25" i="8"/>
  <c r="F25" i="8"/>
  <c r="G25" i="8"/>
  <c r="A7" i="9" l="1"/>
  <c r="DK7" i="7"/>
  <c r="DD7" i="7"/>
  <c r="CW7" i="7"/>
  <c r="CP7" i="7"/>
  <c r="AE7" i="7"/>
  <c r="X7" i="7"/>
  <c r="Q7" i="7"/>
  <c r="J7" i="7"/>
  <c r="C7" i="7"/>
  <c r="CW22" i="7" l="1"/>
  <c r="DD22" i="7"/>
  <c r="DK22" i="7"/>
  <c r="CP22" i="7"/>
  <c r="AE22" i="7"/>
  <c r="X22" i="7"/>
  <c r="Q22" i="7"/>
  <c r="J22" i="7"/>
  <c r="C22" i="7"/>
  <c r="D9" i="7"/>
  <c r="D4" i="9"/>
  <c r="C4" i="9" s="1"/>
  <c r="A4" i="9"/>
  <c r="F30" i="10"/>
  <c r="B4" i="9" l="1"/>
  <c r="F37" i="10" s="1"/>
  <c r="F31" i="10"/>
  <c r="M15" i="8"/>
  <c r="M14" i="8"/>
  <c r="M12" i="8"/>
  <c r="M11" i="8"/>
  <c r="M9" i="8"/>
  <c r="M8" i="8"/>
  <c r="M6" i="8"/>
  <c r="M5" i="8"/>
  <c r="M3" i="8"/>
  <c r="M2" i="8"/>
  <c r="DD55" i="7"/>
  <c r="DK25" i="7"/>
  <c r="DG25" i="7"/>
  <c r="CW25" i="7"/>
  <c r="CP25" i="7"/>
  <c r="AE25" i="7"/>
  <c r="X25" i="7"/>
  <c r="Q25" i="7"/>
  <c r="J25" i="7"/>
  <c r="C25" i="7"/>
  <c r="CP9" i="7"/>
  <c r="CW9" i="7"/>
  <c r="DD9" i="7"/>
  <c r="DE9" i="7" s="1"/>
  <c r="DK9" i="7"/>
  <c r="J9" i="7"/>
  <c r="AE9" i="7"/>
  <c r="X9" i="7"/>
  <c r="Q9" i="7"/>
  <c r="DF60" i="7"/>
  <c r="DF53" i="7"/>
  <c r="DE53" i="7"/>
  <c r="DD53" i="7"/>
  <c r="C52" i="7"/>
  <c r="C48" i="7"/>
  <c r="DD47" i="7"/>
  <c r="DC47" i="7"/>
  <c r="AI31" i="7"/>
  <c r="AB31" i="7"/>
  <c r="U31" i="7"/>
  <c r="N31" i="7"/>
  <c r="G31" i="7"/>
  <c r="AI30" i="7"/>
  <c r="AB30" i="7"/>
  <c r="U30" i="7"/>
  <c r="N30" i="7"/>
  <c r="G30" i="7"/>
  <c r="DM25" i="7"/>
  <c r="DF25" i="7"/>
  <c r="CY25" i="7"/>
  <c r="CR25" i="7"/>
  <c r="AH25" i="7"/>
  <c r="AF25" i="7"/>
  <c r="AA25" i="7"/>
  <c r="Y25" i="7"/>
  <c r="T25" i="7"/>
  <c r="R25" i="7"/>
  <c r="M25" i="7"/>
  <c r="K25" i="7"/>
  <c r="E25" i="7"/>
  <c r="DM16" i="7"/>
  <c r="DF16" i="7"/>
  <c r="CY16" i="7"/>
  <c r="CR16" i="7"/>
  <c r="AH16" i="7"/>
  <c r="AF16" i="7"/>
  <c r="AA16" i="7"/>
  <c r="Y16" i="7"/>
  <c r="T16" i="7"/>
  <c r="R16" i="7"/>
  <c r="M16" i="7"/>
  <c r="K16" i="7"/>
  <c r="DM9" i="7"/>
  <c r="DL9" i="7"/>
  <c r="CY9" i="7"/>
  <c r="CX9" i="7"/>
  <c r="CR9" i="7"/>
  <c r="CQ9" i="7"/>
  <c r="AI9" i="7"/>
  <c r="AH9" i="7"/>
  <c r="AG9" i="7"/>
  <c r="AB9" i="7"/>
  <c r="AA9" i="7"/>
  <c r="Z9" i="7"/>
  <c r="U9" i="7"/>
  <c r="T9" i="7"/>
  <c r="S9" i="7"/>
  <c r="N9" i="7"/>
  <c r="M9" i="7"/>
  <c r="L9" i="7"/>
  <c r="E9" i="7"/>
  <c r="DD11" i="7" l="1"/>
  <c r="DD13" i="7" s="1"/>
  <c r="E8" i="8" s="1"/>
  <c r="D25" i="7"/>
  <c r="C27" i="7" s="1"/>
  <c r="C28" i="7" s="1"/>
  <c r="F1" i="8" s="1"/>
  <c r="DD25" i="7"/>
  <c r="DD27" i="7" s="1"/>
  <c r="DD28" i="7" s="1"/>
  <c r="F8" i="8" s="1"/>
  <c r="Q11" i="7"/>
  <c r="Q13" i="7" s="1"/>
  <c r="E3" i="8" s="1"/>
  <c r="AE11" i="7"/>
  <c r="AE13" i="7" s="1"/>
  <c r="E5" i="8" s="1"/>
  <c r="CP27" i="7"/>
  <c r="CP28" i="7" s="1"/>
  <c r="F6" i="8" s="1"/>
  <c r="C11" i="7"/>
  <c r="C13" i="7" s="1"/>
  <c r="E1" i="8" s="1"/>
  <c r="X27" i="7"/>
  <c r="X28" i="7" s="1"/>
  <c r="F4" i="8" s="1"/>
  <c r="CW27" i="7"/>
  <c r="CW28" i="7" s="1"/>
  <c r="F7" i="8" s="1"/>
  <c r="CP11" i="7"/>
  <c r="CP13" i="7" s="1"/>
  <c r="E6" i="8" s="1"/>
  <c r="DD57" i="7"/>
  <c r="DG60" i="7" s="1"/>
  <c r="DK11" i="7"/>
  <c r="DK13" i="7" s="1"/>
  <c r="E9" i="8" s="1"/>
  <c r="J27" i="7"/>
  <c r="J28" i="7" s="1"/>
  <c r="F2" i="8" s="1"/>
  <c r="AE27" i="7"/>
  <c r="AE28" i="7" s="1"/>
  <c r="F5" i="8" s="1"/>
  <c r="J11" i="7"/>
  <c r="J13" i="7" s="1"/>
  <c r="E2" i="8" s="1"/>
  <c r="X11" i="7"/>
  <c r="X13" i="7" s="1"/>
  <c r="E4" i="8" s="1"/>
  <c r="CW11" i="7"/>
  <c r="CW13" i="7" s="1"/>
  <c r="E7" i="8" s="1"/>
  <c r="Q27" i="7"/>
  <c r="Q28" i="7" s="1"/>
  <c r="F3" i="8" s="1"/>
  <c r="DK27" i="7"/>
  <c r="DK28" i="7" s="1"/>
  <c r="F9" i="8" s="1"/>
  <c r="DG16" i="7" l="1"/>
  <c r="DD16" i="7"/>
  <c r="C16" i="7"/>
  <c r="CP16" i="7"/>
  <c r="CP18" i="7" s="1"/>
  <c r="G6" i="8" s="1"/>
  <c r="CW16" i="7"/>
  <c r="CW18" i="7" s="1"/>
  <c r="G7" i="8" s="1"/>
  <c r="DK16" i="7"/>
  <c r="DK18" i="7" s="1"/>
  <c r="G9" i="8" s="1"/>
  <c r="AE16" i="7"/>
  <c r="AE18" i="7" s="1"/>
  <c r="G5" i="8" s="1"/>
  <c r="X16" i="7"/>
  <c r="X18" i="7" s="1"/>
  <c r="G4" i="8" s="1"/>
  <c r="Q16" i="7"/>
  <c r="Q18" i="7" s="1"/>
  <c r="G3" i="8" s="1"/>
  <c r="J16" i="7"/>
  <c r="J18" i="7" s="1"/>
  <c r="G2" i="8" s="1"/>
  <c r="D16" i="7"/>
  <c r="DD60" i="7"/>
  <c r="DD62" i="7" s="1"/>
  <c r="F21" i="10"/>
  <c r="F13" i="10"/>
  <c r="DD18" i="7" l="1"/>
  <c r="G8" i="8" s="1"/>
  <c r="C18" i="7"/>
  <c r="G1" i="8" s="1"/>
  <c r="F14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F12" authorId="0" shapeId="0" xr:uid="{5251CF1E-4260-4ECF-A81D-A0056CE7FA24}">
      <text>
        <r>
          <rPr>
            <b/>
            <sz val="10"/>
            <color indexed="81"/>
            <rFont val="Meiryo UI"/>
            <family val="3"/>
            <charset val="128"/>
          </rPr>
          <t>狙いの抵抗値を入力してください</t>
        </r>
      </text>
    </comment>
    <comment ref="F20" authorId="0" shapeId="0" xr:uid="{176C05A2-FEC0-4261-B528-361D7413E192}">
      <text>
        <r>
          <rPr>
            <b/>
            <sz val="10"/>
            <color indexed="81"/>
            <rFont val="Meiryo UI"/>
            <family val="3"/>
            <charset val="128"/>
          </rPr>
          <t>lengthを右表の範囲で入力してください</t>
        </r>
      </text>
    </comment>
    <comment ref="F36" authorId="0" shapeId="0" xr:uid="{800904C1-FC2A-44FC-B899-4F77E663D080}">
      <text>
        <r>
          <rPr>
            <b/>
            <sz val="10"/>
            <color indexed="81"/>
            <rFont val="Meiryo UI"/>
            <family val="3"/>
            <charset val="128"/>
          </rPr>
          <t>Wを右表の範囲で入力してください</t>
        </r>
      </text>
    </comment>
  </commentList>
</comments>
</file>

<file path=xl/sharedStrings.xml><?xml version="1.0" encoding="utf-8"?>
<sst xmlns="http://schemas.openxmlformats.org/spreadsheetml/2006/main" count="489" uniqueCount="83">
  <si>
    <t>RR</t>
    <phoneticPr fontId="3"/>
  </si>
  <si>
    <t>RS</t>
    <phoneticPr fontId="3"/>
  </si>
  <si>
    <t>Delta1</t>
    <phoneticPr fontId="3"/>
  </si>
  <si>
    <t>W2.8</t>
    <phoneticPr fontId="3"/>
  </si>
  <si>
    <t>W4.0</t>
    <phoneticPr fontId="3"/>
  </si>
  <si>
    <t>W6.0</t>
    <phoneticPr fontId="3"/>
  </si>
  <si>
    <t>W12.0</t>
    <phoneticPr fontId="3"/>
  </si>
  <si>
    <t>W20.0</t>
    <phoneticPr fontId="3"/>
  </si>
  <si>
    <t>Delta2</t>
    <phoneticPr fontId="3"/>
  </si>
  <si>
    <t>Delta3</t>
    <phoneticPr fontId="3"/>
  </si>
  <si>
    <t>"r &amp; w" mode</t>
    <phoneticPr fontId="3"/>
  </si>
  <si>
    <t>W=</t>
    <phoneticPr fontId="3"/>
  </si>
  <si>
    <t>R=</t>
    <phoneticPr fontId="3"/>
  </si>
  <si>
    <t>trm1</t>
    <phoneticPr fontId="3"/>
  </si>
  <si>
    <t>trm2</t>
    <phoneticPr fontId="3"/>
  </si>
  <si>
    <t>trm3</t>
    <phoneticPr fontId="3"/>
  </si>
  <si>
    <t>trm4</t>
    <phoneticPr fontId="3"/>
  </si>
  <si>
    <t>trm5</t>
    <phoneticPr fontId="3"/>
  </si>
  <si>
    <t>Rs</t>
    <phoneticPr fontId="3"/>
  </si>
  <si>
    <t>L=</t>
    <phoneticPr fontId="3"/>
  </si>
  <si>
    <t>trm4</t>
  </si>
  <si>
    <t>trm5</t>
  </si>
  <si>
    <t>R</t>
    <phoneticPr fontId="3"/>
  </si>
  <si>
    <t>"l &amp; w" mode</t>
    <phoneticPr fontId="3"/>
  </si>
  <si>
    <t>L_min</t>
    <phoneticPr fontId="3"/>
  </si>
  <si>
    <t>R_min</t>
    <phoneticPr fontId="3"/>
  </si>
  <si>
    <t>L_max</t>
    <phoneticPr fontId="3"/>
  </si>
  <si>
    <t>R_max</t>
    <phoneticPr fontId="3"/>
  </si>
  <si>
    <t>L</t>
    <phoneticPr fontId="3"/>
  </si>
  <si>
    <t>-&gt;R</t>
    <phoneticPr fontId="3"/>
  </si>
  <si>
    <t>-&gt;L</t>
    <phoneticPr fontId="3"/>
  </si>
  <si>
    <t>calc</t>
    <phoneticPr fontId="3"/>
  </si>
  <si>
    <t>⊿</t>
    <phoneticPr fontId="3"/>
  </si>
  <si>
    <t>抵抗値からLを計算する</t>
    <rPh sb="0" eb="3">
      <t>テイコウチ</t>
    </rPh>
    <rPh sb="7" eb="9">
      <t>ケイサン</t>
    </rPh>
    <phoneticPr fontId="2"/>
  </si>
  <si>
    <t>きっちりは作れないので</t>
    <rPh sb="5" eb="6">
      <t>ツク</t>
    </rPh>
    <phoneticPr fontId="2"/>
  </si>
  <si>
    <t>RR</t>
    <phoneticPr fontId="2"/>
  </si>
  <si>
    <t>抵抗値</t>
    <rPh sb="0" eb="3">
      <t>テイコウチ</t>
    </rPh>
    <phoneticPr fontId="2"/>
  </si>
  <si>
    <t>um</t>
    <phoneticPr fontId="2"/>
  </si>
  <si>
    <t>抵抗種</t>
    <rPh sb="0" eb="2">
      <t>テイコウ</t>
    </rPh>
    <rPh sb="2" eb="3">
      <t>シュ</t>
    </rPh>
    <phoneticPr fontId="2"/>
  </si>
  <si>
    <t>RS</t>
    <phoneticPr fontId="2"/>
  </si>
  <si>
    <t>trm4</t>
    <phoneticPr fontId="2"/>
  </si>
  <si>
    <t>RR</t>
    <phoneticPr fontId="4"/>
  </si>
  <si>
    <t>RS</t>
    <phoneticPr fontId="4"/>
  </si>
  <si>
    <t>[fF/um^2]</t>
    <phoneticPr fontId="4"/>
  </si>
  <si>
    <t>w[um]</t>
    <phoneticPr fontId="4"/>
  </si>
  <si>
    <t>l[um]</t>
    <phoneticPr fontId="4"/>
  </si>
  <si>
    <t>s[um^2]</t>
    <phoneticPr fontId="4"/>
  </si>
  <si>
    <t>C[pF]</t>
    <phoneticPr fontId="4"/>
  </si>
  <si>
    <t>CSIO</t>
    <phoneticPr fontId="2"/>
  </si>
  <si>
    <t>容量値</t>
    <rPh sb="0" eb="2">
      <t>ヨウリョウ</t>
    </rPh>
    <rPh sb="2" eb="3">
      <t>アタイ</t>
    </rPh>
    <phoneticPr fontId="2"/>
  </si>
  <si>
    <t>素子</t>
    <rPh sb="0" eb="2">
      <t>ソシ</t>
    </rPh>
    <phoneticPr fontId="2"/>
  </si>
  <si>
    <t>素子サイズ形成可能範囲</t>
    <rPh sb="0" eb="2">
      <t>ソシ</t>
    </rPh>
    <rPh sb="5" eb="7">
      <t>ケイセイ</t>
    </rPh>
    <rPh sb="7" eb="11">
      <t>カノウハンイ</t>
    </rPh>
    <phoneticPr fontId="2"/>
  </si>
  <si>
    <t>抵抗　素子サイズ形成可能範囲</t>
    <rPh sb="0" eb="2">
      <t>テイコウ</t>
    </rPh>
    <rPh sb="3" eb="5">
      <t>ソシ</t>
    </rPh>
    <rPh sb="8" eb="10">
      <t>ケイセイ</t>
    </rPh>
    <rPh sb="10" eb="14">
      <t>カノウハンイ</t>
    </rPh>
    <phoneticPr fontId="2"/>
  </si>
  <si>
    <t>抵抗値（狙い）</t>
    <rPh sb="0" eb="3">
      <t>テイコウチ</t>
    </rPh>
    <rPh sb="4" eb="5">
      <t>ネラ</t>
    </rPh>
    <phoneticPr fontId="2"/>
  </si>
  <si>
    <t>抵抗値（結果）</t>
    <rPh sb="0" eb="3">
      <t>テイコウチ</t>
    </rPh>
    <rPh sb="4" eb="6">
      <t>ケッカ</t>
    </rPh>
    <phoneticPr fontId="2"/>
  </si>
  <si>
    <t>Width</t>
    <phoneticPr fontId="2"/>
  </si>
  <si>
    <t>Length</t>
    <phoneticPr fontId="2"/>
  </si>
  <si>
    <t>※length丸め込みの影響で、狙いと差があります</t>
    <rPh sb="7" eb="8">
      <t>マル</t>
    </rPh>
    <rPh sb="9" eb="10">
      <t>コ</t>
    </rPh>
    <rPh sb="12" eb="14">
      <t>エイキョウ</t>
    </rPh>
    <rPh sb="16" eb="17">
      <t>ネラ</t>
    </rPh>
    <rPh sb="19" eb="20">
      <t>サ</t>
    </rPh>
    <phoneticPr fontId="2"/>
  </si>
  <si>
    <t>◆容量値から　サイズ　を算出（W=L）</t>
    <rPh sb="1" eb="3">
      <t>ヨウリョウ</t>
    </rPh>
    <rPh sb="3" eb="4">
      <t>チ</t>
    </rPh>
    <rPh sb="12" eb="14">
      <t>サンシュツ</t>
    </rPh>
    <phoneticPr fontId="2"/>
  </si>
  <si>
    <t>◆容量値とWidthから　Length　を算出（W≠L）</t>
    <rPh sb="1" eb="3">
      <t>ヨウリョウ</t>
    </rPh>
    <rPh sb="3" eb="4">
      <t>チ</t>
    </rPh>
    <rPh sb="21" eb="23">
      <t>サンシュツ</t>
    </rPh>
    <phoneticPr fontId="2"/>
  </si>
  <si>
    <t>◆Widthと抵抗値から　Length　を算出</t>
    <rPh sb="7" eb="10">
      <t>テイコウチ</t>
    </rPh>
    <rPh sb="21" eb="23">
      <t>サンシュツ</t>
    </rPh>
    <phoneticPr fontId="2"/>
  </si>
  <si>
    <t>◆WidthとLengthから　抵抗値　を算出</t>
    <rPh sb="16" eb="19">
      <t>テイコウチ</t>
    </rPh>
    <rPh sb="21" eb="23">
      <t>サンシュツ</t>
    </rPh>
    <phoneticPr fontId="2"/>
  </si>
  <si>
    <t>pF</t>
    <phoneticPr fontId="2"/>
  </si>
  <si>
    <t>kΩ</t>
    <phoneticPr fontId="2"/>
  </si>
  <si>
    <t>w=l</t>
    <phoneticPr fontId="4"/>
  </si>
  <si>
    <t>&lt;使い方&gt;黄色セルに値を入力すると、桃色セルに計算結果が出力されます。</t>
    <rPh sb="1" eb="2">
      <t>ツカ</t>
    </rPh>
    <rPh sb="3" eb="4">
      <t>カタ</t>
    </rPh>
    <rPh sb="5" eb="7">
      <t>キイロ</t>
    </rPh>
    <rPh sb="10" eb="11">
      <t>アタイ</t>
    </rPh>
    <rPh sb="12" eb="14">
      <t>ニュウリョク</t>
    </rPh>
    <rPh sb="18" eb="20">
      <t>モモイロ</t>
    </rPh>
    <rPh sb="23" eb="25">
      <t>ケイサン</t>
    </rPh>
    <rPh sb="25" eb="27">
      <t>ケッカ</t>
    </rPh>
    <rPh sb="28" eb="30">
      <t>シュツリョク</t>
    </rPh>
    <phoneticPr fontId="2"/>
  </si>
  <si>
    <t>Width[um]</t>
    <phoneticPr fontId="2"/>
  </si>
  <si>
    <t>Length[um]</t>
    <phoneticPr fontId="2"/>
  </si>
  <si>
    <t>R[kΩ]</t>
    <phoneticPr fontId="2"/>
  </si>
  <si>
    <t>~</t>
  </si>
  <si>
    <t>~</t>
    <phoneticPr fontId="2"/>
  </si>
  <si>
    <t>容量　素子サイズ形成可能範囲</t>
    <rPh sb="0" eb="2">
      <t>ヨウリョウ</t>
    </rPh>
    <rPh sb="3" eb="5">
      <t>ソシ</t>
    </rPh>
    <rPh sb="8" eb="10">
      <t>ケイセイ</t>
    </rPh>
    <rPh sb="10" eb="14">
      <t>カノウハンイ</t>
    </rPh>
    <phoneticPr fontId="2"/>
  </si>
  <si>
    <t>28.5　~ 120</t>
    <phoneticPr fontId="2"/>
  </si>
  <si>
    <t>C[pF]</t>
    <phoneticPr fontId="2"/>
  </si>
  <si>
    <t>　　　　　　 素子サイズ形成可能範囲を守って設計してください。</t>
    <rPh sb="7" eb="9">
      <t>ソシ</t>
    </rPh>
    <rPh sb="12" eb="14">
      <t>ケイセイ</t>
    </rPh>
    <rPh sb="14" eb="16">
      <t>カノウ</t>
    </rPh>
    <rPh sb="16" eb="18">
      <t>ハンイ</t>
    </rPh>
    <rPh sb="19" eb="20">
      <t>マモ</t>
    </rPh>
    <rPh sb="22" eb="24">
      <t>セッケイ</t>
    </rPh>
    <phoneticPr fontId="2"/>
  </si>
  <si>
    <t>※W,L丸め込みの影響で</t>
    <rPh sb="4" eb="5">
      <t>マル</t>
    </rPh>
    <rPh sb="6" eb="7">
      <t>コ</t>
    </rPh>
    <rPh sb="9" eb="11">
      <t>エイキョウ</t>
    </rPh>
    <phoneticPr fontId="2"/>
  </si>
  <si>
    <t>W=Lの結果と異なる場合があります</t>
    <phoneticPr fontId="2"/>
  </si>
  <si>
    <t>Width[um]　/　Length[um]</t>
    <phoneticPr fontId="2"/>
  </si>
  <si>
    <t>■容量計算</t>
    <rPh sb="1" eb="3">
      <t>ヨウリョウ</t>
    </rPh>
    <rPh sb="3" eb="5">
      <t>ケイサン</t>
    </rPh>
    <phoneticPr fontId="2"/>
  </si>
  <si>
    <t>■抵抗計算</t>
    <rPh sb="1" eb="5">
      <t>テイコウケイサン</t>
    </rPh>
    <phoneticPr fontId="2"/>
  </si>
  <si>
    <t>RS</t>
  </si>
  <si>
    <t>RR</t>
  </si>
  <si>
    <t>抵抗＆容量計算ツール(オープン版)</t>
    <rPh sb="0" eb="2">
      <t>テイコウ</t>
    </rPh>
    <rPh sb="3" eb="5">
      <t>ヨウリョウ</t>
    </rPh>
    <rPh sb="5" eb="7">
      <t>ケイサン</t>
    </rPh>
    <rPh sb="15" eb="16">
      <t>バン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</si>
</sst>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0.00_ "/>
    <numFmt numFmtId="177" formatCode="0.000_ "/>
    <numFmt numFmtId="178" formatCode="0.0000_ "/>
    <numFmt numFmtId="179" formatCode="0.0_ "/>
    <numFmt numFmtId="180" formatCode="0.0"/>
    <numFmt numFmtId="181" formatCode="0.000"/>
    <numFmt numFmtId="182" formatCode="0.0000"/>
  </numFmts>
  <fonts count="16" x14ac:knownFonts="1">
    <font>
      <sz val="11"/>
      <color theme="1"/>
      <name val="游ゴシック"/>
      <family val="2"/>
      <scheme val="minor"/>
    </font>
    <font>
      <sz val="11"/>
      <color theme="1"/>
      <name val="游ゴシック"/>
      <family val="3"/>
      <charset val="128"/>
      <scheme val="minor"/>
    </font>
    <font>
      <sz val="6"/>
      <name val="游ゴシック"/>
      <family val="3"/>
      <charset val="128"/>
      <scheme val="minor"/>
    </font>
    <font>
      <sz val="6"/>
      <name val="ＭＳ Ｐゴシック"/>
      <family val="3"/>
      <charset val="128"/>
    </font>
    <font>
      <sz val="6"/>
      <name val="游ゴシック"/>
      <family val="2"/>
      <charset val="128"/>
      <scheme val="minor"/>
    </font>
    <font>
      <sz val="11"/>
      <color theme="1"/>
      <name val="Meiryo UI"/>
      <family val="3"/>
      <charset val="128"/>
    </font>
    <font>
      <b/>
      <sz val="11"/>
      <color theme="1"/>
      <name val="Meiryo UI"/>
      <family val="3"/>
      <charset val="128"/>
    </font>
    <font>
      <b/>
      <sz val="11"/>
      <color rgb="FF111111"/>
      <name val="Meiryo UI"/>
      <family val="3"/>
      <charset val="128"/>
    </font>
    <font>
      <b/>
      <sz val="10"/>
      <color rgb="FFFF0000"/>
      <name val="Meiryo UI"/>
      <family val="3"/>
      <charset val="128"/>
    </font>
    <font>
      <sz val="11"/>
      <color rgb="FF111111"/>
      <name val="Meiryo UI"/>
      <family val="3"/>
      <charset val="128"/>
    </font>
    <font>
      <b/>
      <sz val="10"/>
      <color indexed="81"/>
      <name val="Meiryo UI"/>
      <family val="3"/>
      <charset val="128"/>
    </font>
    <font>
      <sz val="8"/>
      <color theme="1"/>
      <name val="Meiryo UI"/>
      <family val="3"/>
      <charset val="128"/>
    </font>
    <font>
      <b/>
      <sz val="14"/>
      <color theme="1"/>
      <name val="Meiryo UI"/>
      <family val="3"/>
      <charset val="128"/>
    </font>
    <font>
      <sz val="10"/>
      <color theme="1"/>
      <name val="Meiryo UI"/>
      <family val="3"/>
      <charset val="128"/>
    </font>
    <font>
      <b/>
      <sz val="9"/>
      <color theme="1"/>
      <name val="Meiryo UI"/>
      <family val="3"/>
      <charset val="128"/>
    </font>
    <font>
      <sz val="9"/>
      <color theme="1"/>
      <name val="Meiryo UI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4" tint="0.79998168889431442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179">
    <xf numFmtId="0" fontId="0" fillId="0" borderId="0" xfId="0"/>
    <xf numFmtId="0" fontId="1" fillId="0" borderId="3" xfId="1" applyBorder="1">
      <alignment vertical="center"/>
    </xf>
    <xf numFmtId="0" fontId="1" fillId="0" borderId="4" xfId="1" applyBorder="1">
      <alignment vertical="center"/>
    </xf>
    <xf numFmtId="0" fontId="1" fillId="0" borderId="5" xfId="1" applyBorder="1">
      <alignment vertical="center"/>
    </xf>
    <xf numFmtId="0" fontId="1" fillId="0" borderId="6" xfId="1" applyBorder="1">
      <alignment vertical="center"/>
    </xf>
    <xf numFmtId="0" fontId="1" fillId="0" borderId="0" xfId="1" applyBorder="1">
      <alignment vertical="center"/>
    </xf>
    <xf numFmtId="0" fontId="1" fillId="0" borderId="7" xfId="1" applyBorder="1">
      <alignment vertical="center"/>
    </xf>
    <xf numFmtId="0" fontId="1" fillId="2" borderId="6" xfId="1" quotePrefix="1" applyFill="1" applyBorder="1">
      <alignment vertical="center"/>
    </xf>
    <xf numFmtId="0" fontId="1" fillId="2" borderId="0" xfId="1" applyFill="1" applyBorder="1">
      <alignment vertical="center"/>
    </xf>
    <xf numFmtId="0" fontId="1" fillId="2" borderId="7" xfId="1" applyFill="1" applyBorder="1">
      <alignment vertical="center"/>
    </xf>
    <xf numFmtId="176" fontId="1" fillId="0" borderId="0" xfId="1" applyNumberFormat="1" applyBorder="1">
      <alignment vertical="center"/>
    </xf>
    <xf numFmtId="177" fontId="1" fillId="0" borderId="0" xfId="1" applyNumberFormat="1" applyBorder="1">
      <alignment vertical="center"/>
    </xf>
    <xf numFmtId="0" fontId="1" fillId="4" borderId="6" xfId="1" quotePrefix="1" applyFill="1" applyBorder="1">
      <alignment vertical="center"/>
    </xf>
    <xf numFmtId="0" fontId="1" fillId="4" borderId="0" xfId="1" applyFill="1" applyBorder="1">
      <alignment vertical="center"/>
    </xf>
    <xf numFmtId="0" fontId="1" fillId="4" borderId="7" xfId="1" applyFill="1" applyBorder="1">
      <alignment vertical="center"/>
    </xf>
    <xf numFmtId="178" fontId="1" fillId="0" borderId="0" xfId="1" applyNumberFormat="1" applyBorder="1">
      <alignment vertical="center"/>
    </xf>
    <xf numFmtId="176" fontId="1" fillId="0" borderId="7" xfId="1" applyNumberFormat="1" applyBorder="1">
      <alignment vertical="center"/>
    </xf>
    <xf numFmtId="0" fontId="1" fillId="0" borderId="0" xfId="1" quotePrefix="1" applyBorder="1">
      <alignment vertical="center"/>
    </xf>
    <xf numFmtId="0" fontId="1" fillId="0" borderId="7" xfId="1" quotePrefix="1" applyBorder="1">
      <alignment vertical="center"/>
    </xf>
    <xf numFmtId="0" fontId="1" fillId="0" borderId="8" xfId="1" applyBorder="1">
      <alignment vertical="center"/>
    </xf>
    <xf numFmtId="176" fontId="1" fillId="0" borderId="9" xfId="1" applyNumberFormat="1" applyBorder="1">
      <alignment vertical="center"/>
    </xf>
    <xf numFmtId="0" fontId="1" fillId="0" borderId="9" xfId="1" applyBorder="1">
      <alignment vertical="center"/>
    </xf>
    <xf numFmtId="0" fontId="1" fillId="0" borderId="10" xfId="1" applyBorder="1">
      <alignment vertical="center"/>
    </xf>
    <xf numFmtId="177" fontId="1" fillId="0" borderId="9" xfId="1" applyNumberFormat="1" applyBorder="1">
      <alignment vertical="center"/>
    </xf>
    <xf numFmtId="0" fontId="1" fillId="0" borderId="0" xfId="1" applyFill="1" applyBorder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0" fontId="1" fillId="3" borderId="0" xfId="1" applyFill="1" applyBorder="1">
      <alignment vertical="center"/>
    </xf>
    <xf numFmtId="0" fontId="1" fillId="0" borderId="0" xfId="1" quotePrefix="1" applyFill="1" applyBorder="1">
      <alignment vertical="center"/>
    </xf>
    <xf numFmtId="177" fontId="1" fillId="0" borderId="0" xfId="1" applyNumberFormat="1" applyFill="1" applyBorder="1">
      <alignment vertical="center"/>
    </xf>
    <xf numFmtId="178" fontId="1" fillId="0" borderId="0" xfId="1" applyNumberFormat="1" applyFill="1" applyBorder="1">
      <alignment vertical="center"/>
    </xf>
    <xf numFmtId="176" fontId="1" fillId="0" borderId="0" xfId="1" applyNumberFormat="1" applyFill="1" applyBorder="1">
      <alignment vertical="center"/>
    </xf>
    <xf numFmtId="0" fontId="1" fillId="0" borderId="3" xfId="1" applyFill="1" applyBorder="1">
      <alignment vertical="center"/>
    </xf>
    <xf numFmtId="0" fontId="1" fillId="0" borderId="4" xfId="1" applyFill="1" applyBorder="1">
      <alignment vertical="center"/>
    </xf>
    <xf numFmtId="0" fontId="1" fillId="0" borderId="5" xfId="1" applyFill="1" applyBorder="1">
      <alignment vertical="center"/>
    </xf>
    <xf numFmtId="0" fontId="1" fillId="0" borderId="6" xfId="1" applyFill="1" applyBorder="1">
      <alignment vertical="center"/>
    </xf>
    <xf numFmtId="0" fontId="1" fillId="0" borderId="7" xfId="1" applyFill="1" applyBorder="1">
      <alignment vertical="center"/>
    </xf>
    <xf numFmtId="176" fontId="1" fillId="0" borderId="7" xfId="1" applyNumberFormat="1" applyFill="1" applyBorder="1">
      <alignment vertical="center"/>
    </xf>
    <xf numFmtId="0" fontId="1" fillId="0" borderId="7" xfId="1" quotePrefix="1" applyFill="1" applyBorder="1">
      <alignment vertical="center"/>
    </xf>
    <xf numFmtId="0" fontId="1" fillId="0" borderId="8" xfId="1" applyFill="1" applyBorder="1">
      <alignment vertical="center"/>
    </xf>
    <xf numFmtId="0" fontId="1" fillId="0" borderId="9" xfId="1" applyFill="1" applyBorder="1">
      <alignment vertical="center"/>
    </xf>
    <xf numFmtId="0" fontId="1" fillId="0" borderId="10" xfId="1" applyFill="1" applyBorder="1">
      <alignment vertic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7" xfId="0" applyBorder="1"/>
    <xf numFmtId="0" fontId="0" fillId="3" borderId="0" xfId="0" applyFill="1"/>
    <xf numFmtId="179" fontId="0" fillId="0" borderId="0" xfId="0" applyNumberFormat="1" applyAlignment="1">
      <alignment horizontal="right" vertical="center"/>
    </xf>
    <xf numFmtId="0" fontId="1" fillId="5" borderId="0" xfId="1" applyFill="1" applyBorder="1">
      <alignment vertical="center"/>
    </xf>
    <xf numFmtId="176" fontId="1" fillId="5" borderId="0" xfId="1" applyNumberFormat="1" applyFill="1" applyBorder="1">
      <alignment vertical="center"/>
    </xf>
    <xf numFmtId="0" fontId="1" fillId="0" borderId="0" xfId="1" applyBorder="1" applyAlignment="1">
      <alignment horizontal="right" vertical="center"/>
    </xf>
    <xf numFmtId="176" fontId="1" fillId="0" borderId="0" xfId="1" applyNumberFormat="1" applyBorder="1" applyAlignment="1">
      <alignment horizontal="right" vertical="center"/>
    </xf>
    <xf numFmtId="0" fontId="0" fillId="0" borderId="4" xfId="0" applyBorder="1" applyAlignment="1">
      <alignment horizontal="right"/>
    </xf>
    <xf numFmtId="0" fontId="0" fillId="0" borderId="5" xfId="0" applyBorder="1" applyAlignment="1">
      <alignment horizontal="right"/>
    </xf>
    <xf numFmtId="176" fontId="1" fillId="0" borderId="7" xfId="1" applyNumberFormat="1" applyBorder="1" applyAlignment="1">
      <alignment horizontal="right" vertical="center"/>
    </xf>
    <xf numFmtId="0" fontId="1" fillId="0" borderId="9" xfId="1" applyBorder="1" applyAlignment="1">
      <alignment horizontal="right" vertical="center"/>
    </xf>
    <xf numFmtId="176" fontId="1" fillId="0" borderId="9" xfId="1" applyNumberFormat="1" applyBorder="1" applyAlignment="1">
      <alignment horizontal="right" vertical="center"/>
    </xf>
    <xf numFmtId="176" fontId="1" fillId="0" borderId="10" xfId="1" applyNumberFormat="1" applyBorder="1" applyAlignment="1">
      <alignment horizontal="right" vertical="center"/>
    </xf>
    <xf numFmtId="176" fontId="1" fillId="0" borderId="10" xfId="1" applyNumberFormat="1" applyBorder="1">
      <alignment vertical="center"/>
    </xf>
    <xf numFmtId="0" fontId="0" fillId="0" borderId="3" xfId="0" applyBorder="1" applyAlignment="1">
      <alignment horizontal="left" vertical="center"/>
    </xf>
    <xf numFmtId="0" fontId="1" fillId="0" borderId="6" xfId="1" applyBorder="1" applyAlignment="1">
      <alignment horizontal="left" vertical="center"/>
    </xf>
    <xf numFmtId="0" fontId="1" fillId="0" borderId="8" xfId="1" applyBorder="1" applyAlignment="1">
      <alignment horizontal="left" vertical="center"/>
    </xf>
    <xf numFmtId="0" fontId="0" fillId="0" borderId="3" xfId="0" applyBorder="1" applyAlignment="1">
      <alignment horizontal="left"/>
    </xf>
    <xf numFmtId="0" fontId="1" fillId="0" borderId="3" xfId="1" applyFill="1" applyBorder="1" applyAlignment="1">
      <alignment horizontal="left" vertical="center"/>
    </xf>
    <xf numFmtId="176" fontId="1" fillId="0" borderId="9" xfId="1" applyNumberFormat="1" applyFill="1" applyBorder="1">
      <alignment vertical="center"/>
    </xf>
    <xf numFmtId="176" fontId="1" fillId="0" borderId="10" xfId="1" applyNumberFormat="1" applyFill="1" applyBorder="1">
      <alignment vertical="center"/>
    </xf>
    <xf numFmtId="180" fontId="5" fillId="3" borderId="1" xfId="0" applyNumberFormat="1" applyFont="1" applyFill="1" applyBorder="1" applyAlignment="1" applyProtection="1">
      <alignment horizontal="right" vertical="center"/>
      <protection locked="0"/>
    </xf>
    <xf numFmtId="180" fontId="5" fillId="3" borderId="11" xfId="0" applyNumberFormat="1" applyFont="1" applyFill="1" applyBorder="1" applyAlignment="1" applyProtection="1">
      <alignment horizontal="right" vertical="center"/>
      <protection locked="0"/>
    </xf>
    <xf numFmtId="180" fontId="9" fillId="3" borderId="11" xfId="0" applyNumberFormat="1" applyFont="1" applyFill="1" applyBorder="1" applyAlignment="1" applyProtection="1">
      <alignment horizontal="right" vertical="center"/>
      <protection locked="0"/>
    </xf>
    <xf numFmtId="181" fontId="5" fillId="3" borderId="11" xfId="0" applyNumberFormat="1" applyFont="1" applyFill="1" applyBorder="1" applyAlignment="1" applyProtection="1">
      <alignment horizontal="right" vertical="center"/>
      <protection locked="0"/>
    </xf>
    <xf numFmtId="0" fontId="5" fillId="0" borderId="0" xfId="0" applyFont="1" applyProtection="1">
      <protection locked="0"/>
    </xf>
    <xf numFmtId="0" fontId="5" fillId="0" borderId="0" xfId="0" applyFont="1" applyBorder="1" applyProtection="1">
      <protection locked="0"/>
    </xf>
    <xf numFmtId="0" fontId="5" fillId="0" borderId="0" xfId="0" applyFont="1" applyBorder="1" applyAlignment="1" applyProtection="1">
      <alignment horizontal="center" vertical="center"/>
      <protection locked="0"/>
    </xf>
    <xf numFmtId="0" fontId="5" fillId="0" borderId="0" xfId="0" applyFont="1" applyBorder="1" applyProtection="1"/>
    <xf numFmtId="0" fontId="5" fillId="0" borderId="7" xfId="0" applyFont="1" applyBorder="1" applyProtection="1"/>
    <xf numFmtId="0" fontId="8" fillId="0" borderId="0" xfId="0" applyFont="1" applyBorder="1" applyProtection="1"/>
    <xf numFmtId="0" fontId="8" fillId="0" borderId="0" xfId="0" applyFont="1" applyBorder="1" applyAlignment="1" applyProtection="1">
      <alignment vertical="top"/>
    </xf>
    <xf numFmtId="180" fontId="7" fillId="6" borderId="2" xfId="0" applyNumberFormat="1" applyFont="1" applyFill="1" applyBorder="1" applyAlignment="1" applyProtection="1">
      <alignment horizontal="right" vertical="center"/>
    </xf>
    <xf numFmtId="0" fontId="11" fillId="0" borderId="0" xfId="0" applyFont="1" applyBorder="1" applyProtection="1"/>
    <xf numFmtId="0" fontId="5" fillId="0" borderId="0" xfId="0" applyFont="1" applyBorder="1" applyAlignment="1" applyProtection="1">
      <alignment horizontal="center" vertical="center"/>
    </xf>
    <xf numFmtId="0" fontId="5" fillId="0" borderId="9" xfId="0" applyFont="1" applyBorder="1" applyProtection="1"/>
    <xf numFmtId="0" fontId="5" fillId="0" borderId="10" xfId="0" applyFont="1" applyBorder="1" applyProtection="1"/>
    <xf numFmtId="0" fontId="0" fillId="0" borderId="0" xfId="0" applyBorder="1" applyAlignment="1" applyProtection="1">
      <alignment vertical="center"/>
    </xf>
    <xf numFmtId="0" fontId="0" fillId="0" borderId="9" xfId="0" applyBorder="1" applyAlignment="1" applyProtection="1">
      <alignment vertical="center"/>
    </xf>
    <xf numFmtId="0" fontId="11" fillId="0" borderId="9" xfId="0" applyFont="1" applyBorder="1" applyAlignment="1" applyProtection="1">
      <alignment vertical="top"/>
    </xf>
    <xf numFmtId="0" fontId="5" fillId="0" borderId="16" xfId="0" applyFont="1" applyBorder="1" applyProtection="1"/>
    <xf numFmtId="0" fontId="5" fillId="0" borderId="17" xfId="0" applyFont="1" applyBorder="1" applyProtection="1"/>
    <xf numFmtId="0" fontId="12" fillId="0" borderId="18" xfId="0" applyFont="1" applyBorder="1" applyProtection="1"/>
    <xf numFmtId="0" fontId="5" fillId="0" borderId="18" xfId="0" applyFont="1" applyBorder="1" applyProtection="1"/>
    <xf numFmtId="0" fontId="5" fillId="0" borderId="20" xfId="0" applyFont="1" applyBorder="1" applyProtection="1"/>
    <xf numFmtId="0" fontId="5" fillId="0" borderId="21" xfId="0" applyFont="1" applyBorder="1" applyProtection="1"/>
    <xf numFmtId="0" fontId="13" fillId="0" borderId="0" xfId="0" applyFont="1" applyBorder="1" applyProtection="1"/>
    <xf numFmtId="0" fontId="14" fillId="0" borderId="0" xfId="0" applyFont="1" applyBorder="1" applyProtection="1"/>
    <xf numFmtId="0" fontId="15" fillId="0" borderId="0" xfId="0" applyFont="1" applyBorder="1" applyProtection="1"/>
    <xf numFmtId="0" fontId="15" fillId="7" borderId="1" xfId="0" applyFont="1" applyFill="1" applyBorder="1" applyAlignment="1" applyProtection="1">
      <alignment horizontal="center" vertical="center"/>
    </xf>
    <xf numFmtId="0" fontId="15" fillId="7" borderId="12" xfId="0" applyFont="1" applyFill="1" applyBorder="1" applyAlignment="1" applyProtection="1">
      <alignment horizontal="centerContinuous" vertical="center"/>
    </xf>
    <xf numFmtId="0" fontId="15" fillId="7" borderId="13" xfId="0" applyFont="1" applyFill="1" applyBorder="1" applyAlignment="1" applyProtection="1">
      <alignment horizontal="centerContinuous" vertical="center"/>
    </xf>
    <xf numFmtId="0" fontId="11" fillId="0" borderId="0" xfId="0" applyFont="1" applyBorder="1" applyAlignment="1" applyProtection="1">
      <alignment vertical="center"/>
    </xf>
    <xf numFmtId="0" fontId="15" fillId="0" borderId="0" xfId="0" applyFont="1" applyBorder="1" applyAlignment="1" applyProtection="1">
      <alignment horizontal="center" vertical="center"/>
    </xf>
    <xf numFmtId="0" fontId="15" fillId="0" borderId="23" xfId="0" applyFont="1" applyBorder="1" applyAlignment="1" applyProtection="1">
      <alignment horizontal="center" vertical="center"/>
    </xf>
    <xf numFmtId="0" fontId="15" fillId="7" borderId="1" xfId="0" applyFont="1" applyFill="1" applyBorder="1" applyAlignment="1" applyProtection="1">
      <alignment horizontal="centerContinuous" vertical="center"/>
    </xf>
    <xf numFmtId="0" fontId="15" fillId="7" borderId="39" xfId="0" applyFont="1" applyFill="1" applyBorder="1" applyAlignment="1" applyProtection="1">
      <alignment horizontal="centerContinuous" vertical="center"/>
    </xf>
    <xf numFmtId="0" fontId="15" fillId="7" borderId="44" xfId="0" applyFont="1" applyFill="1" applyBorder="1" applyAlignment="1" applyProtection="1">
      <alignment horizontal="centerContinuous" vertical="center"/>
    </xf>
    <xf numFmtId="0" fontId="15" fillId="7" borderId="29" xfId="0" applyFont="1" applyFill="1" applyBorder="1" applyAlignment="1" applyProtection="1">
      <alignment horizontal="centerContinuous" vertical="center"/>
    </xf>
    <xf numFmtId="0" fontId="15" fillId="0" borderId="35" xfId="0" applyFont="1" applyBorder="1" applyAlignment="1" applyProtection="1">
      <alignment horizontal="center" vertical="center"/>
    </xf>
    <xf numFmtId="0" fontId="15" fillId="0" borderId="40" xfId="0" applyFont="1" applyBorder="1" applyAlignment="1" applyProtection="1">
      <alignment horizontal="center" vertical="center"/>
    </xf>
    <xf numFmtId="0" fontId="15" fillId="0" borderId="37" xfId="0" applyFont="1" applyBorder="1" applyAlignment="1" applyProtection="1">
      <alignment horizontal="center" vertical="center"/>
    </xf>
    <xf numFmtId="0" fontId="15" fillId="0" borderId="41" xfId="0" applyFont="1" applyBorder="1" applyAlignment="1" applyProtection="1">
      <alignment horizontal="center" vertical="center"/>
    </xf>
    <xf numFmtId="0" fontId="15" fillId="0" borderId="33" xfId="0" applyFont="1" applyBorder="1" applyAlignment="1" applyProtection="1">
      <alignment horizontal="center" vertical="center"/>
    </xf>
    <xf numFmtId="0" fontId="15" fillId="0" borderId="46" xfId="0" applyFont="1" applyBorder="1" applyAlignment="1" applyProtection="1">
      <alignment horizontal="center" vertical="center"/>
    </xf>
    <xf numFmtId="0" fontId="15" fillId="0" borderId="9" xfId="0" applyFont="1" applyBorder="1" applyAlignment="1" applyProtection="1">
      <alignment horizontal="center" vertical="center"/>
    </xf>
    <xf numFmtId="181" fontId="15" fillId="0" borderId="40" xfId="0" applyNumberFormat="1" applyFont="1" applyBorder="1" applyAlignment="1" applyProtection="1">
      <alignment horizontal="center" vertical="center"/>
    </xf>
    <xf numFmtId="181" fontId="15" fillId="0" borderId="41" xfId="0" applyNumberFormat="1" applyFont="1" applyBorder="1" applyAlignment="1" applyProtection="1">
      <alignment horizontal="center" vertical="center"/>
    </xf>
    <xf numFmtId="181" fontId="15" fillId="0" borderId="23" xfId="0" applyNumberFormat="1" applyFont="1" applyBorder="1" applyAlignment="1" applyProtection="1">
      <alignment horizontal="center" vertical="center"/>
    </xf>
    <xf numFmtId="181" fontId="15" fillId="0" borderId="9" xfId="0" applyNumberFormat="1" applyFont="1" applyBorder="1" applyAlignment="1" applyProtection="1">
      <alignment horizontal="center" vertical="center"/>
    </xf>
    <xf numFmtId="181" fontId="15" fillId="0" borderId="36" xfId="0" applyNumberFormat="1" applyFont="1" applyBorder="1" applyAlignment="1" applyProtection="1">
      <alignment horizontal="center" vertical="center"/>
    </xf>
    <xf numFmtId="181" fontId="15" fillId="0" borderId="38" xfId="0" applyNumberFormat="1" applyFont="1" applyBorder="1" applyAlignment="1" applyProtection="1">
      <alignment horizontal="center" vertical="center"/>
    </xf>
    <xf numFmtId="181" fontId="15" fillId="0" borderId="34" xfId="0" applyNumberFormat="1" applyFont="1" applyBorder="1" applyAlignment="1" applyProtection="1">
      <alignment horizontal="center" vertical="center"/>
    </xf>
    <xf numFmtId="181" fontId="15" fillId="0" borderId="10" xfId="0" applyNumberFormat="1" applyFont="1" applyBorder="1" applyAlignment="1" applyProtection="1">
      <alignment horizontal="center" vertical="center"/>
    </xf>
    <xf numFmtId="181" fontId="15" fillId="0" borderId="47" xfId="0" applyNumberFormat="1" applyFont="1" applyBorder="1" applyAlignment="1" applyProtection="1">
      <alignment horizontal="center" vertical="center"/>
    </xf>
    <xf numFmtId="0" fontId="15" fillId="0" borderId="47" xfId="0" applyFont="1" applyBorder="1" applyAlignment="1" applyProtection="1">
      <alignment horizontal="center" vertical="center"/>
    </xf>
    <xf numFmtId="0" fontId="15" fillId="7" borderId="14" xfId="0" applyFont="1" applyFill="1" applyBorder="1" applyAlignment="1" applyProtection="1">
      <alignment horizontal="center" vertical="center"/>
    </xf>
    <xf numFmtId="0" fontId="15" fillId="0" borderId="15" xfId="0" applyFont="1" applyBorder="1" applyAlignment="1" applyProtection="1">
      <alignment horizontal="centerContinuous" vertical="center"/>
    </xf>
    <xf numFmtId="0" fontId="15" fillId="0" borderId="28" xfId="0" applyFont="1" applyBorder="1" applyAlignment="1" applyProtection="1">
      <alignment horizontal="centerContinuous" vertical="center"/>
    </xf>
    <xf numFmtId="0" fontId="15" fillId="0" borderId="47" xfId="0" applyFont="1" applyBorder="1" applyAlignment="1" applyProtection="1">
      <alignment horizontal="centerContinuous" vertical="center"/>
    </xf>
    <xf numFmtId="0" fontId="15" fillId="0" borderId="43" xfId="0" applyFont="1" applyBorder="1" applyAlignment="1" applyProtection="1">
      <alignment horizontal="centerContinuous" vertical="center"/>
    </xf>
    <xf numFmtId="181" fontId="15" fillId="0" borderId="30" xfId="0" applyNumberFormat="1" applyFont="1" applyBorder="1" applyAlignment="1" applyProtection="1">
      <alignment horizontal="center" vertical="center"/>
    </xf>
    <xf numFmtId="0" fontId="5" fillId="0" borderId="20" xfId="0" applyFont="1" applyBorder="1" applyProtection="1">
      <protection locked="0"/>
    </xf>
    <xf numFmtId="0" fontId="5" fillId="0" borderId="21" xfId="0" applyFont="1" applyBorder="1" applyProtection="1">
      <protection locked="0"/>
    </xf>
    <xf numFmtId="0" fontId="5" fillId="0" borderId="22" xfId="0" applyFont="1" applyBorder="1" applyProtection="1">
      <protection locked="0"/>
    </xf>
    <xf numFmtId="0" fontId="5" fillId="0" borderId="23" xfId="0" applyFont="1" applyBorder="1" applyAlignment="1" applyProtection="1">
      <alignment horizontal="center" vertical="center"/>
      <protection locked="0"/>
    </xf>
    <xf numFmtId="0" fontId="5" fillId="0" borderId="23" xfId="0" applyFont="1" applyBorder="1" applyProtection="1">
      <protection locked="0"/>
    </xf>
    <xf numFmtId="0" fontId="5" fillId="0" borderId="24" xfId="0" applyFont="1" applyBorder="1" applyProtection="1">
      <protection locked="0"/>
    </xf>
    <xf numFmtId="0" fontId="5" fillId="0" borderId="5" xfId="0" applyFont="1" applyBorder="1" applyProtection="1">
      <protection locked="0"/>
    </xf>
    <xf numFmtId="0" fontId="13" fillId="0" borderId="9" xfId="0" applyFont="1" applyBorder="1" applyAlignment="1" applyProtection="1">
      <alignment vertical="center"/>
    </xf>
    <xf numFmtId="0" fontId="6" fillId="0" borderId="9" xfId="0" applyFont="1" applyFill="1" applyBorder="1" applyAlignment="1" applyProtection="1">
      <alignment horizontal="right" vertical="center"/>
    </xf>
    <xf numFmtId="0" fontId="5" fillId="0" borderId="4" xfId="0" applyFont="1" applyBorder="1" applyProtection="1">
      <protection locked="0"/>
    </xf>
    <xf numFmtId="0" fontId="5" fillId="0" borderId="6" xfId="0" applyFont="1" applyBorder="1" applyAlignment="1" applyProtection="1">
      <alignment horizontal="center" vertical="center"/>
      <protection locked="0"/>
    </xf>
    <xf numFmtId="182" fontId="6" fillId="6" borderId="2" xfId="0" applyNumberFormat="1" applyFont="1" applyFill="1" applyBorder="1" applyAlignment="1" applyProtection="1">
      <alignment horizontal="right" vertical="center"/>
    </xf>
    <xf numFmtId="181" fontId="15" fillId="0" borderId="0" xfId="0" applyNumberFormat="1" applyFont="1" applyBorder="1" applyAlignment="1" applyProtection="1">
      <alignment horizontal="center" vertical="center"/>
    </xf>
    <xf numFmtId="0" fontId="14" fillId="0" borderId="9" xfId="0" applyFont="1" applyBorder="1" applyProtection="1"/>
    <xf numFmtId="0" fontId="15" fillId="0" borderId="0" xfId="0" applyFont="1" applyFill="1" applyBorder="1" applyAlignment="1" applyProtection="1">
      <alignment horizontal="center" vertical="center"/>
    </xf>
    <xf numFmtId="0" fontId="5" fillId="3" borderId="1" xfId="0" applyFont="1" applyFill="1" applyBorder="1" applyAlignment="1" applyProtection="1">
      <alignment horizontal="center" vertical="center"/>
      <protection locked="0"/>
    </xf>
    <xf numFmtId="0" fontId="5" fillId="0" borderId="3" xfId="0" applyFont="1" applyBorder="1" applyAlignment="1" applyProtection="1">
      <alignment vertical="center"/>
      <protection locked="0"/>
    </xf>
    <xf numFmtId="0" fontId="5" fillId="0" borderId="4" xfId="0" applyFont="1" applyBorder="1" applyAlignment="1" applyProtection="1">
      <alignment vertical="center"/>
      <protection locked="0"/>
    </xf>
    <xf numFmtId="0" fontId="12" fillId="0" borderId="6" xfId="0" applyFont="1" applyBorder="1" applyAlignment="1" applyProtection="1">
      <alignment vertical="center"/>
    </xf>
    <xf numFmtId="0" fontId="6" fillId="0" borderId="0" xfId="0" applyFont="1" applyBorder="1" applyAlignment="1" applyProtection="1">
      <alignment vertical="center"/>
    </xf>
    <xf numFmtId="0" fontId="5" fillId="0" borderId="0" xfId="0" applyFont="1" applyBorder="1" applyAlignment="1" applyProtection="1">
      <alignment vertical="center"/>
    </xf>
    <xf numFmtId="0" fontId="5" fillId="0" borderId="6" xfId="0" applyFont="1" applyBorder="1" applyAlignment="1" applyProtection="1">
      <alignment vertical="center"/>
    </xf>
    <xf numFmtId="0" fontId="5" fillId="0" borderId="6" xfId="0" applyFont="1" applyBorder="1" applyAlignment="1" applyProtection="1">
      <alignment vertical="center"/>
      <protection locked="0"/>
    </xf>
    <xf numFmtId="0" fontId="5" fillId="0" borderId="0" xfId="0" applyFont="1" applyBorder="1" applyAlignment="1" applyProtection="1">
      <alignment vertical="center"/>
      <protection locked="0"/>
    </xf>
    <xf numFmtId="0" fontId="5" fillId="0" borderId="8" xfId="0" applyFont="1" applyBorder="1" applyAlignment="1" applyProtection="1">
      <alignment vertical="center"/>
    </xf>
    <xf numFmtId="0" fontId="5" fillId="0" borderId="9" xfId="0" applyFont="1" applyBorder="1" applyAlignment="1" applyProtection="1">
      <alignment vertical="center"/>
    </xf>
    <xf numFmtId="0" fontId="5" fillId="0" borderId="16" xfId="0" applyFont="1" applyBorder="1" applyAlignment="1" applyProtection="1">
      <alignment vertical="center"/>
    </xf>
    <xf numFmtId="0" fontId="6" fillId="0" borderId="6" xfId="0" applyFont="1" applyBorder="1" applyAlignment="1" applyProtection="1">
      <alignment vertical="center"/>
    </xf>
    <xf numFmtId="0" fontId="5" fillId="0" borderId="0" xfId="0" applyFont="1" applyAlignment="1" applyProtection="1">
      <alignment vertical="center"/>
      <protection locked="0"/>
    </xf>
    <xf numFmtId="0" fontId="5" fillId="0" borderId="9" xfId="0" applyFont="1" applyBorder="1" applyAlignment="1" applyProtection="1">
      <alignment vertical="center"/>
      <protection locked="0"/>
    </xf>
    <xf numFmtId="0" fontId="5" fillId="0" borderId="0" xfId="0" applyFont="1" applyBorder="1" applyAlignment="1" applyProtection="1"/>
    <xf numFmtId="0" fontId="5" fillId="0" borderId="19" xfId="0" applyFont="1" applyBorder="1" applyAlignment="1" applyProtection="1">
      <alignment horizontal="right"/>
    </xf>
    <xf numFmtId="14" fontId="5" fillId="0" borderId="0" xfId="0" applyNumberFormat="1" applyFont="1" applyProtection="1">
      <protection locked="0"/>
    </xf>
    <xf numFmtId="0" fontId="15" fillId="0" borderId="0" xfId="0" applyFont="1" applyBorder="1" applyAlignment="1" applyProtection="1">
      <alignment horizontal="center" vertical="center"/>
    </xf>
    <xf numFmtId="0" fontId="15" fillId="7" borderId="27" xfId="0" applyFont="1" applyFill="1" applyBorder="1" applyAlignment="1" applyProtection="1">
      <alignment horizontal="center" vertical="center"/>
    </xf>
    <xf numFmtId="0" fontId="15" fillId="7" borderId="31" xfId="0" applyFont="1" applyFill="1" applyBorder="1" applyAlignment="1" applyProtection="1">
      <alignment horizontal="center" vertical="center"/>
    </xf>
    <xf numFmtId="0" fontId="15" fillId="7" borderId="26" xfId="0" applyFont="1" applyFill="1" applyBorder="1" applyAlignment="1" applyProtection="1">
      <alignment horizontal="center" vertical="center"/>
    </xf>
    <xf numFmtId="0" fontId="15" fillId="0" borderId="19" xfId="0" applyFont="1" applyBorder="1" applyAlignment="1" applyProtection="1">
      <alignment horizontal="center" vertical="center"/>
    </xf>
    <xf numFmtId="0" fontId="15" fillId="0" borderId="21" xfId="0" applyFont="1" applyBorder="1" applyAlignment="1" applyProtection="1">
      <alignment horizontal="center" vertical="center"/>
    </xf>
    <xf numFmtId="0" fontId="15" fillId="0" borderId="24" xfId="0" applyFont="1" applyBorder="1" applyAlignment="1" applyProtection="1">
      <alignment horizontal="center" vertical="center"/>
    </xf>
    <xf numFmtId="0" fontId="15" fillId="7" borderId="25" xfId="0" applyFont="1" applyFill="1" applyBorder="1" applyAlignment="1" applyProtection="1">
      <alignment horizontal="center" vertical="center"/>
    </xf>
    <xf numFmtId="0" fontId="15" fillId="0" borderId="17" xfId="0" applyFont="1" applyBorder="1" applyAlignment="1" applyProtection="1">
      <alignment horizontal="center" vertical="center"/>
    </xf>
    <xf numFmtId="0" fontId="15" fillId="0" borderId="20" xfId="0" applyFont="1" applyBorder="1" applyAlignment="1" applyProtection="1">
      <alignment horizontal="center" vertical="center"/>
    </xf>
    <xf numFmtId="0" fontId="15" fillId="0" borderId="22" xfId="0" applyFont="1" applyBorder="1" applyAlignment="1" applyProtection="1">
      <alignment horizontal="center" vertical="center"/>
    </xf>
    <xf numFmtId="0" fontId="15" fillId="0" borderId="18" xfId="0" applyFont="1" applyBorder="1" applyAlignment="1" applyProtection="1">
      <alignment horizontal="center" vertical="center"/>
    </xf>
    <xf numFmtId="0" fontId="15" fillId="0" borderId="0" xfId="0" applyFont="1" applyBorder="1" applyAlignment="1" applyProtection="1">
      <alignment horizontal="center" vertical="center"/>
    </xf>
    <xf numFmtId="0" fontId="15" fillId="0" borderId="23" xfId="0" applyFont="1" applyBorder="1" applyAlignment="1" applyProtection="1">
      <alignment horizontal="center" vertical="center"/>
    </xf>
    <xf numFmtId="0" fontId="15" fillId="7" borderId="32" xfId="0" applyFont="1" applyFill="1" applyBorder="1" applyAlignment="1" applyProtection="1">
      <alignment horizontal="center" vertical="center"/>
    </xf>
    <xf numFmtId="0" fontId="15" fillId="0" borderId="42" xfId="0" applyFont="1" applyBorder="1" applyAlignment="1" applyProtection="1">
      <alignment horizontal="center" vertical="center"/>
    </xf>
    <xf numFmtId="0" fontId="15" fillId="0" borderId="9" xfId="0" applyFont="1" applyBorder="1" applyAlignment="1" applyProtection="1">
      <alignment horizontal="center" vertical="center"/>
    </xf>
    <xf numFmtId="0" fontId="15" fillId="0" borderId="45" xfId="0" applyFont="1" applyBorder="1" applyAlignment="1" applyProtection="1">
      <alignment horizontal="center" vertical="center"/>
    </xf>
  </cellXfs>
  <cellStyles count="2">
    <cellStyle name="標準" xfId="0" builtinId="0"/>
    <cellStyle name="標準 2" xfId="1" xr:uid="{708F9EE0-6848-438F-B0EE-687FBA43178F}"/>
  </cellStyles>
  <dxfs count="0"/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2465A-A9F9-4B52-ADD5-209F26B9AB4B}">
  <dimension ref="B1:V57"/>
  <sheetViews>
    <sheetView showGridLines="0" tabSelected="1" zoomScaleNormal="100" workbookViewId="0">
      <selection activeCell="V15" sqref="V15"/>
    </sheetView>
  </sheetViews>
  <sheetFormatPr defaultRowHeight="15.75" x14ac:dyDescent="0.25"/>
  <cols>
    <col min="1" max="1" width="2" style="71" customWidth="1"/>
    <col min="2" max="2" width="1.875" style="71" customWidth="1"/>
    <col min="3" max="3" width="4.125" style="71" customWidth="1"/>
    <col min="4" max="4" width="7" style="71" customWidth="1"/>
    <col min="5" max="5" width="14.625" style="71" customWidth="1"/>
    <col min="6" max="6" width="11.625" style="71" customWidth="1"/>
    <col min="7" max="7" width="5.25" style="71" customWidth="1"/>
    <col min="8" max="8" width="9" style="71" customWidth="1"/>
    <col min="9" max="9" width="21.875" style="71" customWidth="1"/>
    <col min="10" max="10" width="5.625" style="71" customWidth="1"/>
    <col min="11" max="11" width="6" style="71" customWidth="1"/>
    <col min="12" max="12" width="9.375" style="71" bestFit="1" customWidth="1"/>
    <col min="13" max="13" width="4.5" style="71" customWidth="1"/>
    <col min="14" max="14" width="2.75" style="71" customWidth="1"/>
    <col min="15" max="15" width="4.5" style="71" customWidth="1"/>
    <col min="16" max="16" width="5.5" style="71" bestFit="1" customWidth="1"/>
    <col min="17" max="17" width="2.75" style="71" bestFit="1" customWidth="1"/>
    <col min="18" max="18" width="6.375" style="71" bestFit="1" customWidth="1"/>
    <col min="19" max="19" width="4.5" style="71" customWidth="1"/>
    <col min="20" max="21" width="9" style="71"/>
    <col min="22" max="22" width="12.75" style="71" bestFit="1" customWidth="1"/>
    <col min="23" max="23" width="40.625" style="71" customWidth="1"/>
    <col min="24" max="16384" width="9" style="71"/>
  </cols>
  <sheetData>
    <row r="1" spans="2:22" ht="8.25" customHeight="1" x14ac:dyDescent="0.25">
      <c r="K1" s="132"/>
      <c r="L1" s="132"/>
      <c r="M1" s="132"/>
      <c r="N1" s="132"/>
      <c r="O1" s="132"/>
      <c r="P1" s="132"/>
      <c r="Q1" s="132"/>
      <c r="R1" s="132"/>
    </row>
    <row r="2" spans="2:22" ht="19.5" x14ac:dyDescent="0.3">
      <c r="B2" s="87"/>
      <c r="C2" s="88" t="s">
        <v>82</v>
      </c>
      <c r="D2" s="89"/>
      <c r="E2" s="89"/>
      <c r="F2" s="89"/>
      <c r="G2" s="89"/>
      <c r="H2" s="89"/>
      <c r="I2" s="89"/>
      <c r="J2" s="89"/>
      <c r="S2" s="159"/>
    </row>
    <row r="3" spans="2:22" ht="18.75" customHeight="1" x14ac:dyDescent="0.25">
      <c r="B3" s="90"/>
      <c r="C3" s="92" t="s">
        <v>65</v>
      </c>
      <c r="D3" s="74"/>
      <c r="E3" s="74"/>
      <c r="F3" s="74"/>
      <c r="G3" s="74"/>
      <c r="H3" s="74"/>
      <c r="I3" s="74"/>
      <c r="J3" s="74"/>
      <c r="K3" s="72"/>
      <c r="L3" s="72"/>
      <c r="M3" s="72"/>
      <c r="N3" s="72"/>
      <c r="O3" s="72"/>
      <c r="P3" s="72"/>
      <c r="Q3" s="72"/>
      <c r="R3" s="72"/>
      <c r="S3" s="91"/>
      <c r="V3" s="160"/>
    </row>
    <row r="4" spans="2:22" ht="18.75" customHeight="1" thickBot="1" x14ac:dyDescent="0.3">
      <c r="B4" s="90"/>
      <c r="C4" s="135" t="s">
        <v>74</v>
      </c>
      <c r="D4" s="81"/>
      <c r="E4" s="81"/>
      <c r="F4" s="81"/>
      <c r="G4" s="81"/>
      <c r="H4" s="81"/>
      <c r="I4" s="81"/>
      <c r="J4" s="74"/>
      <c r="K4" s="74"/>
      <c r="L4" s="74"/>
      <c r="M4" s="74"/>
      <c r="N4" s="74"/>
      <c r="O4" s="74"/>
      <c r="P4" s="74"/>
      <c r="Q4" s="74"/>
      <c r="R4" s="74"/>
      <c r="S4" s="91"/>
      <c r="V4" s="160"/>
    </row>
    <row r="5" spans="2:22" ht="18.75" customHeight="1" thickBot="1" x14ac:dyDescent="0.3">
      <c r="B5" s="90"/>
      <c r="C5" s="144"/>
      <c r="D5" s="145"/>
      <c r="E5" s="145"/>
      <c r="F5" s="145"/>
      <c r="G5" s="145"/>
      <c r="H5" s="137"/>
      <c r="I5" s="134"/>
      <c r="J5" s="74"/>
      <c r="K5" s="93" t="s">
        <v>52</v>
      </c>
      <c r="L5" s="94"/>
      <c r="M5" s="94"/>
      <c r="N5" s="94"/>
      <c r="O5" s="94"/>
      <c r="P5" s="94"/>
      <c r="Q5" s="94"/>
      <c r="R5" s="94"/>
      <c r="S5" s="91"/>
    </row>
    <row r="6" spans="2:22" ht="18.75" customHeight="1" x14ac:dyDescent="0.25">
      <c r="B6" s="90"/>
      <c r="C6" s="146" t="s">
        <v>79</v>
      </c>
      <c r="D6" s="147"/>
      <c r="E6" s="148"/>
      <c r="F6" s="148"/>
      <c r="G6" s="148"/>
      <c r="H6" s="74"/>
      <c r="I6" s="75"/>
      <c r="J6" s="74"/>
      <c r="K6" s="168" t="s">
        <v>50</v>
      </c>
      <c r="L6" s="96" t="s">
        <v>51</v>
      </c>
      <c r="M6" s="97"/>
      <c r="N6" s="97"/>
      <c r="O6" s="97"/>
      <c r="P6" s="97"/>
      <c r="Q6" s="97"/>
      <c r="R6" s="97"/>
      <c r="S6" s="91"/>
    </row>
    <row r="7" spans="2:22" ht="18.75" customHeight="1" x14ac:dyDescent="0.25">
      <c r="B7" s="90"/>
      <c r="C7" s="146"/>
      <c r="D7" s="147"/>
      <c r="E7" s="148"/>
      <c r="F7" s="148"/>
      <c r="G7" s="148"/>
      <c r="H7" s="74"/>
      <c r="I7" s="75"/>
      <c r="J7" s="74"/>
      <c r="K7" s="164"/>
      <c r="L7" s="95" t="s">
        <v>66</v>
      </c>
      <c r="M7" s="101" t="s">
        <v>67</v>
      </c>
      <c r="N7" s="102"/>
      <c r="O7" s="103"/>
      <c r="P7" s="102" t="s">
        <v>68</v>
      </c>
      <c r="Q7" s="102"/>
      <c r="R7" s="104"/>
      <c r="S7" s="91"/>
    </row>
    <row r="8" spans="2:22" ht="18.75" customHeight="1" x14ac:dyDescent="0.25">
      <c r="B8" s="90"/>
      <c r="C8" s="149"/>
      <c r="D8" s="158" t="s">
        <v>60</v>
      </c>
      <c r="E8" s="148"/>
      <c r="F8" s="148"/>
      <c r="G8" s="148"/>
      <c r="H8" s="74"/>
      <c r="I8" s="75"/>
      <c r="J8" s="74"/>
      <c r="K8" s="162" t="s">
        <v>35</v>
      </c>
      <c r="L8" s="105">
        <v>2.8</v>
      </c>
      <c r="M8" s="169">
        <v>13</v>
      </c>
      <c r="N8" s="172" t="s">
        <v>70</v>
      </c>
      <c r="O8" s="165">
        <v>100</v>
      </c>
      <c r="P8" s="112">
        <v>2.5453999999999999</v>
      </c>
      <c r="Q8" s="106" t="s">
        <v>69</v>
      </c>
      <c r="R8" s="116">
        <v>43.329000000000001</v>
      </c>
      <c r="S8" s="91"/>
    </row>
    <row r="9" spans="2:22" ht="18.75" customHeight="1" x14ac:dyDescent="0.25">
      <c r="B9" s="90"/>
      <c r="C9" s="150"/>
      <c r="D9" s="148"/>
      <c r="E9" s="148"/>
      <c r="F9" s="148"/>
      <c r="G9" s="148"/>
      <c r="H9" s="74"/>
      <c r="I9" s="75"/>
      <c r="J9" s="74"/>
      <c r="K9" s="163"/>
      <c r="L9" s="107">
        <v>4</v>
      </c>
      <c r="M9" s="170"/>
      <c r="N9" s="173"/>
      <c r="O9" s="166"/>
      <c r="P9" s="113">
        <v>1.601</v>
      </c>
      <c r="Q9" s="108" t="s">
        <v>69</v>
      </c>
      <c r="R9" s="117">
        <v>26.6372</v>
      </c>
      <c r="S9" s="91"/>
    </row>
    <row r="10" spans="2:22" ht="18.75" customHeight="1" x14ac:dyDescent="0.25">
      <c r="B10" s="90"/>
      <c r="C10" s="150"/>
      <c r="D10" s="148"/>
      <c r="E10" s="148" t="s">
        <v>38</v>
      </c>
      <c r="F10" s="143" t="s">
        <v>81</v>
      </c>
      <c r="G10" s="148"/>
      <c r="H10" s="76"/>
      <c r="I10" s="75"/>
      <c r="J10" s="74"/>
      <c r="K10" s="163"/>
      <c r="L10" s="107">
        <v>6</v>
      </c>
      <c r="M10" s="170"/>
      <c r="N10" s="173"/>
      <c r="O10" s="166"/>
      <c r="P10" s="113">
        <v>0.91569999999999996</v>
      </c>
      <c r="Q10" s="108" t="s">
        <v>69</v>
      </c>
      <c r="R10" s="117">
        <v>15.7539</v>
      </c>
      <c r="S10" s="91"/>
    </row>
    <row r="11" spans="2:22" ht="18.75" customHeight="1" x14ac:dyDescent="0.25">
      <c r="B11" s="90"/>
      <c r="C11" s="150"/>
      <c r="D11" s="148"/>
      <c r="E11" s="148" t="s">
        <v>55</v>
      </c>
      <c r="F11" s="67">
        <v>6</v>
      </c>
      <c r="G11" s="148" t="s">
        <v>37</v>
      </c>
      <c r="H11" s="77"/>
      <c r="I11" s="75"/>
      <c r="J11" s="74"/>
      <c r="K11" s="163"/>
      <c r="L11" s="107">
        <v>12</v>
      </c>
      <c r="M11" s="170"/>
      <c r="N11" s="173"/>
      <c r="O11" s="166"/>
      <c r="P11" s="113">
        <v>0.40510000000000002</v>
      </c>
      <c r="Q11" s="108" t="s">
        <v>69</v>
      </c>
      <c r="R11" s="117">
        <v>7.0830000000000002</v>
      </c>
      <c r="S11" s="91"/>
    </row>
    <row r="12" spans="2:22" ht="18.75" customHeight="1" thickBot="1" x14ac:dyDescent="0.3">
      <c r="B12" s="90"/>
      <c r="C12" s="150"/>
      <c r="D12" s="148"/>
      <c r="E12" s="148" t="s">
        <v>53</v>
      </c>
      <c r="F12" s="70">
        <v>10</v>
      </c>
      <c r="G12" s="148" t="s">
        <v>63</v>
      </c>
      <c r="H12" s="74"/>
      <c r="I12" s="75"/>
      <c r="J12" s="74"/>
      <c r="K12" s="164"/>
      <c r="L12" s="109">
        <v>20</v>
      </c>
      <c r="M12" s="171"/>
      <c r="N12" s="174"/>
      <c r="O12" s="167"/>
      <c r="P12" s="114">
        <v>0.2399</v>
      </c>
      <c r="Q12" s="100" t="s">
        <v>69</v>
      </c>
      <c r="R12" s="118">
        <v>4.0926</v>
      </c>
      <c r="S12" s="91"/>
    </row>
    <row r="13" spans="2:22" ht="18.75" customHeight="1" thickBot="1" x14ac:dyDescent="0.3">
      <c r="B13" s="90"/>
      <c r="C13" s="150"/>
      <c r="D13" s="148"/>
      <c r="E13" s="148" t="s">
        <v>56</v>
      </c>
      <c r="F13" s="78">
        <f ca="1">INDEX(INDIRECT("Results"&amp;F10), MATCH(F11, INDIRECT(F10), 0))</f>
        <v>66.099999999999994</v>
      </c>
      <c r="G13" s="148" t="s">
        <v>37</v>
      </c>
      <c r="H13" s="79"/>
      <c r="I13" s="75"/>
      <c r="J13" s="74"/>
      <c r="K13" s="162" t="s">
        <v>39</v>
      </c>
      <c r="L13" s="105">
        <v>4</v>
      </c>
      <c r="M13" s="169">
        <v>15</v>
      </c>
      <c r="N13" s="172" t="s">
        <v>70</v>
      </c>
      <c r="O13" s="165">
        <v>100</v>
      </c>
      <c r="P13" s="112">
        <v>0.35699999999999998</v>
      </c>
      <c r="Q13" s="106" t="s">
        <v>69</v>
      </c>
      <c r="R13" s="116">
        <v>2.4944999999999999</v>
      </c>
      <c r="S13" s="91"/>
    </row>
    <row r="14" spans="2:22" ht="18.75" customHeight="1" thickBot="1" x14ac:dyDescent="0.3">
      <c r="B14" s="90"/>
      <c r="C14" s="150"/>
      <c r="D14" s="151"/>
      <c r="E14" s="148" t="s">
        <v>54</v>
      </c>
      <c r="F14" s="139">
        <f ca="1">INDEX(INDIRECT("ResultsRR"&amp;F10), MATCH(F11, INDIRECT(F10), 0))</f>
        <v>9.9919597284453481</v>
      </c>
      <c r="G14" s="148" t="s">
        <v>63</v>
      </c>
      <c r="H14" s="79" t="s">
        <v>57</v>
      </c>
      <c r="I14" s="75"/>
      <c r="J14" s="74"/>
      <c r="K14" s="163"/>
      <c r="L14" s="107">
        <v>6</v>
      </c>
      <c r="M14" s="170"/>
      <c r="N14" s="173"/>
      <c r="O14" s="166"/>
      <c r="P14" s="113">
        <v>0.22409999999999999</v>
      </c>
      <c r="Q14" s="108" t="s">
        <v>69</v>
      </c>
      <c r="R14" s="117">
        <v>1.6491</v>
      </c>
      <c r="S14" s="91"/>
    </row>
    <row r="15" spans="2:22" ht="18.75" customHeight="1" x14ac:dyDescent="0.25">
      <c r="B15" s="90"/>
      <c r="C15" s="149"/>
      <c r="D15" s="148"/>
      <c r="E15" s="80"/>
      <c r="F15" s="148"/>
      <c r="G15" s="148"/>
      <c r="H15" s="74"/>
      <c r="I15" s="75"/>
      <c r="J15" s="74"/>
      <c r="K15" s="163"/>
      <c r="L15" s="107">
        <v>12</v>
      </c>
      <c r="M15" s="170"/>
      <c r="N15" s="173"/>
      <c r="O15" s="166"/>
      <c r="P15" s="113">
        <v>0.123</v>
      </c>
      <c r="Q15" s="108" t="s">
        <v>69</v>
      </c>
      <c r="R15" s="117">
        <v>0.80300000000000005</v>
      </c>
      <c r="S15" s="91"/>
    </row>
    <row r="16" spans="2:22" ht="18.75" customHeight="1" thickBot="1" x14ac:dyDescent="0.3">
      <c r="B16" s="90"/>
      <c r="C16" s="150"/>
      <c r="D16" s="158" t="s">
        <v>61</v>
      </c>
      <c r="E16" s="148"/>
      <c r="F16" s="80"/>
      <c r="G16" s="148"/>
      <c r="H16" s="74"/>
      <c r="I16" s="75"/>
      <c r="J16" s="74"/>
      <c r="K16" s="175"/>
      <c r="L16" s="110">
        <v>20</v>
      </c>
      <c r="M16" s="176"/>
      <c r="N16" s="177"/>
      <c r="O16" s="178"/>
      <c r="P16" s="115">
        <v>6.8199999999999997E-2</v>
      </c>
      <c r="Q16" s="111" t="s">
        <v>69</v>
      </c>
      <c r="R16" s="119">
        <v>0.49569999999999997</v>
      </c>
      <c r="S16" s="91"/>
    </row>
    <row r="17" spans="2:19" ht="18.75" customHeight="1" x14ac:dyDescent="0.25">
      <c r="B17" s="90"/>
      <c r="C17" s="150"/>
      <c r="D17" s="148"/>
      <c r="E17" s="148"/>
      <c r="F17" s="148"/>
      <c r="G17" s="148"/>
      <c r="H17" s="74"/>
      <c r="I17" s="75"/>
      <c r="J17" s="74"/>
      <c r="S17" s="91"/>
    </row>
    <row r="18" spans="2:19" ht="18.75" customHeight="1" x14ac:dyDescent="0.25">
      <c r="B18" s="90"/>
      <c r="C18" s="150"/>
      <c r="D18" s="148"/>
      <c r="E18" s="148" t="s">
        <v>38</v>
      </c>
      <c r="F18" s="143" t="s">
        <v>80</v>
      </c>
      <c r="G18" s="148"/>
      <c r="H18" s="74"/>
      <c r="I18" s="75"/>
      <c r="J18" s="74"/>
      <c r="S18" s="91"/>
    </row>
    <row r="19" spans="2:19" ht="18.75" customHeight="1" x14ac:dyDescent="0.25">
      <c r="B19" s="90"/>
      <c r="C19" s="150"/>
      <c r="D19" s="148"/>
      <c r="E19" s="148" t="s">
        <v>55</v>
      </c>
      <c r="F19" s="67">
        <v>12</v>
      </c>
      <c r="G19" s="148" t="s">
        <v>37</v>
      </c>
      <c r="H19" s="74"/>
      <c r="I19" s="75"/>
      <c r="J19" s="74"/>
      <c r="S19" s="91"/>
    </row>
    <row r="20" spans="2:19" ht="18.75" customHeight="1" thickBot="1" x14ac:dyDescent="0.3">
      <c r="B20" s="90"/>
      <c r="C20" s="150"/>
      <c r="D20" s="148"/>
      <c r="E20" s="148" t="s">
        <v>56</v>
      </c>
      <c r="F20" s="68">
        <v>100</v>
      </c>
      <c r="G20" s="148" t="s">
        <v>37</v>
      </c>
      <c r="H20" s="74"/>
      <c r="I20" s="75"/>
      <c r="J20" s="74"/>
      <c r="S20" s="91"/>
    </row>
    <row r="21" spans="2:19" ht="18.75" customHeight="1" thickBot="1" x14ac:dyDescent="0.3">
      <c r="B21" s="90"/>
      <c r="C21" s="150"/>
      <c r="D21" s="148"/>
      <c r="E21" s="148" t="s">
        <v>36</v>
      </c>
      <c r="F21" s="139">
        <f ca="1">INDEX(INDIRECT("ResultsR"&amp;F18), MATCH(F19, INDIRECT(F18), 0))</f>
        <v>0.80298000000000003</v>
      </c>
      <c r="G21" s="148" t="s">
        <v>63</v>
      </c>
      <c r="H21" s="74"/>
      <c r="I21" s="75"/>
      <c r="J21" s="74"/>
      <c r="K21" s="142"/>
      <c r="L21" s="161"/>
      <c r="M21" s="161"/>
      <c r="N21" s="161"/>
      <c r="O21" s="161"/>
      <c r="P21" s="140"/>
      <c r="Q21" s="161"/>
      <c r="R21" s="140"/>
      <c r="S21" s="91"/>
    </row>
    <row r="22" spans="2:19" ht="18.75" customHeight="1" thickBot="1" x14ac:dyDescent="0.3">
      <c r="B22" s="90"/>
      <c r="C22" s="152"/>
      <c r="D22" s="153"/>
      <c r="E22" s="153"/>
      <c r="F22" s="136"/>
      <c r="G22" s="153"/>
      <c r="H22" s="81"/>
      <c r="I22" s="82"/>
      <c r="J22" s="74"/>
      <c r="S22" s="91"/>
    </row>
    <row r="23" spans="2:19" ht="18.75" customHeight="1" thickBot="1" x14ac:dyDescent="0.3">
      <c r="B23" s="90"/>
      <c r="C23" s="154"/>
      <c r="D23" s="154"/>
      <c r="E23" s="154"/>
      <c r="F23" s="154"/>
      <c r="G23" s="154"/>
      <c r="H23" s="86"/>
      <c r="I23" s="86"/>
      <c r="J23" s="74"/>
      <c r="K23" s="142"/>
      <c r="L23" s="99"/>
      <c r="M23" s="99"/>
      <c r="N23" s="99"/>
      <c r="O23" s="99"/>
      <c r="P23" s="140"/>
      <c r="Q23" s="99"/>
      <c r="R23" s="140"/>
      <c r="S23" s="91"/>
    </row>
    <row r="24" spans="2:19" ht="18.75" customHeight="1" thickBot="1" x14ac:dyDescent="0.3">
      <c r="B24" s="90"/>
      <c r="C24" s="150"/>
      <c r="D24" s="151"/>
      <c r="E24" s="151"/>
      <c r="F24" s="151"/>
      <c r="G24" s="151"/>
      <c r="H24" s="72"/>
      <c r="I24" s="134"/>
      <c r="J24" s="74"/>
      <c r="K24" s="141" t="s">
        <v>71</v>
      </c>
      <c r="L24" s="94"/>
      <c r="M24" s="94"/>
      <c r="N24" s="94"/>
      <c r="O24" s="94"/>
      <c r="P24" s="94"/>
      <c r="Q24" s="94"/>
      <c r="R24" s="94"/>
      <c r="S24" s="91"/>
    </row>
    <row r="25" spans="2:19" ht="18.75" customHeight="1" x14ac:dyDescent="0.25">
      <c r="B25" s="90"/>
      <c r="C25" s="146" t="s">
        <v>78</v>
      </c>
      <c r="D25" s="148"/>
      <c r="F25" s="148"/>
      <c r="G25" s="148"/>
      <c r="H25" s="74"/>
      <c r="I25" s="75"/>
      <c r="J25" s="74"/>
      <c r="K25" s="168" t="s">
        <v>50</v>
      </c>
      <c r="L25" s="96" t="s">
        <v>51</v>
      </c>
      <c r="M25" s="97"/>
      <c r="N25" s="97"/>
      <c r="O25" s="97"/>
      <c r="P25" s="97"/>
      <c r="Q25" s="97"/>
      <c r="R25" s="97"/>
      <c r="S25" s="91"/>
    </row>
    <row r="26" spans="2:19" ht="18.75" customHeight="1" x14ac:dyDescent="0.25">
      <c r="B26" s="90"/>
      <c r="C26" s="155"/>
      <c r="D26" s="148"/>
      <c r="E26" s="148"/>
      <c r="F26" s="148"/>
      <c r="G26" s="148"/>
      <c r="H26" s="74"/>
      <c r="I26" s="75"/>
      <c r="J26" s="74"/>
      <c r="K26" s="164"/>
      <c r="L26" s="101" t="s">
        <v>77</v>
      </c>
      <c r="M26" s="101"/>
      <c r="N26" s="102"/>
      <c r="O26" s="103"/>
      <c r="P26" s="102" t="s">
        <v>73</v>
      </c>
      <c r="Q26" s="102"/>
      <c r="R26" s="104"/>
      <c r="S26" s="91"/>
    </row>
    <row r="27" spans="2:19" ht="18.75" customHeight="1" thickBot="1" x14ac:dyDescent="0.3">
      <c r="B27" s="90"/>
      <c r="C27" s="150"/>
      <c r="D27" s="158" t="s">
        <v>58</v>
      </c>
      <c r="E27" s="148"/>
      <c r="F27" s="148"/>
      <c r="G27" s="98"/>
      <c r="H27" s="74"/>
      <c r="I27" s="75"/>
      <c r="J27" s="74"/>
      <c r="K27" s="122" t="s">
        <v>48</v>
      </c>
      <c r="L27" s="123" t="s">
        <v>72</v>
      </c>
      <c r="M27" s="124"/>
      <c r="N27" s="125"/>
      <c r="O27" s="126"/>
      <c r="P27" s="120">
        <v>0.5</v>
      </c>
      <c r="Q27" s="121" t="s">
        <v>69</v>
      </c>
      <c r="R27" s="127">
        <v>8.8559999999999999</v>
      </c>
      <c r="S27" s="91"/>
    </row>
    <row r="28" spans="2:19" ht="18.75" customHeight="1" x14ac:dyDescent="0.25">
      <c r="B28" s="90"/>
      <c r="C28" s="149"/>
      <c r="D28" s="148"/>
      <c r="E28" s="148"/>
      <c r="F28" s="148"/>
      <c r="G28" s="98"/>
      <c r="H28" s="74"/>
      <c r="I28" s="75"/>
      <c r="J28" s="74"/>
      <c r="S28" s="91"/>
    </row>
    <row r="29" spans="2:19" ht="18.75" customHeight="1" thickBot="1" x14ac:dyDescent="0.3">
      <c r="B29" s="90"/>
      <c r="C29" s="149"/>
      <c r="D29" s="156"/>
      <c r="E29" s="148" t="s">
        <v>49</v>
      </c>
      <c r="F29" s="69">
        <v>2</v>
      </c>
      <c r="G29" s="148" t="s">
        <v>62</v>
      </c>
      <c r="H29" s="74"/>
      <c r="I29" s="75"/>
      <c r="J29" s="74"/>
      <c r="S29" s="91"/>
    </row>
    <row r="30" spans="2:19" ht="18.75" customHeight="1" thickBot="1" x14ac:dyDescent="0.3">
      <c r="B30" s="90"/>
      <c r="C30" s="149"/>
      <c r="D30" s="156"/>
      <c r="E30" s="148" t="s">
        <v>55</v>
      </c>
      <c r="F30" s="78">
        <f>隠し容量計算!A7</f>
        <v>57.026594851220104</v>
      </c>
      <c r="G30" s="148" t="s">
        <v>37</v>
      </c>
      <c r="H30" s="74"/>
      <c r="I30" s="75"/>
      <c r="J30" s="74"/>
      <c r="S30" s="91"/>
    </row>
    <row r="31" spans="2:19" ht="18.75" customHeight="1" thickBot="1" x14ac:dyDescent="0.3">
      <c r="B31" s="90"/>
      <c r="C31" s="149"/>
      <c r="D31" s="156"/>
      <c r="E31" s="148" t="s">
        <v>56</v>
      </c>
      <c r="F31" s="78">
        <f>F30</f>
        <v>57.026594851220104</v>
      </c>
      <c r="G31" s="148" t="s">
        <v>37</v>
      </c>
      <c r="H31" s="74"/>
      <c r="I31" s="75"/>
      <c r="J31" s="74"/>
      <c r="S31" s="91"/>
    </row>
    <row r="32" spans="2:19" ht="18.75" customHeight="1" x14ac:dyDescent="0.25">
      <c r="B32" s="90"/>
      <c r="C32" s="149"/>
      <c r="D32" s="148"/>
      <c r="E32" s="83"/>
      <c r="F32" s="148"/>
      <c r="G32" s="148"/>
      <c r="H32" s="74"/>
      <c r="I32" s="75"/>
      <c r="J32" s="74"/>
      <c r="S32" s="91"/>
    </row>
    <row r="33" spans="2:19" ht="18.75" customHeight="1" x14ac:dyDescent="0.25">
      <c r="B33" s="90"/>
      <c r="C33" s="150"/>
      <c r="D33" s="158" t="s">
        <v>59</v>
      </c>
      <c r="E33" s="83"/>
      <c r="F33" s="148"/>
      <c r="G33" s="98"/>
      <c r="H33" s="74"/>
      <c r="I33" s="75"/>
      <c r="J33" s="74"/>
      <c r="S33" s="91"/>
    </row>
    <row r="34" spans="2:19" ht="18.75" customHeight="1" x14ac:dyDescent="0.25">
      <c r="B34" s="90"/>
      <c r="C34" s="149"/>
      <c r="D34" s="148"/>
      <c r="E34" s="83"/>
      <c r="F34" s="148"/>
      <c r="G34" s="98"/>
      <c r="H34" s="74"/>
      <c r="I34" s="75"/>
      <c r="J34" s="74"/>
      <c r="S34" s="91"/>
    </row>
    <row r="35" spans="2:19" ht="18.75" customHeight="1" x14ac:dyDescent="0.25">
      <c r="B35" s="90"/>
      <c r="C35" s="149"/>
      <c r="D35" s="156"/>
      <c r="E35" s="148" t="s">
        <v>49</v>
      </c>
      <c r="F35" s="69">
        <v>2</v>
      </c>
      <c r="G35" s="148" t="s">
        <v>62</v>
      </c>
      <c r="H35" s="98"/>
      <c r="I35" s="75"/>
      <c r="J35" s="73"/>
      <c r="S35" s="129"/>
    </row>
    <row r="36" spans="2:19" ht="18.75" customHeight="1" thickBot="1" x14ac:dyDescent="0.3">
      <c r="B36" s="90"/>
      <c r="C36" s="149"/>
      <c r="D36" s="156"/>
      <c r="E36" s="148" t="s">
        <v>55</v>
      </c>
      <c r="F36" s="67">
        <v>30</v>
      </c>
      <c r="G36" s="148" t="s">
        <v>37</v>
      </c>
      <c r="H36" s="98"/>
      <c r="I36" s="75"/>
      <c r="J36" s="138"/>
      <c r="S36" s="129"/>
    </row>
    <row r="37" spans="2:19" ht="18.75" customHeight="1" thickBot="1" x14ac:dyDescent="0.3">
      <c r="B37" s="90"/>
      <c r="C37" s="149"/>
      <c r="D37" s="156"/>
      <c r="E37" s="148" t="s">
        <v>56</v>
      </c>
      <c r="F37" s="78">
        <f>隠し容量計算!B4</f>
        <v>108.40108401084011</v>
      </c>
      <c r="G37" s="148" t="s">
        <v>37</v>
      </c>
      <c r="H37" s="98" t="s">
        <v>75</v>
      </c>
      <c r="I37" s="75"/>
      <c r="J37" s="72"/>
      <c r="S37" s="129"/>
    </row>
    <row r="38" spans="2:19" ht="18.75" customHeight="1" thickBot="1" x14ac:dyDescent="0.3">
      <c r="B38" s="128"/>
      <c r="C38" s="152"/>
      <c r="D38" s="153"/>
      <c r="E38" s="84"/>
      <c r="F38" s="153"/>
      <c r="G38" s="157"/>
      <c r="H38" s="85" t="s">
        <v>76</v>
      </c>
      <c r="I38" s="82"/>
      <c r="J38" s="72"/>
      <c r="S38" s="129"/>
    </row>
    <row r="39" spans="2:19" ht="18.75" customHeight="1" x14ac:dyDescent="0.25">
      <c r="B39" s="130"/>
      <c r="C39" s="131"/>
      <c r="D39" s="132"/>
      <c r="E39" s="132"/>
      <c r="F39" s="132"/>
      <c r="G39" s="131"/>
      <c r="H39" s="131"/>
      <c r="I39" s="131"/>
      <c r="J39" s="132"/>
      <c r="K39" s="132"/>
      <c r="L39" s="132"/>
      <c r="M39" s="132"/>
      <c r="N39" s="132"/>
      <c r="O39" s="132"/>
      <c r="P39" s="132"/>
      <c r="Q39" s="132"/>
      <c r="R39" s="132"/>
      <c r="S39" s="133"/>
    </row>
    <row r="40" spans="2:19" x14ac:dyDescent="0.25">
      <c r="C40" s="72"/>
      <c r="D40" s="72"/>
      <c r="E40" s="72"/>
      <c r="F40" s="72"/>
      <c r="G40" s="72"/>
      <c r="H40" s="72"/>
      <c r="I40" s="72"/>
      <c r="J40" s="72"/>
    </row>
    <row r="41" spans="2:19" x14ac:dyDescent="0.25">
      <c r="C41" s="72"/>
      <c r="D41" s="72"/>
      <c r="E41" s="72"/>
      <c r="F41" s="72"/>
      <c r="G41" s="72"/>
      <c r="H41" s="72"/>
      <c r="I41" s="72"/>
      <c r="J41" s="72"/>
    </row>
    <row r="42" spans="2:19" x14ac:dyDescent="0.25">
      <c r="C42" s="72"/>
      <c r="D42" s="72"/>
      <c r="E42" s="72"/>
      <c r="F42" s="72"/>
      <c r="G42" s="72"/>
      <c r="H42" s="72"/>
      <c r="I42" s="72"/>
      <c r="J42" s="72"/>
    </row>
    <row r="43" spans="2:19" x14ac:dyDescent="0.25">
      <c r="C43" s="72"/>
      <c r="D43" s="72"/>
      <c r="E43" s="72"/>
      <c r="F43" s="72"/>
      <c r="G43" s="72"/>
      <c r="H43" s="72"/>
      <c r="I43" s="72"/>
      <c r="J43" s="72"/>
    </row>
    <row r="44" spans="2:19" x14ac:dyDescent="0.25">
      <c r="C44" s="72"/>
      <c r="D44" s="72"/>
      <c r="E44" s="72"/>
      <c r="F44" s="72"/>
      <c r="G44" s="72"/>
      <c r="H44" s="72"/>
      <c r="I44" s="72"/>
      <c r="J44" s="72"/>
    </row>
    <row r="45" spans="2:19" x14ac:dyDescent="0.25">
      <c r="C45" s="72"/>
      <c r="D45" s="72"/>
      <c r="E45" s="72"/>
      <c r="F45" s="72"/>
      <c r="G45" s="72"/>
      <c r="H45" s="72"/>
      <c r="I45" s="72"/>
      <c r="J45" s="72"/>
    </row>
    <row r="46" spans="2:19" x14ac:dyDescent="0.25">
      <c r="C46" s="72"/>
      <c r="D46" s="72"/>
      <c r="E46" s="72"/>
      <c r="F46" s="72"/>
      <c r="G46" s="72"/>
      <c r="H46" s="72"/>
      <c r="I46" s="72"/>
      <c r="J46" s="72"/>
    </row>
    <row r="47" spans="2:19" x14ac:dyDescent="0.25">
      <c r="C47" s="72"/>
      <c r="D47" s="72"/>
      <c r="E47" s="72"/>
      <c r="F47" s="72"/>
      <c r="G47" s="72"/>
      <c r="H47" s="72"/>
      <c r="I47" s="72"/>
      <c r="J47" s="72"/>
    </row>
    <row r="48" spans="2:19" x14ac:dyDescent="0.25">
      <c r="C48" s="72"/>
      <c r="D48" s="72"/>
      <c r="E48" s="72"/>
      <c r="F48" s="72"/>
      <c r="G48" s="72"/>
      <c r="H48" s="72"/>
      <c r="I48" s="72"/>
      <c r="J48" s="72"/>
    </row>
    <row r="49" spans="3:10" x14ac:dyDescent="0.25">
      <c r="C49" s="72"/>
      <c r="D49" s="72"/>
      <c r="E49" s="72"/>
      <c r="F49" s="72"/>
      <c r="G49" s="72"/>
      <c r="H49" s="72"/>
      <c r="I49" s="72"/>
      <c r="J49" s="72"/>
    </row>
    <row r="50" spans="3:10" x14ac:dyDescent="0.25">
      <c r="C50" s="72"/>
      <c r="D50" s="72"/>
      <c r="E50" s="72"/>
      <c r="F50" s="72"/>
      <c r="G50" s="72"/>
      <c r="H50" s="72"/>
      <c r="I50" s="72"/>
      <c r="J50" s="72"/>
    </row>
    <row r="51" spans="3:10" x14ac:dyDescent="0.25">
      <c r="C51" s="72"/>
      <c r="D51" s="72"/>
      <c r="E51" s="72"/>
      <c r="F51" s="72"/>
      <c r="G51" s="72"/>
      <c r="H51" s="72"/>
      <c r="I51" s="72"/>
      <c r="J51" s="72"/>
    </row>
    <row r="52" spans="3:10" x14ac:dyDescent="0.25">
      <c r="C52" s="72"/>
      <c r="D52" s="72"/>
      <c r="E52" s="72"/>
      <c r="F52" s="72"/>
      <c r="G52" s="72"/>
      <c r="H52" s="72"/>
      <c r="I52" s="72"/>
      <c r="J52" s="72"/>
    </row>
    <row r="53" spans="3:10" x14ac:dyDescent="0.25">
      <c r="C53" s="72"/>
      <c r="D53" s="72"/>
      <c r="E53" s="72"/>
      <c r="F53" s="72"/>
      <c r="G53" s="72"/>
      <c r="H53" s="72"/>
      <c r="I53" s="72"/>
      <c r="J53" s="72"/>
    </row>
    <row r="54" spans="3:10" x14ac:dyDescent="0.25">
      <c r="C54" s="72"/>
      <c r="D54" s="72"/>
      <c r="E54" s="72"/>
      <c r="F54" s="72"/>
      <c r="G54" s="72"/>
      <c r="H54" s="72"/>
      <c r="I54" s="72"/>
      <c r="J54" s="72"/>
    </row>
    <row r="55" spans="3:10" x14ac:dyDescent="0.25">
      <c r="C55" s="72"/>
      <c r="D55" s="72"/>
      <c r="E55" s="72"/>
      <c r="F55" s="72"/>
      <c r="G55" s="72"/>
      <c r="H55" s="72"/>
      <c r="I55" s="72"/>
    </row>
    <row r="56" spans="3:10" x14ac:dyDescent="0.25">
      <c r="C56" s="72"/>
      <c r="D56" s="72"/>
      <c r="E56" s="72"/>
      <c r="F56" s="72"/>
      <c r="G56" s="72"/>
      <c r="H56" s="72"/>
      <c r="I56" s="72"/>
    </row>
    <row r="57" spans="3:10" x14ac:dyDescent="0.25">
      <c r="C57" s="72"/>
      <c r="D57" s="72"/>
      <c r="E57" s="72"/>
      <c r="F57" s="72"/>
      <c r="G57" s="72"/>
      <c r="H57" s="72"/>
      <c r="I57" s="72"/>
    </row>
  </sheetData>
  <sheetProtection algorithmName="SHA-512" hashValue="5Vri/89HycwbYcX2D9mKrtH6c16J69UvlIGBpXyI4R56SWGi5vt4fEz5ODN15ieMYPFORd+85FRhy97jP6FE8g==" saltValue="38QHO+VvC54sCwecpjixaw==" spinCount="100000" sheet="1" selectLockedCells="1"/>
  <mergeCells count="10">
    <mergeCell ref="K25:K26"/>
    <mergeCell ref="K13:K16"/>
    <mergeCell ref="M13:M16"/>
    <mergeCell ref="N13:N16"/>
    <mergeCell ref="O13:O16"/>
    <mergeCell ref="M8:M12"/>
    <mergeCell ref="N8:N12"/>
    <mergeCell ref="O8:O12"/>
    <mergeCell ref="K6:K7"/>
    <mergeCell ref="K8:K12"/>
  </mergeCells>
  <phoneticPr fontId="2"/>
  <dataValidations count="2">
    <dataValidation type="list" allowBlank="1" showInputMessage="1" showErrorMessage="1" sqref="F11 F19" xr:uid="{156CE6E7-4CE5-4026-96CD-7C0E4ED70097}">
      <formula1>INDIRECT(F10)</formula1>
    </dataValidation>
    <dataValidation type="list" allowBlank="1" showInputMessage="1" showErrorMessage="1" sqref="F10 F18" xr:uid="{AC1DFCB6-AD0E-4558-9631-FEC841C26889}">
      <formula1>MainCategories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92402-D910-44A5-B497-86E0E40DC838}">
  <sheetPr>
    <tabColor rgb="FFFFFF00"/>
  </sheetPr>
  <dimension ref="A1:Q39"/>
  <sheetViews>
    <sheetView workbookViewId="0">
      <selection activeCell="A3" sqref="A3:A7"/>
    </sheetView>
  </sheetViews>
  <sheetFormatPr defaultRowHeight="18.75" x14ac:dyDescent="0.4"/>
  <cols>
    <col min="12" max="12" width="10.5" customWidth="1"/>
    <col min="13" max="13" width="11.625" customWidth="1"/>
  </cols>
  <sheetData>
    <row r="1" spans="1:17" x14ac:dyDescent="0.4">
      <c r="A1" s="47" t="s">
        <v>35</v>
      </c>
      <c r="C1" s="26" t="s">
        <v>41</v>
      </c>
      <c r="D1" s="48">
        <v>2.8</v>
      </c>
      <c r="E1">
        <f>隠し抵抗計算!$C$13</f>
        <v>28.2</v>
      </c>
      <c r="F1">
        <f>隠し抵抗計算!$C$28/1000</f>
        <v>43.328499999999998</v>
      </c>
      <c r="G1">
        <f>隠し抵抗計算!$C$18/1000</f>
        <v>9.9773368159999993</v>
      </c>
      <c r="H1" s="45"/>
      <c r="I1" s="60" t="s">
        <v>41</v>
      </c>
      <c r="J1" s="53">
        <v>2.8</v>
      </c>
      <c r="K1" s="53"/>
      <c r="L1" s="53"/>
      <c r="M1" s="54"/>
      <c r="N1" s="42" t="s">
        <v>39</v>
      </c>
      <c r="O1" s="43">
        <v>4</v>
      </c>
      <c r="P1" s="43"/>
      <c r="Q1" s="44"/>
    </row>
    <row r="2" spans="1:17" x14ac:dyDescent="0.4">
      <c r="A2" s="47" t="s">
        <v>39</v>
      </c>
      <c r="C2" s="26" t="s">
        <v>41</v>
      </c>
      <c r="D2" s="48">
        <v>4</v>
      </c>
      <c r="E2" s="26">
        <f>隠し抵抗計算!$J$13</f>
        <v>42</v>
      </c>
      <c r="F2">
        <f>隠し抵抗計算!$J$28/1000</f>
        <v>26.637460000000001</v>
      </c>
      <c r="G2">
        <f>隠し抵抗計算!$J$18/1000</f>
        <v>10.004020715401436</v>
      </c>
      <c r="H2" s="45"/>
      <c r="I2" s="61" t="s">
        <v>24</v>
      </c>
      <c r="J2" s="51">
        <v>12.7</v>
      </c>
      <c r="K2" s="51" t="s">
        <v>25</v>
      </c>
      <c r="L2" s="52">
        <v>2545.37</v>
      </c>
      <c r="M2" s="55">
        <f>ROUND(L2,0)</f>
        <v>2545</v>
      </c>
      <c r="N2" s="4" t="s">
        <v>24</v>
      </c>
      <c r="O2" s="5">
        <v>10</v>
      </c>
      <c r="P2" s="5" t="s">
        <v>25</v>
      </c>
      <c r="Q2" s="16">
        <v>357</v>
      </c>
    </row>
    <row r="3" spans="1:17" ht="19.5" thickBot="1" x14ac:dyDescent="0.45">
      <c r="A3" s="47"/>
      <c r="C3" s="26" t="s">
        <v>41</v>
      </c>
      <c r="D3" s="48">
        <v>6</v>
      </c>
      <c r="E3" s="26">
        <f>隠し抵抗計算!$Q$13</f>
        <v>66.099999999999994</v>
      </c>
      <c r="F3">
        <f>隠し抵抗計算!$Q$28/1000</f>
        <v>15.753860000000001</v>
      </c>
      <c r="G3">
        <f>隠し抵抗計算!$Q$18/1000</f>
        <v>9.9919597284453481</v>
      </c>
      <c r="H3" s="45"/>
      <c r="I3" s="62" t="s">
        <v>26</v>
      </c>
      <c r="J3" s="56">
        <v>100</v>
      </c>
      <c r="K3" s="56" t="s">
        <v>27</v>
      </c>
      <c r="L3" s="57">
        <v>43328.5</v>
      </c>
      <c r="M3" s="58">
        <f>ROUND(L3,-1)</f>
        <v>43330</v>
      </c>
      <c r="N3" s="19" t="s">
        <v>26</v>
      </c>
      <c r="O3" s="21">
        <v>100</v>
      </c>
      <c r="P3" s="21" t="s">
        <v>27</v>
      </c>
      <c r="Q3" s="59">
        <v>2494.5</v>
      </c>
    </row>
    <row r="4" spans="1:17" x14ac:dyDescent="0.4">
      <c r="A4" s="47"/>
      <c r="C4" s="26" t="s">
        <v>41</v>
      </c>
      <c r="D4" s="48">
        <v>12</v>
      </c>
      <c r="E4" s="26">
        <f>隠し抵抗計算!$X$13</f>
        <v>138.1</v>
      </c>
      <c r="F4">
        <f>隠し抵抗計算!$X$28/1000</f>
        <v>7.0829899999999997</v>
      </c>
      <c r="G4">
        <f>隠し抵抗計算!$X$18/1000</f>
        <v>9.9973765399615395</v>
      </c>
      <c r="H4" s="45"/>
      <c r="I4" s="63" t="s">
        <v>35</v>
      </c>
      <c r="J4" s="53">
        <v>4</v>
      </c>
      <c r="K4" s="53"/>
      <c r="L4" s="53"/>
      <c r="M4" s="54"/>
      <c r="N4" s="42" t="s">
        <v>39</v>
      </c>
      <c r="O4" s="43">
        <v>6</v>
      </c>
      <c r="P4" s="43"/>
      <c r="Q4" s="44"/>
    </row>
    <row r="5" spans="1:17" x14ac:dyDescent="0.4">
      <c r="A5" s="47"/>
      <c r="C5" s="26" t="s">
        <v>41</v>
      </c>
      <c r="D5" s="48">
        <v>20</v>
      </c>
      <c r="E5" s="26">
        <f>隠し抵抗計算!$AE$13</f>
        <v>233.9</v>
      </c>
      <c r="F5">
        <f>隠し抵抗計算!$AE$28/1000</f>
        <v>4.0926299999999998</v>
      </c>
      <c r="G5">
        <f>隠し抵抗計算!$AE$18/1000</f>
        <v>10.001937154944475</v>
      </c>
      <c r="H5" s="45"/>
      <c r="I5" s="61" t="s">
        <v>24</v>
      </c>
      <c r="J5" s="51">
        <v>12.7</v>
      </c>
      <c r="K5" s="51" t="s">
        <v>25</v>
      </c>
      <c r="L5" s="52">
        <v>1601.26</v>
      </c>
      <c r="M5" s="55">
        <f>ROUND(L5,0)</f>
        <v>1601</v>
      </c>
      <c r="N5" s="4" t="s">
        <v>24</v>
      </c>
      <c r="O5" s="5">
        <v>10</v>
      </c>
      <c r="P5" s="5" t="s">
        <v>25</v>
      </c>
      <c r="Q5" s="16">
        <v>224.1</v>
      </c>
    </row>
    <row r="6" spans="1:17" ht="19.5" thickBot="1" x14ac:dyDescent="0.45">
      <c r="A6" s="47"/>
      <c r="C6" s="26" t="s">
        <v>42</v>
      </c>
      <c r="D6" s="48">
        <v>4</v>
      </c>
      <c r="E6" s="26">
        <f>隠し抵抗計算!$CP$13</f>
        <v>416</v>
      </c>
      <c r="F6">
        <f>隠し抵抗計算!$CP$28/1000</f>
        <v>2.4945399999999998</v>
      </c>
      <c r="G6">
        <f>隠し抵抗計算!$CP$18/1000</f>
        <v>9.9995433399288949</v>
      </c>
      <c r="I6" s="62" t="s">
        <v>26</v>
      </c>
      <c r="J6" s="56">
        <v>100</v>
      </c>
      <c r="K6" s="56" t="s">
        <v>27</v>
      </c>
      <c r="L6" s="57">
        <v>26637.46</v>
      </c>
      <c r="M6" s="58">
        <f>ROUND(L6,-1)</f>
        <v>26640</v>
      </c>
      <c r="N6" s="19" t="s">
        <v>26</v>
      </c>
      <c r="O6" s="21">
        <v>100</v>
      </c>
      <c r="P6" s="21" t="s">
        <v>27</v>
      </c>
      <c r="Q6" s="59">
        <v>1649.1</v>
      </c>
    </row>
    <row r="7" spans="1:17" x14ac:dyDescent="0.4">
      <c r="C7" s="26" t="s">
        <v>42</v>
      </c>
      <c r="D7" s="48">
        <v>6</v>
      </c>
      <c r="E7" s="26">
        <f>隠し抵抗計算!$CW$13</f>
        <v>627.4</v>
      </c>
      <c r="F7">
        <f>隠し抵抗計算!$CW$28/1000</f>
        <v>1.6491099999999999</v>
      </c>
      <c r="G7">
        <f>隠し抵抗計算!$CW$18/1000</f>
        <v>9.9996061757092232</v>
      </c>
      <c r="I7" s="63" t="s">
        <v>35</v>
      </c>
      <c r="J7" s="43">
        <v>6</v>
      </c>
      <c r="K7" s="43"/>
      <c r="L7" s="43"/>
      <c r="M7" s="44"/>
      <c r="N7" s="42" t="s">
        <v>39</v>
      </c>
      <c r="O7" s="43">
        <v>12</v>
      </c>
      <c r="P7" s="43"/>
      <c r="Q7" s="44"/>
    </row>
    <row r="8" spans="1:17" x14ac:dyDescent="0.4">
      <c r="C8" s="26" t="s">
        <v>42</v>
      </c>
      <c r="D8" s="48">
        <v>12</v>
      </c>
      <c r="E8" s="26">
        <f>隠し抵抗計算!$DD$13</f>
        <v>1262.2</v>
      </c>
      <c r="F8">
        <f>隠し抵抗計算!$DD$28/1000</f>
        <v>0.80298000000000003</v>
      </c>
      <c r="G8">
        <f>隠し抵抗計算!$DD$18/1000</f>
        <v>10.000405869667601</v>
      </c>
      <c r="I8" s="61" t="s">
        <v>24</v>
      </c>
      <c r="J8" s="5">
        <v>12.7</v>
      </c>
      <c r="K8" s="5" t="s">
        <v>25</v>
      </c>
      <c r="L8" s="10">
        <v>915.7</v>
      </c>
      <c r="M8" s="16">
        <f>ROUND(L8,1)</f>
        <v>915.7</v>
      </c>
      <c r="N8" s="4" t="s">
        <v>24</v>
      </c>
      <c r="O8" s="5">
        <v>10</v>
      </c>
      <c r="P8" s="5" t="s">
        <v>25</v>
      </c>
      <c r="Q8" s="16">
        <v>123</v>
      </c>
    </row>
    <row r="9" spans="1:17" ht="19.5" thickBot="1" x14ac:dyDescent="0.45">
      <c r="C9" s="26" t="s">
        <v>42</v>
      </c>
      <c r="D9" s="48">
        <v>20</v>
      </c>
      <c r="E9" s="26">
        <f>隠し抵抗計算!$DK$13</f>
        <v>2100.9</v>
      </c>
      <c r="F9">
        <f>隠し抵抗計算!$DK$28/1000</f>
        <v>0.49573</v>
      </c>
      <c r="G9">
        <f>隠し抵抗計算!$DK$18/1000</f>
        <v>10.000004673212882</v>
      </c>
      <c r="I9" s="62" t="s">
        <v>26</v>
      </c>
      <c r="J9" s="21">
        <v>100</v>
      </c>
      <c r="K9" s="21" t="s">
        <v>27</v>
      </c>
      <c r="L9" s="20">
        <v>15753.86</v>
      </c>
      <c r="M9" s="22">
        <f>ROUND(L9,-1)</f>
        <v>15750</v>
      </c>
      <c r="N9" s="19" t="s">
        <v>26</v>
      </c>
      <c r="O9" s="21">
        <v>100</v>
      </c>
      <c r="P9" s="21" t="s">
        <v>27</v>
      </c>
      <c r="Q9" s="59">
        <v>803</v>
      </c>
    </row>
    <row r="10" spans="1:17" x14ac:dyDescent="0.4">
      <c r="C10" s="26"/>
      <c r="D10" s="48"/>
      <c r="E10" s="26">
        <f>隠し抵抗計算!$BN$13</f>
        <v>0</v>
      </c>
      <c r="F10">
        <f>隠し抵抗計算!$BN$28/1000</f>
        <v>0</v>
      </c>
      <c r="G10">
        <f>隠し抵抗計算!$BN$18/1000</f>
        <v>0</v>
      </c>
      <c r="I10" s="63" t="s">
        <v>35</v>
      </c>
      <c r="J10" s="43">
        <v>12</v>
      </c>
      <c r="K10" s="43"/>
      <c r="L10" s="43"/>
      <c r="M10" s="44"/>
      <c r="N10" s="32" t="s">
        <v>39</v>
      </c>
      <c r="O10" s="33">
        <v>20</v>
      </c>
      <c r="P10" s="43"/>
      <c r="Q10" s="44"/>
    </row>
    <row r="11" spans="1:17" x14ac:dyDescent="0.4">
      <c r="C11" s="26"/>
      <c r="D11" s="48"/>
      <c r="E11" s="26">
        <f>隠し抵抗計算!$BU$13</f>
        <v>0</v>
      </c>
      <c r="F11">
        <f>隠し抵抗計算!$BU$28/1000</f>
        <v>0</v>
      </c>
      <c r="G11">
        <f>隠し抵抗計算!$BU$18/1000</f>
        <v>0</v>
      </c>
      <c r="I11" s="61" t="s">
        <v>24</v>
      </c>
      <c r="J11" s="5">
        <v>12.7</v>
      </c>
      <c r="K11" s="5" t="s">
        <v>25</v>
      </c>
      <c r="L11" s="10">
        <v>405.14</v>
      </c>
      <c r="M11" s="6">
        <f>ROUND(L11,1)</f>
        <v>405.1</v>
      </c>
      <c r="N11" s="4" t="s">
        <v>24</v>
      </c>
      <c r="O11" s="5">
        <v>10</v>
      </c>
      <c r="P11" s="5" t="s">
        <v>25</v>
      </c>
      <c r="Q11" s="16">
        <v>68.2</v>
      </c>
    </row>
    <row r="12" spans="1:17" ht="19.5" thickBot="1" x14ac:dyDescent="0.45">
      <c r="C12" s="26"/>
      <c r="D12" s="48"/>
      <c r="E12" s="26">
        <f>隠し抵抗計算!$CB$13</f>
        <v>0</v>
      </c>
      <c r="F12">
        <f>隠し抵抗計算!$CB$28/1000</f>
        <v>0</v>
      </c>
      <c r="G12">
        <f>隠し抵抗計算!$CB$18/1000</f>
        <v>0</v>
      </c>
      <c r="I12" s="62" t="s">
        <v>26</v>
      </c>
      <c r="J12" s="21">
        <v>100</v>
      </c>
      <c r="K12" s="21" t="s">
        <v>27</v>
      </c>
      <c r="L12" s="20">
        <v>7082.99</v>
      </c>
      <c r="M12" s="59">
        <f>ROUND(L12,0)</f>
        <v>7083</v>
      </c>
      <c r="N12" s="19" t="s">
        <v>26</v>
      </c>
      <c r="O12" s="21">
        <v>100</v>
      </c>
      <c r="P12" s="21" t="s">
        <v>27</v>
      </c>
      <c r="Q12" s="59">
        <v>495.7</v>
      </c>
    </row>
    <row r="13" spans="1:17" x14ac:dyDescent="0.4">
      <c r="C13" s="26"/>
      <c r="D13" s="48"/>
      <c r="E13" s="26">
        <f>隠し抵抗計算!$CI$13</f>
        <v>0</v>
      </c>
      <c r="F13">
        <f>隠し抵抗計算!$CI$28/1000</f>
        <v>0</v>
      </c>
      <c r="G13">
        <f>隠し抵抗計算!$CI$18/1000</f>
        <v>0</v>
      </c>
      <c r="I13" s="64" t="s">
        <v>35</v>
      </c>
      <c r="J13" s="33">
        <v>20</v>
      </c>
      <c r="K13" s="43"/>
      <c r="L13" s="43"/>
      <c r="M13" s="44"/>
      <c r="N13" s="32"/>
      <c r="O13" s="33"/>
      <c r="P13" s="43"/>
      <c r="Q13" s="44"/>
    </row>
    <row r="14" spans="1:17" x14ac:dyDescent="0.4">
      <c r="C14" s="26"/>
      <c r="D14" s="48"/>
      <c r="E14" s="26">
        <f>隠し抵抗計算!$AL$13</f>
        <v>0</v>
      </c>
      <c r="F14">
        <f>隠し抵抗計算!$AL$28/1000</f>
        <v>0</v>
      </c>
      <c r="G14">
        <f>隠し抵抗計算!$AL$18/1000</f>
        <v>0</v>
      </c>
      <c r="I14" s="61" t="s">
        <v>24</v>
      </c>
      <c r="J14" s="5">
        <v>12.7</v>
      </c>
      <c r="K14" s="5" t="s">
        <v>25</v>
      </c>
      <c r="L14" s="10">
        <v>239.89</v>
      </c>
      <c r="M14" s="16">
        <f>ROUND(L14,1)</f>
        <v>239.9</v>
      </c>
      <c r="N14" s="4"/>
      <c r="O14" s="5"/>
      <c r="P14" s="5"/>
      <c r="Q14" s="16"/>
    </row>
    <row r="15" spans="1:17" ht="19.5" thickBot="1" x14ac:dyDescent="0.45">
      <c r="C15" s="26"/>
      <c r="D15" s="48"/>
      <c r="E15" s="26">
        <f>隠し抵抗計算!$AS$13</f>
        <v>0</v>
      </c>
      <c r="F15">
        <f>隠し抵抗計算!$AS$28/1000</f>
        <v>0</v>
      </c>
      <c r="G15">
        <f>隠し抵抗計算!$AS$18/1000</f>
        <v>0</v>
      </c>
      <c r="I15" s="62" t="s">
        <v>26</v>
      </c>
      <c r="J15" s="21">
        <v>100</v>
      </c>
      <c r="K15" s="21" t="s">
        <v>27</v>
      </c>
      <c r="L15" s="20">
        <v>4092.63</v>
      </c>
      <c r="M15" s="59">
        <f>ROUND(L15,0)</f>
        <v>4093</v>
      </c>
      <c r="N15" s="19"/>
      <c r="O15" s="21"/>
      <c r="P15" s="21"/>
      <c r="Q15" s="59"/>
    </row>
    <row r="16" spans="1:17" x14ac:dyDescent="0.4">
      <c r="C16" s="26"/>
      <c r="D16" s="48"/>
      <c r="E16" s="26">
        <f>隠し抵抗計算!$AZ$13</f>
        <v>0</v>
      </c>
      <c r="F16">
        <f>隠し抵抗計算!$AZ$28/1000</f>
        <v>0</v>
      </c>
      <c r="G16">
        <f>隠し抵抗計算!$AZ$18/1000</f>
        <v>0</v>
      </c>
      <c r="I16" s="64"/>
      <c r="J16" s="43"/>
      <c r="K16" s="43"/>
      <c r="L16" s="43"/>
      <c r="M16" s="44"/>
      <c r="N16" s="32"/>
      <c r="O16" s="33"/>
      <c r="P16" s="43"/>
      <c r="Q16" s="44"/>
    </row>
    <row r="17" spans="3:17" x14ac:dyDescent="0.4">
      <c r="C17" s="26"/>
      <c r="D17" s="48"/>
      <c r="E17" s="26">
        <f>隠し抵抗計算!$BG$13</f>
        <v>0</v>
      </c>
      <c r="F17">
        <f>隠し抵抗計算!$BG$28/1000</f>
        <v>0</v>
      </c>
      <c r="G17">
        <f>隠し抵抗計算!$BG$18/1000</f>
        <v>0</v>
      </c>
      <c r="I17" s="61"/>
      <c r="J17" s="5"/>
      <c r="K17" s="5"/>
      <c r="L17" s="10"/>
      <c r="M17" s="16"/>
      <c r="N17" s="4"/>
      <c r="O17" s="5"/>
      <c r="P17" s="5"/>
      <c r="Q17" s="16"/>
    </row>
    <row r="18" spans="3:17" ht="19.5" thickBot="1" x14ac:dyDescent="0.45">
      <c r="C18" s="26"/>
      <c r="D18" s="48"/>
      <c r="E18" s="26">
        <f>隠し抵抗計算!$AL$13</f>
        <v>0</v>
      </c>
      <c r="F18">
        <f>隠し抵抗計算!$AL$28/1000</f>
        <v>0</v>
      </c>
      <c r="G18">
        <f>隠し抵抗計算!$AL$18/1000</f>
        <v>0</v>
      </c>
      <c r="I18" s="62"/>
      <c r="J18" s="21"/>
      <c r="K18" s="21"/>
      <c r="L18" s="20"/>
      <c r="M18" s="59"/>
      <c r="N18" s="19"/>
      <c r="O18" s="21"/>
      <c r="P18" s="21"/>
      <c r="Q18" s="59"/>
    </row>
    <row r="19" spans="3:17" x14ac:dyDescent="0.4">
      <c r="C19" s="26"/>
      <c r="D19" s="48"/>
      <c r="E19" s="26">
        <f>隠し抵抗計算!$AS$13</f>
        <v>0</v>
      </c>
      <c r="F19">
        <f>隠し抵抗計算!$AS$28/1000</f>
        <v>0</v>
      </c>
      <c r="G19">
        <f>隠し抵抗計算!$AS$18/1000</f>
        <v>0</v>
      </c>
      <c r="I19" s="64"/>
      <c r="J19" s="43"/>
      <c r="K19" s="43"/>
      <c r="L19" s="43"/>
      <c r="M19" s="44"/>
      <c r="N19" s="32"/>
      <c r="O19" s="33"/>
      <c r="P19" s="43"/>
      <c r="Q19" s="44"/>
    </row>
    <row r="20" spans="3:17" x14ac:dyDescent="0.4">
      <c r="C20" s="26"/>
      <c r="D20" s="48"/>
      <c r="E20" s="26">
        <f>隠し抵抗計算!$AZ$13</f>
        <v>0</v>
      </c>
      <c r="F20">
        <f>隠し抵抗計算!$AZ$28/1000</f>
        <v>0</v>
      </c>
      <c r="G20">
        <f>隠し抵抗計算!$AZ$18/1000</f>
        <v>0</v>
      </c>
      <c r="I20" s="4"/>
      <c r="J20" s="5"/>
      <c r="K20" s="5"/>
      <c r="L20" s="10"/>
      <c r="M20" s="16"/>
      <c r="N20" s="4"/>
      <c r="O20" s="5"/>
      <c r="P20" s="5"/>
      <c r="Q20" s="16"/>
    </row>
    <row r="21" spans="3:17" ht="19.5" thickBot="1" x14ac:dyDescent="0.45">
      <c r="C21" s="26"/>
      <c r="D21" s="48"/>
      <c r="E21" s="26">
        <f>隠し抵抗計算!$BG$13</f>
        <v>0</v>
      </c>
      <c r="F21">
        <f>隠し抵抗計算!$BG$28/1000</f>
        <v>0</v>
      </c>
      <c r="G21">
        <f>隠し抵抗計算!$BG$18/1000</f>
        <v>0</v>
      </c>
      <c r="I21" s="19"/>
      <c r="J21" s="21"/>
      <c r="K21" s="21"/>
      <c r="L21" s="20"/>
      <c r="M21" s="59"/>
      <c r="N21" s="19"/>
      <c r="O21" s="21"/>
      <c r="P21" s="21"/>
      <c r="Q21" s="59"/>
    </row>
    <row r="22" spans="3:17" x14ac:dyDescent="0.4">
      <c r="C22" s="26"/>
      <c r="D22" s="48"/>
      <c r="E22" s="26">
        <f>隠し抵抗計算!$DR$13</f>
        <v>0</v>
      </c>
      <c r="F22">
        <f>隠し抵抗計算!$DR$28/1000</f>
        <v>0</v>
      </c>
      <c r="G22">
        <f>隠し抵抗計算!$DR$18/1000</f>
        <v>0</v>
      </c>
      <c r="I22" s="64"/>
      <c r="J22" s="33"/>
      <c r="K22" s="43"/>
      <c r="L22" s="43"/>
      <c r="M22" s="44"/>
      <c r="N22" s="32"/>
      <c r="O22" s="33"/>
      <c r="P22" s="43"/>
      <c r="Q22" s="44"/>
    </row>
    <row r="23" spans="3:17" x14ac:dyDescent="0.4">
      <c r="C23" s="26"/>
      <c r="D23" s="48"/>
      <c r="E23" s="26">
        <f>隠し抵抗計算!$DY$13</f>
        <v>0</v>
      </c>
      <c r="F23">
        <f>隠し抵抗計算!$DY$28/1000</f>
        <v>0</v>
      </c>
      <c r="G23">
        <f>隠し抵抗計算!$DY$18/1000</f>
        <v>0</v>
      </c>
      <c r="I23" s="4"/>
      <c r="J23" s="5"/>
      <c r="K23" s="5"/>
      <c r="L23" s="10"/>
      <c r="M23" s="16"/>
      <c r="N23" s="4"/>
      <c r="O23" s="5"/>
      <c r="P23" s="5"/>
      <c r="Q23" s="16"/>
    </row>
    <row r="24" spans="3:17" ht="19.5" thickBot="1" x14ac:dyDescent="0.45">
      <c r="C24" s="26"/>
      <c r="D24" s="48"/>
      <c r="E24" s="26">
        <f>隠し抵抗計算!$EF$13</f>
        <v>0</v>
      </c>
      <c r="F24">
        <f>隠し抵抗計算!$EF$28/1000</f>
        <v>0</v>
      </c>
      <c r="G24">
        <f>隠し抵抗計算!$EF$18/1000</f>
        <v>0</v>
      </c>
      <c r="I24" s="19"/>
      <c r="J24" s="21"/>
      <c r="K24" s="21"/>
      <c r="L24" s="20"/>
      <c r="M24" s="59"/>
      <c r="N24" s="19"/>
      <c r="O24" s="21"/>
      <c r="P24" s="21"/>
      <c r="Q24" s="59"/>
    </row>
    <row r="25" spans="3:17" x14ac:dyDescent="0.4">
      <c r="C25" s="26"/>
      <c r="D25" s="48"/>
      <c r="E25" s="26">
        <f>隠し抵抗計算!$EM$13</f>
        <v>0</v>
      </c>
      <c r="F25">
        <f>隠し抵抗計算!$EM$28/1000</f>
        <v>0</v>
      </c>
      <c r="G25">
        <f>隠し抵抗計算!$EM$18/1000</f>
        <v>0</v>
      </c>
      <c r="I25" s="64"/>
      <c r="J25" s="33"/>
      <c r="K25" s="43"/>
      <c r="L25" s="43"/>
      <c r="M25" s="44"/>
      <c r="N25" s="32"/>
      <c r="O25" s="33"/>
      <c r="P25" s="43"/>
      <c r="Q25" s="44"/>
    </row>
    <row r="26" spans="3:17" x14ac:dyDescent="0.4">
      <c r="I26" s="35"/>
      <c r="J26" s="24"/>
      <c r="K26" s="24"/>
      <c r="L26" s="31"/>
      <c r="M26" s="37"/>
      <c r="N26" s="4"/>
      <c r="O26" s="5"/>
      <c r="P26" s="5"/>
      <c r="Q26" s="16"/>
    </row>
    <row r="27" spans="3:17" ht="19.5" thickBot="1" x14ac:dyDescent="0.45">
      <c r="I27" s="39"/>
      <c r="J27" s="40"/>
      <c r="K27" s="40"/>
      <c r="L27" s="65"/>
      <c r="M27" s="66"/>
      <c r="N27" s="19"/>
      <c r="O27" s="21"/>
      <c r="P27" s="21"/>
      <c r="Q27" s="59"/>
    </row>
    <row r="28" spans="3:17" x14ac:dyDescent="0.4">
      <c r="I28" s="32"/>
      <c r="J28" s="33"/>
      <c r="K28" s="43"/>
      <c r="L28" s="43"/>
      <c r="M28" s="44"/>
      <c r="N28" s="32"/>
      <c r="O28" s="33"/>
      <c r="P28" s="43"/>
      <c r="Q28" s="44"/>
    </row>
    <row r="29" spans="3:17" x14ac:dyDescent="0.4">
      <c r="I29" s="4"/>
      <c r="J29" s="5"/>
      <c r="K29" s="5"/>
      <c r="L29" s="10"/>
      <c r="M29" s="6"/>
      <c r="N29" s="4"/>
      <c r="O29" s="5"/>
      <c r="P29" s="5"/>
      <c r="Q29" s="16"/>
    </row>
    <row r="30" spans="3:17" ht="19.5" thickBot="1" x14ac:dyDescent="0.45">
      <c r="I30" s="19"/>
      <c r="J30" s="21"/>
      <c r="K30" s="21"/>
      <c r="L30" s="20"/>
      <c r="M30" s="22"/>
      <c r="N30" s="19"/>
      <c r="O30" s="21"/>
      <c r="P30" s="21"/>
      <c r="Q30" s="59"/>
    </row>
    <row r="31" spans="3:17" x14ac:dyDescent="0.4">
      <c r="I31" s="32"/>
      <c r="J31" s="33"/>
      <c r="K31" s="43"/>
      <c r="L31" s="43"/>
      <c r="M31" s="44"/>
      <c r="N31" s="32"/>
      <c r="O31" s="33"/>
      <c r="P31" s="45"/>
      <c r="Q31" s="46"/>
    </row>
    <row r="32" spans="3:17" x14ac:dyDescent="0.4">
      <c r="I32" s="4"/>
      <c r="J32" s="5"/>
      <c r="K32" s="5"/>
      <c r="L32" s="10"/>
      <c r="M32" s="6"/>
      <c r="N32" s="4"/>
      <c r="O32" s="5"/>
      <c r="P32" s="5"/>
      <c r="Q32" s="16"/>
    </row>
    <row r="33" spans="9:17" ht="19.5" thickBot="1" x14ac:dyDescent="0.45">
      <c r="I33" s="19"/>
      <c r="J33" s="21"/>
      <c r="K33" s="21"/>
      <c r="L33" s="20"/>
      <c r="M33" s="22"/>
      <c r="N33" s="19"/>
      <c r="O33" s="21"/>
      <c r="P33" s="21"/>
      <c r="Q33" s="59"/>
    </row>
    <row r="34" spans="9:17" x14ac:dyDescent="0.4">
      <c r="I34" s="32"/>
      <c r="J34" s="33"/>
      <c r="K34" s="43"/>
      <c r="L34" s="43"/>
      <c r="M34" s="44"/>
      <c r="N34" s="32"/>
      <c r="O34" s="33"/>
      <c r="P34" s="45"/>
      <c r="Q34" s="46"/>
    </row>
    <row r="35" spans="9:17" x14ac:dyDescent="0.4">
      <c r="I35" s="4"/>
      <c r="J35" s="5"/>
      <c r="K35" s="5"/>
      <c r="L35" s="10"/>
      <c r="M35" s="6"/>
      <c r="N35" s="4"/>
      <c r="O35" s="5"/>
      <c r="P35" s="5"/>
      <c r="Q35" s="16"/>
    </row>
    <row r="36" spans="9:17" ht="19.5" thickBot="1" x14ac:dyDescent="0.45">
      <c r="I36" s="19"/>
      <c r="J36" s="21"/>
      <c r="K36" s="21"/>
      <c r="L36" s="20"/>
      <c r="M36" s="22"/>
      <c r="N36" s="19"/>
      <c r="O36" s="21"/>
      <c r="P36" s="21"/>
      <c r="Q36" s="59"/>
    </row>
    <row r="37" spans="9:17" x14ac:dyDescent="0.4">
      <c r="I37" s="32"/>
      <c r="J37" s="33"/>
      <c r="K37" s="43"/>
      <c r="L37" s="43"/>
      <c r="M37" s="44"/>
    </row>
    <row r="38" spans="9:17" x14ac:dyDescent="0.4">
      <c r="I38" s="4"/>
      <c r="J38" s="5"/>
      <c r="K38" s="5"/>
      <c r="L38" s="10"/>
      <c r="M38" s="6"/>
    </row>
    <row r="39" spans="9:17" ht="19.5" thickBot="1" x14ac:dyDescent="0.45">
      <c r="I39" s="19"/>
      <c r="J39" s="21"/>
      <c r="K39" s="21"/>
      <c r="L39" s="20"/>
      <c r="M39" s="22"/>
    </row>
  </sheetData>
  <phoneticPr fontId="2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9C5C3-04FC-4D70-81DA-87445F21D3DE}">
  <sheetPr>
    <tabColor rgb="FFFFFF00"/>
  </sheetPr>
  <dimension ref="A1:EQ62"/>
  <sheetViews>
    <sheetView zoomScaleNormal="100" workbookViewId="0">
      <selection activeCell="A3" sqref="A3:A7"/>
    </sheetView>
  </sheetViews>
  <sheetFormatPr defaultColWidth="10.625" defaultRowHeight="18.75" x14ac:dyDescent="0.4"/>
  <cols>
    <col min="1" max="1" width="23.5" style="5" customWidth="1"/>
    <col min="2" max="9" width="10.625" style="5"/>
    <col min="10" max="10" width="12.75" style="5" bestFit="1" customWidth="1"/>
    <col min="11" max="58" width="10.625" style="5"/>
    <col min="59" max="59" width="15.5" style="5" customWidth="1"/>
    <col min="60" max="16384" width="10.625" style="5"/>
  </cols>
  <sheetData>
    <row r="1" spans="1:147" ht="19.5" thickBot="1" x14ac:dyDescent="0.45"/>
    <row r="2" spans="1:147" x14ac:dyDescent="0.4">
      <c r="B2" s="1" t="s">
        <v>0</v>
      </c>
      <c r="C2" s="2"/>
      <c r="D2" s="2"/>
      <c r="E2" s="2"/>
      <c r="F2" s="2"/>
      <c r="G2" s="3"/>
      <c r="I2" s="1" t="s">
        <v>0</v>
      </c>
      <c r="J2" s="2"/>
      <c r="K2" s="2"/>
      <c r="L2" s="2"/>
      <c r="M2" s="2"/>
      <c r="N2" s="3"/>
      <c r="P2" s="1" t="s">
        <v>0</v>
      </c>
      <c r="Q2" s="2"/>
      <c r="R2" s="2"/>
      <c r="S2" s="2"/>
      <c r="T2" s="2"/>
      <c r="U2" s="3"/>
      <c r="W2" s="1" t="s">
        <v>0</v>
      </c>
      <c r="X2" s="2"/>
      <c r="Y2" s="2"/>
      <c r="Z2" s="2"/>
      <c r="AA2" s="2"/>
      <c r="AB2" s="3"/>
      <c r="AD2" s="1" t="s">
        <v>0</v>
      </c>
      <c r="AE2" s="2"/>
      <c r="AF2" s="2"/>
      <c r="AG2" s="2"/>
      <c r="AH2" s="2"/>
      <c r="AI2" s="3"/>
      <c r="AK2" s="1"/>
      <c r="AL2" s="2"/>
      <c r="AM2" s="2"/>
      <c r="AN2" s="2"/>
      <c r="AO2" s="2"/>
      <c r="AP2" s="3"/>
      <c r="AR2" s="1"/>
      <c r="AS2" s="2"/>
      <c r="AT2" s="2"/>
      <c r="AU2" s="2"/>
      <c r="AV2" s="2"/>
      <c r="AW2" s="3"/>
      <c r="AY2" s="1"/>
      <c r="AZ2" s="2"/>
      <c r="BA2" s="2"/>
      <c r="BB2" s="2"/>
      <c r="BC2" s="2"/>
      <c r="BD2" s="3"/>
      <c r="BF2" s="1"/>
      <c r="BG2" s="33"/>
      <c r="BH2" s="33"/>
      <c r="BI2" s="33"/>
      <c r="BJ2" s="33"/>
      <c r="BK2" s="34"/>
      <c r="BM2" s="1"/>
      <c r="BN2" s="2"/>
      <c r="BO2" s="2"/>
      <c r="BP2" s="2"/>
      <c r="BQ2" s="2"/>
      <c r="BR2" s="3"/>
      <c r="BT2" s="1"/>
      <c r="BU2" s="2"/>
      <c r="BV2" s="2"/>
      <c r="BW2" s="2"/>
      <c r="BX2" s="2"/>
      <c r="BY2" s="3"/>
      <c r="CA2" s="1"/>
      <c r="CB2" s="2"/>
      <c r="CC2" s="2"/>
      <c r="CD2" s="2"/>
      <c r="CE2" s="2"/>
      <c r="CF2" s="3"/>
      <c r="CH2" s="1"/>
      <c r="CI2" s="2"/>
      <c r="CJ2" s="2"/>
      <c r="CK2" s="2"/>
      <c r="CL2" s="2"/>
      <c r="CM2" s="3"/>
      <c r="CO2" s="1" t="s">
        <v>1</v>
      </c>
      <c r="CP2" s="2"/>
      <c r="CQ2" s="2" t="s">
        <v>2</v>
      </c>
      <c r="CR2" s="2">
        <v>705.9</v>
      </c>
      <c r="CS2" s="2"/>
      <c r="CT2" s="3"/>
      <c r="CV2" s="1" t="s">
        <v>1</v>
      </c>
      <c r="CW2" s="2"/>
      <c r="CX2" s="2" t="s">
        <v>2</v>
      </c>
      <c r="CY2" s="2">
        <v>707.5</v>
      </c>
      <c r="CZ2" s="2"/>
      <c r="DA2" s="3"/>
      <c r="DC2" s="1" t="s">
        <v>1</v>
      </c>
      <c r="DD2" s="2"/>
      <c r="DE2" s="2" t="s">
        <v>2</v>
      </c>
      <c r="DF2" s="2">
        <v>707.5</v>
      </c>
      <c r="DG2" s="2"/>
      <c r="DH2" s="3"/>
      <c r="DJ2" s="1" t="s">
        <v>1</v>
      </c>
      <c r="DK2" s="2"/>
      <c r="DL2" s="2" t="s">
        <v>2</v>
      </c>
      <c r="DM2" s="2">
        <v>701.9</v>
      </c>
      <c r="DN2" s="2"/>
      <c r="DO2" s="3"/>
      <c r="DQ2" s="1"/>
      <c r="DR2" s="2"/>
      <c r="DS2" s="2"/>
      <c r="DT2" s="2"/>
      <c r="DU2" s="2"/>
      <c r="DV2" s="3"/>
      <c r="DX2" s="1"/>
      <c r="DY2" s="2"/>
      <c r="DZ2" s="2"/>
      <c r="EA2" s="2"/>
      <c r="EB2" s="2"/>
      <c r="EC2" s="3"/>
      <c r="EE2" s="1"/>
      <c r="EF2" s="2"/>
      <c r="EG2" s="2"/>
      <c r="EH2" s="2"/>
      <c r="EI2" s="2"/>
      <c r="EJ2" s="3"/>
      <c r="EL2" s="1"/>
      <c r="EM2" s="2"/>
      <c r="EN2" s="2"/>
      <c r="EO2" s="2"/>
      <c r="EP2" s="2"/>
      <c r="EQ2" s="3"/>
    </row>
    <row r="3" spans="1:147" x14ac:dyDescent="0.4">
      <c r="B3" s="4" t="s">
        <v>3</v>
      </c>
      <c r="G3" s="6"/>
      <c r="I3" s="4" t="s">
        <v>4</v>
      </c>
      <c r="N3" s="6"/>
      <c r="P3" s="4" t="s">
        <v>5</v>
      </c>
      <c r="U3" s="6"/>
      <c r="W3" s="4" t="s">
        <v>6</v>
      </c>
      <c r="AB3" s="6"/>
      <c r="AD3" s="4" t="s">
        <v>7</v>
      </c>
      <c r="AI3" s="6"/>
      <c r="AK3" s="4"/>
      <c r="AP3" s="6"/>
      <c r="AR3" s="4"/>
      <c r="AW3" s="6"/>
      <c r="AY3" s="4"/>
      <c r="BD3" s="6"/>
      <c r="BF3" s="35"/>
      <c r="BG3" s="24"/>
      <c r="BH3" s="24"/>
      <c r="BI3" s="24"/>
      <c r="BJ3" s="24"/>
      <c r="BK3" s="36"/>
      <c r="BM3" s="4"/>
      <c r="BR3" s="6"/>
      <c r="BT3" s="4"/>
      <c r="BY3" s="6"/>
      <c r="CA3" s="4"/>
      <c r="CF3" s="6"/>
      <c r="CH3" s="4"/>
      <c r="CM3" s="6"/>
      <c r="CO3" s="4" t="s">
        <v>4</v>
      </c>
      <c r="CQ3" s="5" t="s">
        <v>8</v>
      </c>
      <c r="CR3" s="5">
        <v>1.298</v>
      </c>
      <c r="CT3" s="6"/>
      <c r="CV3" s="4" t="s">
        <v>5</v>
      </c>
      <c r="CX3" s="5" t="s">
        <v>8</v>
      </c>
      <c r="CY3" s="5">
        <v>1.35</v>
      </c>
      <c r="DA3" s="6"/>
      <c r="DC3" s="4" t="s">
        <v>6</v>
      </c>
      <c r="DE3" s="5" t="s">
        <v>8</v>
      </c>
      <c r="DF3" s="5">
        <v>2</v>
      </c>
      <c r="DH3" s="6"/>
      <c r="DJ3" s="4" t="s">
        <v>7</v>
      </c>
      <c r="DL3" s="5" t="s">
        <v>8</v>
      </c>
      <c r="DM3" s="5">
        <v>1.224</v>
      </c>
      <c r="DO3" s="6"/>
      <c r="DQ3" s="4"/>
      <c r="DV3" s="6"/>
      <c r="DX3" s="4"/>
      <c r="EC3" s="6"/>
      <c r="EE3" s="4"/>
      <c r="EJ3" s="6"/>
      <c r="EL3" s="4"/>
      <c r="EQ3" s="6"/>
    </row>
    <row r="4" spans="1:147" x14ac:dyDescent="0.4">
      <c r="B4" s="4"/>
      <c r="G4" s="6"/>
      <c r="I4" s="4"/>
      <c r="N4" s="6"/>
      <c r="P4" s="4"/>
      <c r="U4" s="6"/>
      <c r="W4" s="4"/>
      <c r="AB4" s="6"/>
      <c r="AD4" s="4"/>
      <c r="AI4" s="6"/>
      <c r="AK4" s="4"/>
      <c r="AP4" s="6"/>
      <c r="AR4" s="4"/>
      <c r="AW4" s="6"/>
      <c r="AY4" s="4"/>
      <c r="BD4" s="6"/>
      <c r="BF4" s="35"/>
      <c r="BG4" s="24"/>
      <c r="BH4" s="24"/>
      <c r="BI4" s="24"/>
      <c r="BJ4" s="24"/>
      <c r="BK4" s="36"/>
      <c r="BM4" s="4"/>
      <c r="BR4" s="6"/>
      <c r="BT4" s="4"/>
      <c r="BY4" s="6"/>
      <c r="CA4" s="4"/>
      <c r="CF4" s="6"/>
      <c r="CH4" s="4"/>
      <c r="CM4" s="6"/>
      <c r="CO4" s="4"/>
      <c r="CQ4" s="5" t="s">
        <v>9</v>
      </c>
      <c r="CR4" s="5">
        <v>0</v>
      </c>
      <c r="CT4" s="6"/>
      <c r="CV4" s="4"/>
      <c r="CX4" s="5" t="s">
        <v>9</v>
      </c>
      <c r="CY4" s="5">
        <v>0</v>
      </c>
      <c r="DA4" s="6"/>
      <c r="DC4" s="4"/>
      <c r="DE4" s="5" t="s">
        <v>9</v>
      </c>
      <c r="DF4" s="5">
        <v>361</v>
      </c>
      <c r="DH4" s="6"/>
      <c r="DJ4" s="4"/>
      <c r="DL4" s="5" t="s">
        <v>9</v>
      </c>
      <c r="DM4" s="5">
        <v>0</v>
      </c>
      <c r="DO4" s="6"/>
      <c r="DQ4" s="4"/>
      <c r="DV4" s="6"/>
      <c r="DX4" s="4"/>
      <c r="EC4" s="6"/>
      <c r="EE4" s="4"/>
      <c r="EJ4" s="6"/>
      <c r="EL4" s="4"/>
      <c r="EQ4" s="6"/>
    </row>
    <row r="5" spans="1:147" x14ac:dyDescent="0.4">
      <c r="B5" s="7" t="s">
        <v>10</v>
      </c>
      <c r="C5" s="8"/>
      <c r="D5" s="8"/>
      <c r="E5" s="8"/>
      <c r="F5" s="8"/>
      <c r="G5" s="9"/>
      <c r="I5" s="7" t="s">
        <v>10</v>
      </c>
      <c r="J5" s="8"/>
      <c r="K5" s="8"/>
      <c r="L5" s="8"/>
      <c r="M5" s="8"/>
      <c r="N5" s="9"/>
      <c r="P5" s="7" t="s">
        <v>10</v>
      </c>
      <c r="Q5" s="8"/>
      <c r="R5" s="8"/>
      <c r="S5" s="8"/>
      <c r="T5" s="8"/>
      <c r="U5" s="9"/>
      <c r="W5" s="7" t="s">
        <v>10</v>
      </c>
      <c r="X5" s="8"/>
      <c r="Y5" s="8"/>
      <c r="Z5" s="8"/>
      <c r="AA5" s="8"/>
      <c r="AB5" s="9"/>
      <c r="AD5" s="7" t="s">
        <v>10</v>
      </c>
      <c r="AE5" s="8"/>
      <c r="AF5" s="8"/>
      <c r="AG5" s="8"/>
      <c r="AH5" s="8"/>
      <c r="AI5" s="9"/>
      <c r="AJ5" s="24"/>
      <c r="AK5" s="7"/>
      <c r="AL5" s="8"/>
      <c r="AM5" s="8"/>
      <c r="AN5" s="8"/>
      <c r="AO5" s="8"/>
      <c r="AP5" s="9"/>
      <c r="AR5" s="7"/>
      <c r="AS5" s="8"/>
      <c r="AT5" s="8"/>
      <c r="AU5" s="8"/>
      <c r="AV5" s="8"/>
      <c r="AW5" s="9"/>
      <c r="AY5" s="7"/>
      <c r="AZ5" s="8"/>
      <c r="BA5" s="8"/>
      <c r="BB5" s="8"/>
      <c r="BC5" s="8"/>
      <c r="BD5" s="9"/>
      <c r="BF5" s="7"/>
      <c r="BG5" s="8"/>
      <c r="BH5" s="8"/>
      <c r="BI5" s="8"/>
      <c r="BJ5" s="8"/>
      <c r="BK5" s="9"/>
      <c r="BL5" s="24"/>
      <c r="BM5" s="7"/>
      <c r="BN5" s="8"/>
      <c r="BO5" s="8"/>
      <c r="BP5" s="8"/>
      <c r="BQ5" s="8"/>
      <c r="BR5" s="9"/>
      <c r="BT5" s="7"/>
      <c r="BU5" s="8"/>
      <c r="BV5" s="8"/>
      <c r="BW5" s="8"/>
      <c r="BX5" s="8"/>
      <c r="BY5" s="9"/>
      <c r="CA5" s="7"/>
      <c r="CB5" s="8"/>
      <c r="CC5" s="8"/>
      <c r="CD5" s="8"/>
      <c r="CE5" s="8"/>
      <c r="CF5" s="9"/>
      <c r="CH5" s="7"/>
      <c r="CI5" s="8"/>
      <c r="CJ5" s="8"/>
      <c r="CK5" s="8"/>
      <c r="CL5" s="8"/>
      <c r="CM5" s="9"/>
      <c r="CN5" s="24"/>
      <c r="CO5" s="7" t="s">
        <v>10</v>
      </c>
      <c r="CP5" s="8"/>
      <c r="CQ5" s="8"/>
      <c r="CR5" s="8"/>
      <c r="CS5" s="8"/>
      <c r="CT5" s="9"/>
      <c r="CV5" s="7" t="s">
        <v>10</v>
      </c>
      <c r="CW5" s="8"/>
      <c r="CX5" s="8"/>
      <c r="CY5" s="8"/>
      <c r="CZ5" s="8"/>
      <c r="DA5" s="9"/>
      <c r="DC5" s="7" t="s">
        <v>10</v>
      </c>
      <c r="DD5" s="8"/>
      <c r="DE5" s="8"/>
      <c r="DF5" s="8"/>
      <c r="DG5" s="8"/>
      <c r="DH5" s="9"/>
      <c r="DJ5" s="7" t="s">
        <v>10</v>
      </c>
      <c r="DK5" s="8"/>
      <c r="DL5" s="8"/>
      <c r="DM5" s="8"/>
      <c r="DN5" s="8"/>
      <c r="DO5" s="9"/>
      <c r="DP5" s="24"/>
      <c r="DQ5" s="7"/>
      <c r="DR5" s="8"/>
      <c r="DS5" s="8"/>
      <c r="DT5" s="8"/>
      <c r="DU5" s="8"/>
      <c r="DV5" s="9"/>
      <c r="DX5" s="7"/>
      <c r="DY5" s="8"/>
      <c r="DZ5" s="8"/>
      <c r="EA5" s="8"/>
      <c r="EB5" s="8"/>
      <c r="EC5" s="9"/>
      <c r="EE5" s="7"/>
      <c r="EF5" s="8"/>
      <c r="EG5" s="8"/>
      <c r="EH5" s="8"/>
      <c r="EI5" s="8"/>
      <c r="EJ5" s="9"/>
      <c r="EL5" s="7"/>
      <c r="EM5" s="8"/>
      <c r="EN5" s="8"/>
      <c r="EO5" s="8"/>
      <c r="EP5" s="8"/>
      <c r="EQ5" s="9"/>
    </row>
    <row r="6" spans="1:147" x14ac:dyDescent="0.4">
      <c r="B6" s="4"/>
      <c r="G6" s="6"/>
      <c r="I6" s="4" t="s">
        <v>11</v>
      </c>
      <c r="J6" s="5">
        <v>4</v>
      </c>
      <c r="N6" s="6"/>
      <c r="P6" s="4" t="s">
        <v>11</v>
      </c>
      <c r="Q6" s="5">
        <v>6</v>
      </c>
      <c r="U6" s="6"/>
      <c r="W6" s="4" t="s">
        <v>11</v>
      </c>
      <c r="X6" s="5">
        <v>12</v>
      </c>
      <c r="AB6" s="6"/>
      <c r="AD6" s="4" t="s">
        <v>11</v>
      </c>
      <c r="AE6" s="5">
        <v>20</v>
      </c>
      <c r="AI6" s="6"/>
      <c r="AK6" s="4"/>
      <c r="AP6" s="6"/>
      <c r="AR6" s="4"/>
      <c r="AW6" s="6"/>
      <c r="AY6" s="4"/>
      <c r="BD6" s="6"/>
      <c r="BF6" s="35"/>
      <c r="BG6" s="24"/>
      <c r="BH6" s="24"/>
      <c r="BI6" s="24"/>
      <c r="BJ6" s="24"/>
      <c r="BK6" s="36"/>
      <c r="BL6" s="24"/>
      <c r="BM6" s="4"/>
      <c r="BR6" s="6"/>
      <c r="BT6" s="4"/>
      <c r="BY6" s="6"/>
      <c r="CA6" s="4"/>
      <c r="CF6" s="6"/>
      <c r="CH6" s="4"/>
      <c r="CM6" s="6"/>
      <c r="CN6" s="24"/>
      <c r="CO6" s="4" t="s">
        <v>11</v>
      </c>
      <c r="CP6" s="5">
        <v>4</v>
      </c>
      <c r="CT6" s="6"/>
      <c r="CV6" s="4" t="s">
        <v>11</v>
      </c>
      <c r="CW6" s="5">
        <v>6</v>
      </c>
      <c r="DA6" s="6"/>
      <c r="DC6" s="4" t="s">
        <v>11</v>
      </c>
      <c r="DD6" s="5">
        <v>12</v>
      </c>
      <c r="DH6" s="6"/>
      <c r="DJ6" s="4" t="s">
        <v>11</v>
      </c>
      <c r="DK6" s="5">
        <v>20</v>
      </c>
      <c r="DO6" s="6"/>
      <c r="DP6" s="24"/>
      <c r="DQ6" s="4"/>
      <c r="DV6" s="6"/>
      <c r="DX6" s="4"/>
      <c r="EC6" s="6"/>
      <c r="EE6" s="4"/>
      <c r="EJ6" s="6"/>
      <c r="EL6" s="4"/>
      <c r="EQ6" s="6"/>
    </row>
    <row r="7" spans="1:147" x14ac:dyDescent="0.4">
      <c r="B7" s="4" t="s">
        <v>12</v>
      </c>
      <c r="C7" s="27">
        <f>計算ツール!F12*1000</f>
        <v>10000</v>
      </c>
      <c r="G7" s="6"/>
      <c r="I7" s="4" t="s">
        <v>12</v>
      </c>
      <c r="J7" s="27">
        <f>計算ツール!F12*1000</f>
        <v>10000</v>
      </c>
      <c r="N7" s="6"/>
      <c r="P7" s="4" t="s">
        <v>12</v>
      </c>
      <c r="Q7" s="27">
        <f>計算ツール!F12*1000</f>
        <v>10000</v>
      </c>
      <c r="U7" s="6"/>
      <c r="W7" s="4" t="s">
        <v>12</v>
      </c>
      <c r="X7" s="27">
        <f>計算ツール!F12*1000</f>
        <v>10000</v>
      </c>
      <c r="AB7" s="6"/>
      <c r="AD7" s="4" t="s">
        <v>12</v>
      </c>
      <c r="AE7" s="27">
        <f>計算ツール!F12*1000</f>
        <v>10000</v>
      </c>
      <c r="AI7" s="6"/>
      <c r="AK7" s="4"/>
      <c r="AL7" s="27"/>
      <c r="AP7" s="6"/>
      <c r="AR7" s="4"/>
      <c r="AS7" s="27"/>
      <c r="AW7" s="6"/>
      <c r="AY7" s="4"/>
      <c r="AZ7" s="27"/>
      <c r="BD7" s="6"/>
      <c r="BF7" s="35"/>
      <c r="BG7" s="27"/>
      <c r="BH7" s="24"/>
      <c r="BI7" s="24"/>
      <c r="BJ7" s="24"/>
      <c r="BK7" s="36"/>
      <c r="BL7" s="24"/>
      <c r="BM7" s="4"/>
      <c r="BN7" s="27"/>
      <c r="BR7" s="6"/>
      <c r="BT7" s="4"/>
      <c r="BU7" s="27"/>
      <c r="BY7" s="6"/>
      <c r="CA7" s="4"/>
      <c r="CB7" s="27"/>
      <c r="CF7" s="6"/>
      <c r="CH7" s="4"/>
      <c r="CI7" s="27"/>
      <c r="CM7" s="6"/>
      <c r="CN7" s="24"/>
      <c r="CO7" s="4" t="s">
        <v>12</v>
      </c>
      <c r="CP7" s="27">
        <f>計算ツール!F12*1000</f>
        <v>10000</v>
      </c>
      <c r="CT7" s="6"/>
      <c r="CV7" s="4" t="s">
        <v>12</v>
      </c>
      <c r="CW7" s="27">
        <f>計算ツール!F12*1000</f>
        <v>10000</v>
      </c>
      <c r="DA7" s="6"/>
      <c r="DC7" s="4" t="s">
        <v>12</v>
      </c>
      <c r="DD7" s="27">
        <f>計算ツール!F12*1000</f>
        <v>10000</v>
      </c>
      <c r="DH7" s="6"/>
      <c r="DJ7" s="4" t="s">
        <v>12</v>
      </c>
      <c r="DK7" s="27">
        <f>計算ツール!F12*1000</f>
        <v>10000</v>
      </c>
      <c r="DO7" s="6"/>
      <c r="DP7" s="24"/>
      <c r="DQ7" s="4"/>
      <c r="DR7" s="27"/>
      <c r="DV7" s="6"/>
      <c r="DX7" s="4"/>
      <c r="DY7" s="27"/>
      <c r="EC7" s="6"/>
      <c r="EE7" s="4"/>
      <c r="EF7" s="27"/>
      <c r="EJ7" s="6"/>
      <c r="EL7" s="4"/>
      <c r="EM7" s="27"/>
      <c r="EQ7" s="6"/>
    </row>
    <row r="8" spans="1:147" x14ac:dyDescent="0.4">
      <c r="B8" s="4"/>
      <c r="C8" s="5" t="s">
        <v>13</v>
      </c>
      <c r="D8" s="5" t="s">
        <v>14</v>
      </c>
      <c r="E8" s="5" t="s">
        <v>15</v>
      </c>
      <c r="G8" s="6"/>
      <c r="I8" s="4"/>
      <c r="J8" s="5" t="s">
        <v>13</v>
      </c>
      <c r="K8" s="5" t="s">
        <v>14</v>
      </c>
      <c r="L8" s="5" t="s">
        <v>15</v>
      </c>
      <c r="M8" s="5" t="s">
        <v>16</v>
      </c>
      <c r="N8" s="6" t="s">
        <v>17</v>
      </c>
      <c r="P8" s="4"/>
      <c r="Q8" s="5" t="s">
        <v>13</v>
      </c>
      <c r="R8" s="5" t="s">
        <v>14</v>
      </c>
      <c r="S8" s="5" t="s">
        <v>15</v>
      </c>
      <c r="T8" s="5" t="s">
        <v>16</v>
      </c>
      <c r="U8" s="6" t="s">
        <v>17</v>
      </c>
      <c r="W8" s="4"/>
      <c r="X8" s="5" t="s">
        <v>13</v>
      </c>
      <c r="Y8" s="5" t="s">
        <v>14</v>
      </c>
      <c r="Z8" s="5" t="s">
        <v>15</v>
      </c>
      <c r="AA8" s="5" t="s">
        <v>16</v>
      </c>
      <c r="AB8" s="6" t="s">
        <v>17</v>
      </c>
      <c r="AD8" s="4"/>
      <c r="AE8" s="5" t="s">
        <v>13</v>
      </c>
      <c r="AF8" s="5" t="s">
        <v>14</v>
      </c>
      <c r="AG8" s="5" t="s">
        <v>15</v>
      </c>
      <c r="AH8" s="5" t="s">
        <v>16</v>
      </c>
      <c r="AI8" s="6" t="s">
        <v>17</v>
      </c>
      <c r="AK8" s="4"/>
      <c r="AP8" s="6"/>
      <c r="AR8" s="4"/>
      <c r="AW8" s="6"/>
      <c r="AY8" s="4"/>
      <c r="BD8" s="6"/>
      <c r="BF8" s="35"/>
      <c r="BG8" s="24"/>
      <c r="BH8" s="24"/>
      <c r="BI8" s="24"/>
      <c r="BJ8" s="24"/>
      <c r="BK8" s="36"/>
      <c r="BL8" s="24"/>
      <c r="BM8" s="4"/>
      <c r="BR8" s="6"/>
      <c r="BT8" s="4"/>
      <c r="BY8" s="6"/>
      <c r="CA8" s="4"/>
      <c r="CF8" s="6"/>
      <c r="CH8" s="4"/>
      <c r="CM8" s="6"/>
      <c r="CN8" s="24"/>
      <c r="CO8" s="4"/>
      <c r="CP8" s="5" t="s">
        <v>13</v>
      </c>
      <c r="CQ8" s="5" t="s">
        <v>14</v>
      </c>
      <c r="CR8" s="5" t="s">
        <v>15</v>
      </c>
      <c r="CS8" s="5" t="s">
        <v>16</v>
      </c>
      <c r="CT8" s="6" t="s">
        <v>17</v>
      </c>
      <c r="CV8" s="4"/>
      <c r="CW8" s="5" t="s">
        <v>13</v>
      </c>
      <c r="CX8" s="5" t="s">
        <v>14</v>
      </c>
      <c r="CY8" s="5" t="s">
        <v>15</v>
      </c>
      <c r="CZ8" s="5" t="s">
        <v>16</v>
      </c>
      <c r="DA8" s="6" t="s">
        <v>17</v>
      </c>
      <c r="DC8" s="4"/>
      <c r="DD8" s="5" t="s">
        <v>13</v>
      </c>
      <c r="DE8" s="5" t="s">
        <v>14</v>
      </c>
      <c r="DF8" s="5" t="s">
        <v>15</v>
      </c>
      <c r="DG8" s="5" t="s">
        <v>16</v>
      </c>
      <c r="DH8" s="6" t="s">
        <v>17</v>
      </c>
      <c r="DJ8" s="4"/>
      <c r="DK8" s="5" t="s">
        <v>13</v>
      </c>
      <c r="DL8" s="5" t="s">
        <v>14</v>
      </c>
      <c r="DM8" s="5" t="s">
        <v>15</v>
      </c>
      <c r="DN8" s="5" t="s">
        <v>16</v>
      </c>
      <c r="DO8" s="6" t="s">
        <v>17</v>
      </c>
      <c r="DP8" s="24"/>
      <c r="DQ8" s="4"/>
      <c r="DV8" s="6"/>
      <c r="DX8" s="4"/>
      <c r="EC8" s="6"/>
      <c r="EE8" s="4"/>
      <c r="EJ8" s="6"/>
      <c r="EL8" s="4"/>
      <c r="EQ8" s="6"/>
    </row>
    <row r="9" spans="1:147" x14ac:dyDescent="0.4">
      <c r="B9" s="4"/>
      <c r="C9" s="5">
        <v>-486.5</v>
      </c>
      <c r="D9" s="5">
        <f>SQRT(486.5^2-4*(-0.1716)*(-3605-C7))</f>
        <v>476.80580743107566</v>
      </c>
      <c r="E9" s="5">
        <f>2*(-0.1716)</f>
        <v>-0.34320000000000001</v>
      </c>
      <c r="G9" s="6"/>
      <c r="I9" s="4"/>
      <c r="J9" s="5">
        <f>J7*(J6-1.09)</f>
        <v>29100</v>
      </c>
      <c r="K9" s="5">
        <v>122.36</v>
      </c>
      <c r="L9" s="5">
        <f>44.954*(J6-1.09)/(J6-1.8)</f>
        <v>59.461881818181823</v>
      </c>
      <c r="M9" s="5">
        <f>534.803*(J6-1.09)</f>
        <v>1556.27673</v>
      </c>
      <c r="N9" s="6">
        <f>9.2</f>
        <v>9.1999999999999993</v>
      </c>
      <c r="P9" s="4"/>
      <c r="Q9" s="5">
        <f>Q7*(Q6-1.09)</f>
        <v>49100</v>
      </c>
      <c r="R9" s="5">
        <v>122.36</v>
      </c>
      <c r="S9" s="5">
        <f>44.954*(Q6-1.09)/(Q6-1.8)</f>
        <v>52.553366666666669</v>
      </c>
      <c r="T9" s="5">
        <f>285.19*(Q6-1.09)</f>
        <v>1400.2828999999999</v>
      </c>
      <c r="U9" s="6">
        <f>9.2</f>
        <v>9.1999999999999993</v>
      </c>
      <c r="W9" s="4"/>
      <c r="X9" s="5">
        <f>X7*(X6-1.09)</f>
        <v>109100</v>
      </c>
      <c r="Y9" s="5">
        <v>122.36</v>
      </c>
      <c r="Z9" s="5">
        <f>44.954*(X6-1.09)/(X6-1.8)</f>
        <v>48.083150980392162</v>
      </c>
      <c r="AA9" s="5">
        <f>121.79*(X6-1.09)</f>
        <v>1328.7289000000001</v>
      </c>
      <c r="AB9" s="6">
        <f>9.2</f>
        <v>9.1999999999999993</v>
      </c>
      <c r="AD9" s="4"/>
      <c r="AE9" s="5">
        <f>AE7*(AE6-1.09)</f>
        <v>189100</v>
      </c>
      <c r="AF9" s="5">
        <v>122.36</v>
      </c>
      <c r="AG9" s="5">
        <f>44.954*(AE6-1.09)/(AE6-1.8)</f>
        <v>46.707700000000003</v>
      </c>
      <c r="AH9" s="5">
        <f>76.49*(AE6-1.09)</f>
        <v>1446.4259</v>
      </c>
      <c r="AI9" s="6">
        <f>9.2</f>
        <v>9.1999999999999993</v>
      </c>
      <c r="AK9" s="4"/>
      <c r="AP9" s="6"/>
      <c r="AR9" s="4"/>
      <c r="AW9" s="6"/>
      <c r="AY9" s="4"/>
      <c r="BD9" s="6"/>
      <c r="BF9" s="35"/>
      <c r="BG9" s="24"/>
      <c r="BH9" s="24"/>
      <c r="BI9" s="24"/>
      <c r="BJ9" s="24"/>
      <c r="BK9" s="36"/>
      <c r="BL9" s="24"/>
      <c r="BM9" s="4"/>
      <c r="BR9" s="6"/>
      <c r="BT9" s="4"/>
      <c r="BY9" s="6"/>
      <c r="CA9" s="4"/>
      <c r="CF9" s="6"/>
      <c r="CH9" s="4"/>
      <c r="CM9" s="6"/>
      <c r="CN9" s="24"/>
      <c r="CO9" s="4"/>
      <c r="CP9" s="5">
        <f>CP7-2.79</f>
        <v>9997.2099999999991</v>
      </c>
      <c r="CQ9" s="5">
        <f>CR2</f>
        <v>705.9</v>
      </c>
      <c r="CR9" s="5">
        <f>CP6^(-CR3)</f>
        <v>0.16539642998851503</v>
      </c>
      <c r="CT9" s="6"/>
      <c r="CV9" s="4"/>
      <c r="CW9" s="5">
        <f>CW7-2.79</f>
        <v>9997.2099999999991</v>
      </c>
      <c r="CX9" s="5">
        <f>CY2</f>
        <v>707.5</v>
      </c>
      <c r="CY9" s="5">
        <f>CW6^(-CY3)</f>
        <v>8.9021685336945364E-2</v>
      </c>
      <c r="DA9" s="6"/>
      <c r="DC9" s="4"/>
      <c r="DD9" s="5">
        <f>7.7-DD7</f>
        <v>-9992.2999999999993</v>
      </c>
      <c r="DE9" s="5">
        <f>DD9^2-11431.7</f>
        <v>99834627.589999989</v>
      </c>
      <c r="DF9" s="5">
        <v>15.833299999999999</v>
      </c>
      <c r="DH9" s="6"/>
      <c r="DJ9" s="4"/>
      <c r="DK9" s="5">
        <f>DK7-2.79</f>
        <v>9997.2099999999991</v>
      </c>
      <c r="DL9" s="5">
        <f>DM2</f>
        <v>701.9</v>
      </c>
      <c r="DM9" s="5">
        <f>DK6^(-DM3)</f>
        <v>2.5558730891695889E-2</v>
      </c>
      <c r="DO9" s="6"/>
      <c r="DP9" s="24"/>
      <c r="DQ9" s="4"/>
      <c r="DV9" s="6"/>
      <c r="DX9" s="4"/>
      <c r="EC9" s="6"/>
      <c r="EE9" s="4"/>
      <c r="EJ9" s="6"/>
      <c r="EL9" s="4"/>
      <c r="EQ9" s="6"/>
    </row>
    <row r="10" spans="1:147" x14ac:dyDescent="0.4">
      <c r="B10" s="4"/>
      <c r="G10" s="6"/>
      <c r="I10" s="4" t="s">
        <v>18</v>
      </c>
      <c r="J10" s="5">
        <v>834.54</v>
      </c>
      <c r="N10" s="6"/>
      <c r="P10" s="4" t="s">
        <v>18</v>
      </c>
      <c r="Q10" s="5">
        <v>834.54</v>
      </c>
      <c r="U10" s="6"/>
      <c r="W10" s="4" t="s">
        <v>18</v>
      </c>
      <c r="X10" s="5">
        <v>834.54</v>
      </c>
      <c r="AB10" s="6"/>
      <c r="AD10" s="4" t="s">
        <v>18</v>
      </c>
      <c r="AE10" s="5">
        <v>834.54</v>
      </c>
      <c r="AI10" s="6"/>
      <c r="AK10" s="4"/>
      <c r="AP10" s="6"/>
      <c r="AR10" s="4"/>
      <c r="AW10" s="6"/>
      <c r="AY10" s="4"/>
      <c r="BD10" s="6"/>
      <c r="BF10" s="35"/>
      <c r="BG10" s="24"/>
      <c r="BH10" s="24"/>
      <c r="BI10" s="24"/>
      <c r="BJ10" s="24"/>
      <c r="BK10" s="36"/>
      <c r="BL10" s="24"/>
      <c r="BM10" s="4"/>
      <c r="BR10" s="6"/>
      <c r="BT10" s="4"/>
      <c r="BY10" s="6"/>
      <c r="CA10" s="4"/>
      <c r="CF10" s="6"/>
      <c r="CH10" s="4"/>
      <c r="CM10" s="6"/>
      <c r="CN10" s="24"/>
      <c r="CO10" s="4" t="s">
        <v>18</v>
      </c>
      <c r="CP10" s="5">
        <v>95</v>
      </c>
      <c r="CT10" s="6"/>
      <c r="CV10" s="4" t="s">
        <v>18</v>
      </c>
      <c r="CW10" s="5">
        <v>95</v>
      </c>
      <c r="DA10" s="6"/>
      <c r="DC10" s="4" t="s">
        <v>18</v>
      </c>
      <c r="DD10" s="5">
        <v>95</v>
      </c>
      <c r="DH10" s="6"/>
      <c r="DJ10" s="4" t="s">
        <v>18</v>
      </c>
      <c r="DK10" s="5">
        <v>95</v>
      </c>
      <c r="DO10" s="6"/>
      <c r="DP10" s="24"/>
      <c r="DQ10" s="4"/>
      <c r="DV10" s="6"/>
      <c r="DX10" s="4"/>
      <c r="EC10" s="6"/>
      <c r="EE10" s="4"/>
      <c r="EJ10" s="6"/>
      <c r="EL10" s="4"/>
      <c r="EQ10" s="6"/>
    </row>
    <row r="11" spans="1:147" x14ac:dyDescent="0.4">
      <c r="B11" s="4" t="s">
        <v>19</v>
      </c>
      <c r="C11" s="5">
        <f>(C9+D9)/E9</f>
        <v>28.24648184418513</v>
      </c>
      <c r="G11" s="6"/>
      <c r="I11" s="4" t="s">
        <v>19</v>
      </c>
      <c r="J11" s="5">
        <f>(J9-K9-L9-M9)/J10+N9</f>
        <v>41.986806370194145</v>
      </c>
      <c r="N11" s="6"/>
      <c r="P11" s="4" t="s">
        <v>19</v>
      </c>
      <c r="Q11" s="5">
        <f>(Q9-R9-S9-T9)/Q10+U9</f>
        <v>66.147304782674695</v>
      </c>
      <c r="U11" s="6"/>
      <c r="W11" s="4" t="s">
        <v>19</v>
      </c>
      <c r="X11" s="5">
        <f>(X9-Y9-Z9-AA9)/X10+AB9</f>
        <v>138.13429667723489</v>
      </c>
      <c r="AB11" s="6"/>
      <c r="AD11" s="4" t="s">
        <v>19</v>
      </c>
      <c r="AE11" s="5">
        <f>(AE9-AF9-AG9-AH9)/AE10+AI9</f>
        <v>233.85610563903469</v>
      </c>
      <c r="AI11" s="6"/>
      <c r="AK11" s="4"/>
      <c r="AP11" s="6"/>
      <c r="AR11" s="4"/>
      <c r="AW11" s="6"/>
      <c r="AY11" s="4"/>
      <c r="BD11" s="6"/>
      <c r="BF11" s="35"/>
      <c r="BG11" s="24"/>
      <c r="BH11" s="24"/>
      <c r="BI11" s="24"/>
      <c r="BJ11" s="24"/>
      <c r="BK11" s="36"/>
      <c r="BL11" s="24"/>
      <c r="BM11" s="4"/>
      <c r="BR11" s="6"/>
      <c r="BT11" s="4"/>
      <c r="BY11" s="6"/>
      <c r="CA11" s="4"/>
      <c r="CF11" s="6"/>
      <c r="CH11" s="4"/>
      <c r="CM11" s="6"/>
      <c r="CN11" s="24"/>
      <c r="CO11" s="4" t="s">
        <v>19</v>
      </c>
      <c r="CP11" s="5">
        <f>(CP9-CQ9*CR9)/CP10*CP6</f>
        <v>416.01922779246763</v>
      </c>
      <c r="CT11" s="6"/>
      <c r="CV11" s="4" t="s">
        <v>19</v>
      </c>
      <c r="CW11" s="5">
        <f>(CW9-CX9*CY9)/CW10*CW6</f>
        <v>627.42487311310174</v>
      </c>
      <c r="DA11" s="6"/>
      <c r="DC11" s="4" t="s">
        <v>19</v>
      </c>
      <c r="DD11" s="5">
        <f>(-DD9+DE9^(0.5))/DF9</f>
        <v>1262.1517913616362</v>
      </c>
      <c r="DH11" s="6"/>
      <c r="DJ11" s="4" t="s">
        <v>19</v>
      </c>
      <c r="DK11" s="5">
        <f>(DK9-DL9*DM9)/DK10*DK6</f>
        <v>2100.8990161657093</v>
      </c>
      <c r="DO11" s="6"/>
      <c r="DP11" s="24"/>
      <c r="DQ11" s="4"/>
      <c r="DV11" s="6"/>
      <c r="DX11" s="4"/>
      <c r="EC11" s="6"/>
      <c r="EE11" s="4"/>
      <c r="EJ11" s="6"/>
      <c r="EL11" s="4"/>
      <c r="EQ11" s="6"/>
    </row>
    <row r="12" spans="1:147" x14ac:dyDescent="0.4">
      <c r="B12" s="4"/>
      <c r="G12" s="6"/>
      <c r="I12" s="4"/>
      <c r="N12" s="6"/>
      <c r="P12" s="4"/>
      <c r="U12" s="6"/>
      <c r="W12" s="4"/>
      <c r="AB12" s="6"/>
      <c r="AD12" s="4"/>
      <c r="AI12" s="6"/>
      <c r="AK12" s="4"/>
      <c r="AP12" s="6"/>
      <c r="AR12" s="4"/>
      <c r="AW12" s="6"/>
      <c r="AY12" s="4"/>
      <c r="BD12" s="6"/>
      <c r="BF12" s="35"/>
      <c r="BG12" s="24"/>
      <c r="BH12" s="24"/>
      <c r="BI12" s="24"/>
      <c r="BJ12" s="24"/>
      <c r="BK12" s="36"/>
      <c r="BL12" s="24"/>
      <c r="BM12" s="4"/>
      <c r="BR12" s="6"/>
      <c r="BT12" s="4"/>
      <c r="BY12" s="6"/>
      <c r="CA12" s="4"/>
      <c r="CF12" s="6"/>
      <c r="CH12" s="4"/>
      <c r="CM12" s="6"/>
      <c r="CN12" s="24"/>
      <c r="CO12" s="4"/>
      <c r="CT12" s="6"/>
      <c r="CV12" s="4"/>
      <c r="DA12" s="6"/>
      <c r="DC12" s="4"/>
      <c r="DH12" s="6"/>
      <c r="DJ12" s="4"/>
      <c r="DO12" s="6"/>
      <c r="DP12" s="24"/>
      <c r="DQ12" s="4"/>
      <c r="DV12" s="6"/>
      <c r="DX12" s="4"/>
      <c r="EC12" s="6"/>
      <c r="EE12" s="4"/>
      <c r="EJ12" s="6"/>
      <c r="EL12" s="4"/>
      <c r="EQ12" s="6"/>
    </row>
    <row r="13" spans="1:147" x14ac:dyDescent="0.4">
      <c r="A13" s="5" t="s">
        <v>33</v>
      </c>
      <c r="B13" s="4" t="s">
        <v>19</v>
      </c>
      <c r="C13" s="49">
        <f>ROUND(C11,1)</f>
        <v>28.2</v>
      </c>
      <c r="G13" s="6"/>
      <c r="I13" s="4" t="s">
        <v>19</v>
      </c>
      <c r="J13" s="49">
        <f>ROUND(J11,1)</f>
        <v>42</v>
      </c>
      <c r="N13" s="6"/>
      <c r="P13" s="4" t="s">
        <v>19</v>
      </c>
      <c r="Q13" s="49">
        <f>ROUND(Q11,1)</f>
        <v>66.099999999999994</v>
      </c>
      <c r="U13" s="6"/>
      <c r="W13" s="4" t="s">
        <v>19</v>
      </c>
      <c r="X13" s="49">
        <f>ROUND(X11,1)</f>
        <v>138.1</v>
      </c>
      <c r="AB13" s="6"/>
      <c r="AD13" s="4" t="s">
        <v>19</v>
      </c>
      <c r="AE13" s="49">
        <f>ROUND(AE11,1)</f>
        <v>233.9</v>
      </c>
      <c r="AI13" s="6"/>
      <c r="AK13" s="4"/>
      <c r="AL13" s="49"/>
      <c r="AP13" s="6"/>
      <c r="AR13" s="4"/>
      <c r="AS13" s="49"/>
      <c r="AW13" s="6"/>
      <c r="AY13" s="4"/>
      <c r="AZ13" s="49"/>
      <c r="BD13" s="6"/>
      <c r="BF13" s="35"/>
      <c r="BG13" s="49"/>
      <c r="BH13" s="24"/>
      <c r="BI13" s="24"/>
      <c r="BJ13" s="24"/>
      <c r="BK13" s="36"/>
      <c r="BL13" s="24"/>
      <c r="BM13" s="4"/>
      <c r="BN13" s="49"/>
      <c r="BR13" s="6"/>
      <c r="BT13" s="4"/>
      <c r="BU13" s="49"/>
      <c r="BY13" s="6"/>
      <c r="CA13" s="4"/>
      <c r="CB13" s="49"/>
      <c r="CF13" s="6"/>
      <c r="CH13" s="4"/>
      <c r="CI13" s="49"/>
      <c r="CM13" s="6"/>
      <c r="CN13" s="24"/>
      <c r="CO13" s="4" t="s">
        <v>19</v>
      </c>
      <c r="CP13" s="49">
        <f>ROUND(CP11,1)</f>
        <v>416</v>
      </c>
      <c r="CT13" s="6"/>
      <c r="CV13" s="4" t="s">
        <v>19</v>
      </c>
      <c r="CW13" s="49">
        <f>ROUND(CW11,1)</f>
        <v>627.4</v>
      </c>
      <c r="DA13" s="6"/>
      <c r="DC13" s="4" t="s">
        <v>19</v>
      </c>
      <c r="DD13" s="49">
        <f>ROUND(DD11,1)</f>
        <v>1262.2</v>
      </c>
      <c r="DH13" s="6"/>
      <c r="DJ13" s="4" t="s">
        <v>19</v>
      </c>
      <c r="DK13" s="49">
        <f>ROUND(DK11,1)</f>
        <v>2100.9</v>
      </c>
      <c r="DO13" s="6"/>
      <c r="DP13" s="24"/>
      <c r="DQ13" s="4"/>
      <c r="DR13" s="49"/>
      <c r="DV13" s="6"/>
      <c r="DX13" s="4"/>
      <c r="DY13" s="49"/>
      <c r="EC13" s="6"/>
      <c r="EE13" s="4"/>
      <c r="EF13" s="49"/>
      <c r="EJ13" s="6"/>
      <c r="EL13" s="4"/>
      <c r="EM13" s="49"/>
      <c r="EQ13" s="6"/>
    </row>
    <row r="14" spans="1:147" x14ac:dyDescent="0.4">
      <c r="B14" s="4"/>
      <c r="G14" s="6"/>
      <c r="I14" s="4"/>
      <c r="N14" s="6"/>
      <c r="P14" s="4"/>
      <c r="U14" s="6"/>
      <c r="W14" s="4"/>
      <c r="AB14" s="6"/>
      <c r="AD14" s="4"/>
      <c r="AI14" s="6"/>
      <c r="AK14" s="4"/>
      <c r="AP14" s="6"/>
      <c r="AR14" s="4"/>
      <c r="AW14" s="6"/>
      <c r="AY14" s="4"/>
      <c r="BD14" s="6"/>
      <c r="BF14" s="35"/>
      <c r="BG14" s="24"/>
      <c r="BH14" s="24"/>
      <c r="BI14" s="24"/>
      <c r="BJ14" s="24"/>
      <c r="BK14" s="36"/>
      <c r="BL14" s="24"/>
      <c r="BM14" s="4"/>
      <c r="BR14" s="6"/>
      <c r="BT14" s="4"/>
      <c r="BY14" s="6"/>
      <c r="CA14" s="4"/>
      <c r="CF14" s="6"/>
      <c r="CH14" s="4"/>
      <c r="CM14" s="6"/>
      <c r="CN14" s="24"/>
      <c r="CO14" s="4"/>
      <c r="CT14" s="6"/>
      <c r="CV14" s="4"/>
      <c r="DA14" s="6"/>
      <c r="DC14" s="4"/>
      <c r="DH14" s="6"/>
      <c r="DJ14" s="4"/>
      <c r="DO14" s="6"/>
      <c r="DP14" s="24"/>
      <c r="DQ14" s="4"/>
      <c r="DV14" s="6"/>
      <c r="DX14" s="4"/>
      <c r="EC14" s="6"/>
      <c r="EE14" s="4"/>
      <c r="EJ14" s="6"/>
      <c r="EL14" s="4"/>
      <c r="EQ14" s="6"/>
    </row>
    <row r="15" spans="1:147" x14ac:dyDescent="0.4">
      <c r="B15" s="4"/>
      <c r="C15" s="5" t="s">
        <v>13</v>
      </c>
      <c r="D15" s="5" t="s">
        <v>14</v>
      </c>
      <c r="E15" s="5" t="s">
        <v>15</v>
      </c>
      <c r="G15" s="6"/>
      <c r="I15" s="4"/>
      <c r="J15" s="5" t="s">
        <v>13</v>
      </c>
      <c r="K15" s="5" t="s">
        <v>14</v>
      </c>
      <c r="L15" s="5" t="s">
        <v>15</v>
      </c>
      <c r="M15" s="5" t="s">
        <v>20</v>
      </c>
      <c r="N15" s="6" t="s">
        <v>21</v>
      </c>
      <c r="P15" s="4"/>
      <c r="Q15" s="5" t="s">
        <v>13</v>
      </c>
      <c r="R15" s="5" t="s">
        <v>14</v>
      </c>
      <c r="S15" s="5" t="s">
        <v>15</v>
      </c>
      <c r="T15" s="5" t="s">
        <v>20</v>
      </c>
      <c r="U15" s="6" t="s">
        <v>21</v>
      </c>
      <c r="W15" s="4"/>
      <c r="X15" s="5" t="s">
        <v>13</v>
      </c>
      <c r="Y15" s="5" t="s">
        <v>14</v>
      </c>
      <c r="Z15" s="5" t="s">
        <v>15</v>
      </c>
      <c r="AA15" s="5" t="s">
        <v>20</v>
      </c>
      <c r="AB15" s="6" t="s">
        <v>21</v>
      </c>
      <c r="AD15" s="4"/>
      <c r="AE15" s="5" t="s">
        <v>13</v>
      </c>
      <c r="AF15" s="5" t="s">
        <v>14</v>
      </c>
      <c r="AG15" s="5" t="s">
        <v>15</v>
      </c>
      <c r="AH15" s="5" t="s">
        <v>20</v>
      </c>
      <c r="AI15" s="6" t="s">
        <v>21</v>
      </c>
      <c r="AK15" s="4"/>
      <c r="AP15" s="6"/>
      <c r="AR15" s="4"/>
      <c r="AW15" s="6"/>
      <c r="AY15" s="4"/>
      <c r="BD15" s="6"/>
      <c r="BF15" s="35"/>
      <c r="BG15" s="24"/>
      <c r="BH15" s="24"/>
      <c r="BI15" s="24"/>
      <c r="BJ15" s="24"/>
      <c r="BK15" s="36"/>
      <c r="BL15" s="24"/>
      <c r="BM15" s="4"/>
      <c r="BR15" s="6"/>
      <c r="BT15" s="4"/>
      <c r="BY15" s="6"/>
      <c r="CA15" s="4"/>
      <c r="CF15" s="6"/>
      <c r="CH15" s="4"/>
      <c r="CM15" s="6"/>
      <c r="CN15" s="24"/>
      <c r="CO15" s="4"/>
      <c r="CP15" s="5" t="s">
        <v>13</v>
      </c>
      <c r="CQ15" s="5" t="s">
        <v>14</v>
      </c>
      <c r="CR15" s="5" t="s">
        <v>15</v>
      </c>
      <c r="CS15" s="5" t="s">
        <v>20</v>
      </c>
      <c r="CT15" s="6" t="s">
        <v>21</v>
      </c>
      <c r="CV15" s="4"/>
      <c r="CW15" s="5" t="s">
        <v>13</v>
      </c>
      <c r="CX15" s="5" t="s">
        <v>14</v>
      </c>
      <c r="CY15" s="5" t="s">
        <v>15</v>
      </c>
      <c r="CZ15" s="5" t="s">
        <v>20</v>
      </c>
      <c r="DA15" s="6" t="s">
        <v>21</v>
      </c>
      <c r="DC15" s="4"/>
      <c r="DD15" s="5" t="s">
        <v>13</v>
      </c>
      <c r="DE15" s="5" t="s">
        <v>14</v>
      </c>
      <c r="DF15" s="5" t="s">
        <v>15</v>
      </c>
      <c r="DG15" s="5" t="s">
        <v>20</v>
      </c>
      <c r="DH15" s="6" t="s">
        <v>21</v>
      </c>
      <c r="DJ15" s="4"/>
      <c r="DK15" s="5" t="s">
        <v>13</v>
      </c>
      <c r="DL15" s="5" t="s">
        <v>14</v>
      </c>
      <c r="DM15" s="5" t="s">
        <v>15</v>
      </c>
      <c r="DN15" s="5" t="s">
        <v>20</v>
      </c>
      <c r="DO15" s="6" t="s">
        <v>21</v>
      </c>
      <c r="DP15" s="24"/>
      <c r="DQ15" s="4"/>
      <c r="DV15" s="6"/>
      <c r="DX15" s="4"/>
      <c r="EC15" s="6"/>
      <c r="EE15" s="4"/>
      <c r="EJ15" s="6"/>
      <c r="EL15" s="4"/>
      <c r="EQ15" s="6"/>
    </row>
    <row r="16" spans="1:147" x14ac:dyDescent="0.4">
      <c r="B16" s="4"/>
      <c r="C16" s="5">
        <f>-0.1716*(C13)^2</f>
        <v>-136.46318400000001</v>
      </c>
      <c r="D16" s="5">
        <f>486.5*C13</f>
        <v>13719.3</v>
      </c>
      <c r="E16" s="5">
        <v>3605.5</v>
      </c>
      <c r="G16" s="6"/>
      <c r="I16" s="4"/>
      <c r="J16" s="5">
        <f>J10*(J13-9.2)/(J6-1.09)</f>
        <v>9406.4989690721632</v>
      </c>
      <c r="K16" s="5">
        <f>13.3*(9.2/(J6-1.09)+3.38/(J6-1.8))</f>
        <v>62.481746329272099</v>
      </c>
      <c r="L16" s="5">
        <v>2.79</v>
      </c>
      <c r="M16" s="5">
        <f>21*3.95</f>
        <v>82.95</v>
      </c>
      <c r="N16" s="6">
        <v>615.20000000000005</v>
      </c>
      <c r="P16" s="4"/>
      <c r="Q16" s="5">
        <f>Q10*(Q13-9.2)/(Q6-1.09)</f>
        <v>9671.1458248472482</v>
      </c>
      <c r="R16" s="5">
        <f>13.3*(9.2/(Q6-1.09)+3.38/(Q6-1.8))</f>
        <v>35.623903598099119</v>
      </c>
      <c r="S16" s="5">
        <v>2.79</v>
      </c>
      <c r="T16" s="5">
        <f>21*4</f>
        <v>84</v>
      </c>
      <c r="U16" s="6">
        <v>366.4</v>
      </c>
      <c r="W16" s="4"/>
      <c r="X16" s="5">
        <f>X10*(X13-9.2)/(X6-1.09)</f>
        <v>9859.9638863428045</v>
      </c>
      <c r="Y16" s="5">
        <f>13.3*(9.2/(X6-1.09)+3.38/(X6-1.8))</f>
        <v>15.622653618734386</v>
      </c>
      <c r="Z16" s="5">
        <v>2.79</v>
      </c>
      <c r="AA16" s="5">
        <f>21*11.9</f>
        <v>249.9</v>
      </c>
      <c r="AB16" s="6">
        <v>368.9</v>
      </c>
      <c r="AD16" s="4"/>
      <c r="AE16" s="5">
        <f>AE10*(AE13-9.2)/(AE6-1.09)</f>
        <v>9916.506504494977</v>
      </c>
      <c r="AF16" s="5">
        <f>13.3*(9.2/(AE6-1.09)+3.38/(AE6-1.8))</f>
        <v>8.9406504494976193</v>
      </c>
      <c r="AG16" s="5">
        <v>2.79</v>
      </c>
      <c r="AH16" s="5">
        <f>21*20.1</f>
        <v>422.1</v>
      </c>
      <c r="AI16" s="6">
        <v>495.8</v>
      </c>
      <c r="AK16" s="4"/>
      <c r="AP16" s="6"/>
      <c r="AR16" s="4"/>
      <c r="AW16" s="6"/>
      <c r="AY16" s="4"/>
      <c r="BD16" s="6"/>
      <c r="BF16" s="35"/>
      <c r="BG16" s="24"/>
      <c r="BH16" s="24"/>
      <c r="BI16" s="24"/>
      <c r="BJ16" s="24"/>
      <c r="BK16" s="36"/>
      <c r="BL16" s="24"/>
      <c r="BM16" s="4"/>
      <c r="BR16" s="6"/>
      <c r="BT16" s="4"/>
      <c r="BY16" s="6"/>
      <c r="CA16" s="4"/>
      <c r="CF16" s="6"/>
      <c r="CH16" s="4"/>
      <c r="CM16" s="6"/>
      <c r="CN16" s="24"/>
      <c r="CO16" s="4"/>
      <c r="CP16" s="5">
        <f>CP10*CP13/CP6</f>
        <v>9880</v>
      </c>
      <c r="CQ16" s="5">
        <v>2.79</v>
      </c>
      <c r="CR16" s="5">
        <f>CR2*(CP6^(-CR3))</f>
        <v>116.75333992889276</v>
      </c>
      <c r="CT16" s="6"/>
      <c r="CV16" s="4"/>
      <c r="CW16" s="5">
        <f>CW10*CW13/CW6</f>
        <v>9933.8333333333339</v>
      </c>
      <c r="CX16" s="5">
        <v>2.79</v>
      </c>
      <c r="CY16" s="5">
        <f>CY2*(CW6^(-CY3))</f>
        <v>62.982842375888843</v>
      </c>
      <c r="DA16" s="6"/>
      <c r="DC16" s="4"/>
      <c r="DD16" s="5">
        <f>DD10*DD13/DD6</f>
        <v>9992.4166666666661</v>
      </c>
      <c r="DE16" s="5">
        <v>2.79</v>
      </c>
      <c r="DF16" s="5">
        <f>DF2*(DD6^(-DF3))</f>
        <v>4.9131944444444438</v>
      </c>
      <c r="DG16" s="5">
        <f>DF4/DD13</f>
        <v>0.28600855648867057</v>
      </c>
      <c r="DH16" s="6"/>
      <c r="DJ16" s="4"/>
      <c r="DK16" s="5">
        <f>DK10*DK13/DK6</f>
        <v>9979.2749999999996</v>
      </c>
      <c r="DL16" s="5">
        <v>2.79</v>
      </c>
      <c r="DM16" s="5">
        <f>DM2*(DK6^(-DM3))</f>
        <v>17.939673212881345</v>
      </c>
      <c r="DO16" s="6"/>
      <c r="DP16" s="24"/>
      <c r="DQ16" s="4"/>
      <c r="DV16" s="6"/>
      <c r="DX16" s="4"/>
      <c r="EC16" s="6"/>
      <c r="EE16" s="4"/>
      <c r="EJ16" s="6"/>
      <c r="EL16" s="4"/>
      <c r="EQ16" s="6"/>
    </row>
    <row r="17" spans="1:147" x14ac:dyDescent="0.4">
      <c r="B17" s="4"/>
      <c r="G17" s="6"/>
      <c r="I17" s="4"/>
      <c r="N17" s="6"/>
      <c r="P17" s="4"/>
      <c r="U17" s="6"/>
      <c r="W17" s="4"/>
      <c r="AB17" s="6"/>
      <c r="AD17" s="4"/>
      <c r="AI17" s="6"/>
      <c r="AK17" s="4"/>
      <c r="AP17" s="6"/>
      <c r="AR17" s="4"/>
      <c r="AW17" s="6"/>
      <c r="AY17" s="4"/>
      <c r="BD17" s="6"/>
      <c r="BF17" s="35"/>
      <c r="BG17" s="24"/>
      <c r="BH17" s="24"/>
      <c r="BI17" s="24"/>
      <c r="BJ17" s="24"/>
      <c r="BK17" s="36"/>
      <c r="BL17" s="24"/>
      <c r="BM17" s="4"/>
      <c r="BR17" s="6"/>
      <c r="BT17" s="4"/>
      <c r="BY17" s="6"/>
      <c r="CA17" s="4"/>
      <c r="CF17" s="6"/>
      <c r="CH17" s="4"/>
      <c r="CM17" s="6"/>
      <c r="CN17" s="24"/>
      <c r="CO17" s="4"/>
      <c r="CT17" s="6"/>
      <c r="CV17" s="4"/>
      <c r="DA17" s="6"/>
      <c r="DC17" s="4"/>
      <c r="DH17" s="6"/>
      <c r="DJ17" s="4"/>
      <c r="DO17" s="6"/>
      <c r="DP17" s="24"/>
      <c r="DQ17" s="4"/>
      <c r="DV17" s="6"/>
      <c r="DX17" s="4"/>
      <c r="EC17" s="6"/>
      <c r="EE17" s="4"/>
      <c r="EJ17" s="6"/>
      <c r="EL17" s="4"/>
      <c r="EQ17" s="6"/>
    </row>
    <row r="18" spans="1:147" x14ac:dyDescent="0.4">
      <c r="A18" s="5" t="s">
        <v>34</v>
      </c>
      <c r="B18" s="4" t="s">
        <v>22</v>
      </c>
      <c r="C18" s="10">
        <f>C16+D16-E16</f>
        <v>9977.3368159999991</v>
      </c>
      <c r="G18" s="6"/>
      <c r="I18" s="4" t="s">
        <v>22</v>
      </c>
      <c r="J18" s="11">
        <f>J16+K16+L16-M16+N16</f>
        <v>10004.020715401437</v>
      </c>
      <c r="N18" s="6"/>
      <c r="P18" s="4" t="s">
        <v>22</v>
      </c>
      <c r="Q18" s="11">
        <f>Q16+R16+S16-T16+U16</f>
        <v>9991.9597284453484</v>
      </c>
      <c r="U18" s="6"/>
      <c r="W18" s="4" t="s">
        <v>22</v>
      </c>
      <c r="X18" s="11">
        <f>X16+Y16+Z16-AA16+AB16</f>
        <v>9997.3765399615404</v>
      </c>
      <c r="AB18" s="6"/>
      <c r="AD18" s="4" t="s">
        <v>22</v>
      </c>
      <c r="AE18" s="11">
        <f>AE16+AF16+AG16-AH16+AI16</f>
        <v>10001.937154944475</v>
      </c>
      <c r="AI18" s="6"/>
      <c r="AK18" s="4"/>
      <c r="AL18" s="11"/>
      <c r="AP18" s="6"/>
      <c r="AR18" s="4"/>
      <c r="AS18" s="11"/>
      <c r="AW18" s="6"/>
      <c r="AY18" s="4"/>
      <c r="AZ18" s="11"/>
      <c r="BD18" s="6"/>
      <c r="BF18" s="35"/>
      <c r="BG18" s="29"/>
      <c r="BH18" s="24"/>
      <c r="BI18" s="24"/>
      <c r="BJ18" s="24"/>
      <c r="BK18" s="36"/>
      <c r="BL18" s="24"/>
      <c r="BM18" s="4"/>
      <c r="BN18" s="11"/>
      <c r="BR18" s="6"/>
      <c r="BT18" s="4"/>
      <c r="BU18" s="11"/>
      <c r="BY18" s="6"/>
      <c r="CA18" s="4"/>
      <c r="CB18" s="11"/>
      <c r="CF18" s="6"/>
      <c r="CH18" s="4"/>
      <c r="CI18" s="11"/>
      <c r="CM18" s="6"/>
      <c r="CN18" s="24"/>
      <c r="CO18" s="4" t="s">
        <v>22</v>
      </c>
      <c r="CP18" s="11">
        <f>CP16+CQ16+CR16</f>
        <v>9999.5433399288941</v>
      </c>
      <c r="CT18" s="6"/>
      <c r="CV18" s="4" t="s">
        <v>22</v>
      </c>
      <c r="CW18" s="11">
        <f>CW16+CX16+CY16</f>
        <v>9999.606175709223</v>
      </c>
      <c r="DA18" s="6"/>
      <c r="DC18" s="4" t="s">
        <v>22</v>
      </c>
      <c r="DD18" s="11">
        <f>DD16+DE16+DF16+DG16</f>
        <v>10000.4058696676</v>
      </c>
      <c r="DH18" s="6"/>
      <c r="DJ18" s="4" t="s">
        <v>22</v>
      </c>
      <c r="DK18" s="11">
        <f>DK16+DL16+DM16</f>
        <v>10000.004673212881</v>
      </c>
      <c r="DO18" s="6"/>
      <c r="DP18" s="24"/>
      <c r="DQ18" s="4"/>
      <c r="DR18" s="11"/>
      <c r="DV18" s="6"/>
      <c r="DX18" s="4"/>
      <c r="DY18" s="11"/>
      <c r="EC18" s="6"/>
      <c r="EE18" s="4"/>
      <c r="EF18" s="11"/>
      <c r="EJ18" s="6"/>
      <c r="EL18" s="4"/>
      <c r="EM18" s="11"/>
      <c r="EQ18" s="6"/>
    </row>
    <row r="19" spans="1:147" x14ac:dyDescent="0.4">
      <c r="B19" s="4"/>
      <c r="G19" s="6"/>
      <c r="I19" s="4"/>
      <c r="N19" s="6"/>
      <c r="P19" s="4"/>
      <c r="U19" s="6"/>
      <c r="W19" s="4"/>
      <c r="AB19" s="6"/>
      <c r="AD19" s="4"/>
      <c r="AI19" s="6"/>
      <c r="AK19" s="4"/>
      <c r="AP19" s="6"/>
      <c r="AR19" s="4"/>
      <c r="AW19" s="6"/>
      <c r="AY19" s="4"/>
      <c r="BD19" s="6"/>
      <c r="BF19" s="35"/>
      <c r="BG19" s="24"/>
      <c r="BH19" s="24"/>
      <c r="BI19" s="24"/>
      <c r="BJ19" s="24"/>
      <c r="BK19" s="36"/>
      <c r="BL19" s="24"/>
      <c r="BM19" s="4"/>
      <c r="BR19" s="6"/>
      <c r="BT19" s="4"/>
      <c r="BY19" s="6"/>
      <c r="CA19" s="4"/>
      <c r="CF19" s="6"/>
      <c r="CH19" s="4"/>
      <c r="CM19" s="6"/>
      <c r="CN19" s="24"/>
      <c r="CO19" s="4"/>
      <c r="CT19" s="6"/>
      <c r="CV19" s="4"/>
      <c r="DA19" s="6"/>
      <c r="DC19" s="4"/>
      <c r="DH19" s="6"/>
      <c r="DJ19" s="4"/>
      <c r="DO19" s="6"/>
      <c r="DP19" s="24"/>
      <c r="DQ19" s="4"/>
      <c r="DV19" s="6"/>
      <c r="DX19" s="4"/>
      <c r="EC19" s="6"/>
      <c r="EE19" s="4"/>
      <c r="EJ19" s="6"/>
      <c r="EL19" s="4"/>
      <c r="EQ19" s="6"/>
    </row>
    <row r="20" spans="1:147" x14ac:dyDescent="0.4">
      <c r="B20" s="12" t="s">
        <v>23</v>
      </c>
      <c r="C20" s="13"/>
      <c r="D20" s="13"/>
      <c r="E20" s="13"/>
      <c r="F20" s="13"/>
      <c r="G20" s="14"/>
      <c r="I20" s="12" t="s">
        <v>23</v>
      </c>
      <c r="J20" s="13"/>
      <c r="K20" s="13"/>
      <c r="L20" s="13"/>
      <c r="M20" s="13"/>
      <c r="N20" s="14"/>
      <c r="P20" s="12" t="s">
        <v>23</v>
      </c>
      <c r="Q20" s="13"/>
      <c r="R20" s="13"/>
      <c r="S20" s="13"/>
      <c r="T20" s="13"/>
      <c r="U20" s="14"/>
      <c r="W20" s="12" t="s">
        <v>23</v>
      </c>
      <c r="X20" s="13"/>
      <c r="Y20" s="13"/>
      <c r="Z20" s="13"/>
      <c r="AA20" s="13"/>
      <c r="AB20" s="14"/>
      <c r="AD20" s="12" t="s">
        <v>23</v>
      </c>
      <c r="AE20" s="13"/>
      <c r="AF20" s="13"/>
      <c r="AG20" s="13"/>
      <c r="AH20" s="13"/>
      <c r="AI20" s="14"/>
      <c r="AJ20" s="24"/>
      <c r="AK20" s="12"/>
      <c r="AL20" s="13"/>
      <c r="AM20" s="13"/>
      <c r="AN20" s="13"/>
      <c r="AO20" s="13"/>
      <c r="AP20" s="14"/>
      <c r="AR20" s="12"/>
      <c r="AS20" s="13"/>
      <c r="AT20" s="13"/>
      <c r="AU20" s="13"/>
      <c r="AV20" s="13"/>
      <c r="AW20" s="14"/>
      <c r="AY20" s="12"/>
      <c r="AZ20" s="13"/>
      <c r="BA20" s="13"/>
      <c r="BB20" s="13"/>
      <c r="BC20" s="13"/>
      <c r="BD20" s="14"/>
      <c r="BF20" s="12"/>
      <c r="BG20" s="13"/>
      <c r="BH20" s="13"/>
      <c r="BI20" s="13"/>
      <c r="BJ20" s="13"/>
      <c r="BK20" s="14"/>
      <c r="BL20" s="24"/>
      <c r="BM20" s="12"/>
      <c r="BN20" s="13"/>
      <c r="BO20" s="13"/>
      <c r="BP20" s="13"/>
      <c r="BQ20" s="13"/>
      <c r="BR20" s="14"/>
      <c r="BT20" s="12"/>
      <c r="BU20" s="13"/>
      <c r="BV20" s="13"/>
      <c r="BW20" s="13"/>
      <c r="BX20" s="13"/>
      <c r="BY20" s="14"/>
      <c r="CA20" s="12"/>
      <c r="CB20" s="13"/>
      <c r="CC20" s="13"/>
      <c r="CD20" s="13"/>
      <c r="CE20" s="13"/>
      <c r="CF20" s="14"/>
      <c r="CH20" s="12"/>
      <c r="CI20" s="13"/>
      <c r="CJ20" s="13"/>
      <c r="CK20" s="13"/>
      <c r="CL20" s="13"/>
      <c r="CM20" s="14"/>
      <c r="CN20" s="24"/>
      <c r="CO20" s="12" t="s">
        <v>23</v>
      </c>
      <c r="CP20" s="13"/>
      <c r="CQ20" s="13"/>
      <c r="CR20" s="13"/>
      <c r="CS20" s="13"/>
      <c r="CT20" s="14"/>
      <c r="CV20" s="12" t="s">
        <v>23</v>
      </c>
      <c r="CW20" s="13"/>
      <c r="CX20" s="13"/>
      <c r="CY20" s="13"/>
      <c r="CZ20" s="13"/>
      <c r="DA20" s="14"/>
      <c r="DC20" s="12" t="s">
        <v>23</v>
      </c>
      <c r="DD20" s="13"/>
      <c r="DE20" s="13"/>
      <c r="DF20" s="13"/>
      <c r="DG20" s="13"/>
      <c r="DH20" s="14"/>
      <c r="DJ20" s="12" t="s">
        <v>23</v>
      </c>
      <c r="DK20" s="13"/>
      <c r="DL20" s="13"/>
      <c r="DM20" s="13"/>
      <c r="DN20" s="13"/>
      <c r="DO20" s="14"/>
      <c r="DP20" s="24"/>
      <c r="DQ20" s="12"/>
      <c r="DR20" s="13"/>
      <c r="DS20" s="13"/>
      <c r="DT20" s="13"/>
      <c r="DU20" s="13"/>
      <c r="DV20" s="14"/>
      <c r="DX20" s="12"/>
      <c r="DY20" s="13"/>
      <c r="DZ20" s="13"/>
      <c r="EA20" s="13"/>
      <c r="EB20" s="13"/>
      <c r="EC20" s="14"/>
      <c r="EE20" s="12"/>
      <c r="EF20" s="13"/>
      <c r="EG20" s="13"/>
      <c r="EH20" s="13"/>
      <c r="EI20" s="13"/>
      <c r="EJ20" s="14"/>
      <c r="EL20" s="12"/>
      <c r="EM20" s="13"/>
      <c r="EN20" s="13"/>
      <c r="EO20" s="13"/>
      <c r="EP20" s="13"/>
      <c r="EQ20" s="14"/>
    </row>
    <row r="21" spans="1:147" x14ac:dyDescent="0.4">
      <c r="B21" s="4"/>
      <c r="G21" s="6"/>
      <c r="I21" s="4"/>
      <c r="N21" s="6"/>
      <c r="P21" s="4"/>
      <c r="U21" s="6"/>
      <c r="W21" s="4"/>
      <c r="AB21" s="6"/>
      <c r="AD21" s="4"/>
      <c r="AI21" s="6"/>
      <c r="AK21" s="4"/>
      <c r="AP21" s="6"/>
      <c r="AR21" s="4"/>
      <c r="AW21" s="6"/>
      <c r="AY21" s="4"/>
      <c r="BD21" s="6"/>
      <c r="BF21" s="35"/>
      <c r="BG21" s="24"/>
      <c r="BH21" s="24"/>
      <c r="BI21" s="24"/>
      <c r="BJ21" s="24"/>
      <c r="BK21" s="36"/>
      <c r="BM21" s="4"/>
      <c r="BR21" s="6"/>
      <c r="BT21" s="4"/>
      <c r="BY21" s="6"/>
      <c r="CA21" s="4"/>
      <c r="CF21" s="6"/>
      <c r="CH21" s="4"/>
      <c r="CM21" s="6"/>
      <c r="CO21" s="4"/>
      <c r="CT21" s="6"/>
      <c r="CV21" s="4"/>
      <c r="DA21" s="6"/>
      <c r="DC21" s="4"/>
      <c r="DH21" s="6"/>
      <c r="DJ21" s="4"/>
      <c r="DO21" s="6"/>
      <c r="DQ21" s="4"/>
      <c r="DV21" s="6"/>
      <c r="DX21" s="4"/>
      <c r="EC21" s="6"/>
      <c r="EE21" s="4"/>
      <c r="EJ21" s="6"/>
      <c r="EL21" s="4"/>
      <c r="EQ21" s="6"/>
    </row>
    <row r="22" spans="1:147" x14ac:dyDescent="0.4">
      <c r="B22" s="4" t="s">
        <v>19</v>
      </c>
      <c r="C22" s="27">
        <f>計算ツール!F20</f>
        <v>100</v>
      </c>
      <c r="G22" s="6"/>
      <c r="I22" s="4" t="s">
        <v>19</v>
      </c>
      <c r="J22" s="27">
        <f>計算ツール!F20</f>
        <v>100</v>
      </c>
      <c r="N22" s="6"/>
      <c r="P22" s="4" t="s">
        <v>19</v>
      </c>
      <c r="Q22" s="27">
        <f>計算ツール!F20</f>
        <v>100</v>
      </c>
      <c r="U22" s="6"/>
      <c r="W22" s="4" t="s">
        <v>19</v>
      </c>
      <c r="X22" s="27">
        <f>計算ツール!F20</f>
        <v>100</v>
      </c>
      <c r="AB22" s="6"/>
      <c r="AD22" s="4" t="s">
        <v>19</v>
      </c>
      <c r="AE22" s="27">
        <f>計算ツール!F20</f>
        <v>100</v>
      </c>
      <c r="AI22" s="6"/>
      <c r="AK22" s="4"/>
      <c r="AL22" s="27"/>
      <c r="AP22" s="6"/>
      <c r="AR22" s="4"/>
      <c r="AS22" s="27"/>
      <c r="AW22" s="6"/>
      <c r="AY22" s="4"/>
      <c r="AZ22" s="27"/>
      <c r="BD22" s="6"/>
      <c r="BF22" s="35"/>
      <c r="BG22" s="27"/>
      <c r="BH22" s="24"/>
      <c r="BI22" s="24"/>
      <c r="BJ22" s="24"/>
      <c r="BK22" s="36"/>
      <c r="BM22" s="4"/>
      <c r="BN22" s="27"/>
      <c r="BR22" s="6"/>
      <c r="BT22" s="4"/>
      <c r="BU22" s="27"/>
      <c r="BY22" s="6"/>
      <c r="CA22" s="4"/>
      <c r="CB22" s="27"/>
      <c r="CF22" s="6"/>
      <c r="CH22" s="4"/>
      <c r="CI22" s="27"/>
      <c r="CM22" s="6"/>
      <c r="CO22" s="4" t="s">
        <v>19</v>
      </c>
      <c r="CP22" s="27">
        <f>計算ツール!F20</f>
        <v>100</v>
      </c>
      <c r="CT22" s="6"/>
      <c r="CV22" s="4" t="s">
        <v>19</v>
      </c>
      <c r="CW22" s="27">
        <f>計算ツール!F20</f>
        <v>100</v>
      </c>
      <c r="DA22" s="6"/>
      <c r="DC22" s="4" t="s">
        <v>19</v>
      </c>
      <c r="DD22" s="27">
        <f>計算ツール!F20</f>
        <v>100</v>
      </c>
      <c r="DH22" s="6"/>
      <c r="DJ22" s="4" t="s">
        <v>19</v>
      </c>
      <c r="DK22" s="27">
        <f>計算ツール!F20</f>
        <v>100</v>
      </c>
      <c r="DO22" s="6"/>
      <c r="DQ22" s="4"/>
      <c r="DR22" s="27"/>
      <c r="DV22" s="6"/>
      <c r="DX22" s="4"/>
      <c r="DY22" s="27"/>
      <c r="EC22" s="6"/>
      <c r="EE22" s="4"/>
      <c r="EF22" s="27"/>
      <c r="EJ22" s="6"/>
      <c r="EL22" s="4"/>
      <c r="EM22" s="27"/>
      <c r="EQ22" s="6"/>
    </row>
    <row r="23" spans="1:147" x14ac:dyDescent="0.4">
      <c r="B23" s="4"/>
      <c r="G23" s="6"/>
      <c r="I23" s="4"/>
      <c r="N23" s="6"/>
      <c r="P23" s="4"/>
      <c r="U23" s="6"/>
      <c r="W23" s="4"/>
      <c r="AB23" s="6"/>
      <c r="AD23" s="4"/>
      <c r="AI23" s="6"/>
      <c r="AK23" s="4"/>
      <c r="AP23" s="6"/>
      <c r="AR23" s="4"/>
      <c r="AW23" s="6"/>
      <c r="AY23" s="4"/>
      <c r="BD23" s="6"/>
      <c r="BF23" s="35"/>
      <c r="BG23" s="24"/>
      <c r="BH23" s="24"/>
      <c r="BI23" s="24"/>
      <c r="BJ23" s="24"/>
      <c r="BK23" s="36"/>
      <c r="BM23" s="4"/>
      <c r="BR23" s="6"/>
      <c r="BT23" s="4"/>
      <c r="BY23" s="6"/>
      <c r="CA23" s="4"/>
      <c r="CF23" s="6"/>
      <c r="CH23" s="4"/>
      <c r="CM23" s="6"/>
      <c r="CO23" s="4"/>
      <c r="CT23" s="6"/>
      <c r="CV23" s="4"/>
      <c r="DA23" s="6"/>
      <c r="DC23" s="4"/>
      <c r="DH23" s="6"/>
      <c r="DJ23" s="4"/>
      <c r="DO23" s="6"/>
      <c r="DQ23" s="4"/>
      <c r="DV23" s="6"/>
      <c r="DX23" s="4"/>
      <c r="EC23" s="6"/>
      <c r="EE23" s="4"/>
      <c r="EJ23" s="6"/>
      <c r="EL23" s="4"/>
      <c r="EQ23" s="6"/>
    </row>
    <row r="24" spans="1:147" x14ac:dyDescent="0.4">
      <c r="B24" s="4"/>
      <c r="C24" s="5" t="s">
        <v>13</v>
      </c>
      <c r="D24" s="5" t="s">
        <v>14</v>
      </c>
      <c r="E24" s="5" t="s">
        <v>15</v>
      </c>
      <c r="G24" s="6"/>
      <c r="I24" s="4"/>
      <c r="J24" s="5" t="s">
        <v>13</v>
      </c>
      <c r="K24" s="5" t="s">
        <v>14</v>
      </c>
      <c r="L24" s="5" t="s">
        <v>15</v>
      </c>
      <c r="M24" s="5" t="s">
        <v>40</v>
      </c>
      <c r="N24" s="6" t="s">
        <v>21</v>
      </c>
      <c r="P24" s="4"/>
      <c r="Q24" s="5" t="s">
        <v>13</v>
      </c>
      <c r="R24" s="5" t="s">
        <v>14</v>
      </c>
      <c r="S24" s="5" t="s">
        <v>15</v>
      </c>
      <c r="T24" s="5" t="s">
        <v>20</v>
      </c>
      <c r="U24" s="6" t="s">
        <v>21</v>
      </c>
      <c r="W24" s="4"/>
      <c r="X24" s="5" t="s">
        <v>13</v>
      </c>
      <c r="Y24" s="5" t="s">
        <v>14</v>
      </c>
      <c r="Z24" s="5" t="s">
        <v>15</v>
      </c>
      <c r="AA24" s="5" t="s">
        <v>20</v>
      </c>
      <c r="AB24" s="6" t="s">
        <v>21</v>
      </c>
      <c r="AD24" s="4"/>
      <c r="AE24" s="5" t="s">
        <v>13</v>
      </c>
      <c r="AF24" s="5" t="s">
        <v>14</v>
      </c>
      <c r="AG24" s="5" t="s">
        <v>15</v>
      </c>
      <c r="AH24" s="5" t="s">
        <v>20</v>
      </c>
      <c r="AI24" s="6" t="s">
        <v>21</v>
      </c>
      <c r="AK24" s="4"/>
      <c r="AP24" s="6"/>
      <c r="AR24" s="4"/>
      <c r="AW24" s="6"/>
      <c r="AY24" s="4"/>
      <c r="BD24" s="6"/>
      <c r="BF24" s="35"/>
      <c r="BG24" s="24"/>
      <c r="BH24" s="24"/>
      <c r="BI24" s="24"/>
      <c r="BJ24" s="24"/>
      <c r="BK24" s="36"/>
      <c r="BM24" s="4"/>
      <c r="BR24" s="6"/>
      <c r="BT24" s="4"/>
      <c r="BY24" s="6"/>
      <c r="CA24" s="4"/>
      <c r="CF24" s="6"/>
      <c r="CH24" s="4"/>
      <c r="CM24" s="6"/>
      <c r="CO24" s="4"/>
      <c r="CP24" s="5" t="s">
        <v>13</v>
      </c>
      <c r="CQ24" s="5" t="s">
        <v>14</v>
      </c>
      <c r="CR24" s="5" t="s">
        <v>15</v>
      </c>
      <c r="CS24" s="5" t="s">
        <v>20</v>
      </c>
      <c r="CT24" s="6" t="s">
        <v>21</v>
      </c>
      <c r="CV24" s="4"/>
      <c r="CW24" s="5" t="s">
        <v>13</v>
      </c>
      <c r="CX24" s="5" t="s">
        <v>14</v>
      </c>
      <c r="CY24" s="5" t="s">
        <v>15</v>
      </c>
      <c r="CZ24" s="5" t="s">
        <v>20</v>
      </c>
      <c r="DA24" s="6" t="s">
        <v>21</v>
      </c>
      <c r="DC24" s="4"/>
      <c r="DD24" s="5" t="s">
        <v>13</v>
      </c>
      <c r="DE24" s="5" t="s">
        <v>14</v>
      </c>
      <c r="DF24" s="5" t="s">
        <v>15</v>
      </c>
      <c r="DG24" s="5" t="s">
        <v>20</v>
      </c>
      <c r="DH24" s="6" t="s">
        <v>21</v>
      </c>
      <c r="DJ24" s="4"/>
      <c r="DK24" s="5" t="s">
        <v>13</v>
      </c>
      <c r="DL24" s="5" t="s">
        <v>14</v>
      </c>
      <c r="DM24" s="5" t="s">
        <v>15</v>
      </c>
      <c r="DN24" s="5" t="s">
        <v>20</v>
      </c>
      <c r="DO24" s="6" t="s">
        <v>21</v>
      </c>
      <c r="DQ24" s="4"/>
      <c r="DV24" s="6"/>
      <c r="DX24" s="4"/>
      <c r="EC24" s="6"/>
      <c r="EE24" s="4"/>
      <c r="EJ24" s="6"/>
      <c r="EL24" s="4"/>
      <c r="EQ24" s="6"/>
    </row>
    <row r="25" spans="1:147" x14ac:dyDescent="0.4">
      <c r="B25" s="4"/>
      <c r="C25" s="5">
        <f>-0.1716*(C22^2)</f>
        <v>-1716</v>
      </c>
      <c r="D25" s="5">
        <f>486.5*C22</f>
        <v>48650</v>
      </c>
      <c r="E25" s="5">
        <f>3605.5</f>
        <v>3605.5</v>
      </c>
      <c r="G25" s="6"/>
      <c r="I25" s="4"/>
      <c r="J25" s="5">
        <f>J10*(J22-9.2)/(J6-1.09)</f>
        <v>26039.942268041232</v>
      </c>
      <c r="K25" s="5">
        <f>13.3*(9.2/(J6-1.09)+3.38/(J6-1.8))</f>
        <v>62.481746329272099</v>
      </c>
      <c r="L25" s="5">
        <v>2.79</v>
      </c>
      <c r="M25" s="5">
        <f>21*3.95</f>
        <v>82.95</v>
      </c>
      <c r="N25" s="6">
        <v>615.20000000000005</v>
      </c>
      <c r="P25" s="4"/>
      <c r="Q25" s="5">
        <f>Q10*(Q22-9.2)/(Q6-1.09)</f>
        <v>15433.041140529529</v>
      </c>
      <c r="R25" s="5">
        <f>13.3*(9.2/(Q6-1.09)+3.38/(Q6-1.8))</f>
        <v>35.623903598099119</v>
      </c>
      <c r="S25" s="5">
        <v>2.79</v>
      </c>
      <c r="T25" s="5">
        <f>21*4</f>
        <v>84</v>
      </c>
      <c r="U25" s="6">
        <v>366.4</v>
      </c>
      <c r="W25" s="4"/>
      <c r="X25" s="5">
        <f>X10*(X22-9.2)/(X6-1.09)</f>
        <v>6945.5758020164976</v>
      </c>
      <c r="Y25" s="5">
        <f>13.3*(9.2/(X6-1.09)+3.38/(X6-1.8))</f>
        <v>15.622653618734386</v>
      </c>
      <c r="Z25" s="5">
        <v>2.79</v>
      </c>
      <c r="AA25" s="5">
        <f>21*11.9</f>
        <v>249.9</v>
      </c>
      <c r="AB25" s="6">
        <v>368.9</v>
      </c>
      <c r="AD25" s="4"/>
      <c r="AE25" s="5">
        <f>AE10*(AE22-9.2)/(AE6-1.09)</f>
        <v>4007.2042305658374</v>
      </c>
      <c r="AF25" s="5">
        <f>13.3*(9.2/(AE6-1.09)+3.38/(AE6-1.8))</f>
        <v>8.9406504494976193</v>
      </c>
      <c r="AG25" s="5">
        <v>2.79</v>
      </c>
      <c r="AH25" s="5">
        <f>21*20.1</f>
        <v>422.1</v>
      </c>
      <c r="AI25" s="6">
        <v>495.8</v>
      </c>
      <c r="AK25" s="4"/>
      <c r="AP25" s="6"/>
      <c r="AR25" s="4"/>
      <c r="AW25" s="6"/>
      <c r="AY25" s="4"/>
      <c r="BD25" s="6"/>
      <c r="BF25" s="35"/>
      <c r="BG25" s="24"/>
      <c r="BH25" s="24"/>
      <c r="BI25" s="24"/>
      <c r="BJ25" s="24"/>
      <c r="BK25" s="36"/>
      <c r="BM25" s="4"/>
      <c r="BR25" s="6"/>
      <c r="BT25" s="4"/>
      <c r="BY25" s="6"/>
      <c r="CA25" s="4"/>
      <c r="CF25" s="6"/>
      <c r="CH25" s="4"/>
      <c r="CM25" s="6"/>
      <c r="CO25" s="4"/>
      <c r="CP25" s="5">
        <f>CP10*CP22/CP6</f>
        <v>2375</v>
      </c>
      <c r="CQ25" s="5">
        <v>2.79</v>
      </c>
      <c r="CR25" s="5">
        <f>CR2*(CP6^(-CR3))</f>
        <v>116.75333992889276</v>
      </c>
      <c r="CT25" s="6"/>
      <c r="CV25" s="4"/>
      <c r="CW25" s="5">
        <f>CW10*CW22/CW6</f>
        <v>1583.3333333333333</v>
      </c>
      <c r="CX25" s="5">
        <v>2.79</v>
      </c>
      <c r="CY25" s="5">
        <f>CY2*(CW6^(-CY3))</f>
        <v>62.982842375888843</v>
      </c>
      <c r="DA25" s="6"/>
      <c r="DC25" s="4"/>
      <c r="DD25" s="5">
        <f>DD10*DD22/DD6</f>
        <v>791.66666666666663</v>
      </c>
      <c r="DE25" s="5">
        <v>2.79</v>
      </c>
      <c r="DF25" s="5">
        <f>DF2*(DD6^(-DF3))</f>
        <v>4.9131944444444438</v>
      </c>
      <c r="DG25" s="5">
        <f>DF4/DD22</f>
        <v>3.61</v>
      </c>
      <c r="DH25" s="6"/>
      <c r="DJ25" s="4"/>
      <c r="DK25" s="5">
        <f>DK10*DK22/DK6</f>
        <v>475</v>
      </c>
      <c r="DL25" s="5">
        <v>2.79</v>
      </c>
      <c r="DM25" s="5">
        <f>DM2*(DK6^(-DM3))</f>
        <v>17.939673212881345</v>
      </c>
      <c r="DO25" s="6"/>
      <c r="DQ25" s="4"/>
      <c r="DV25" s="6"/>
      <c r="DX25" s="4"/>
      <c r="EC25" s="6"/>
      <c r="EE25" s="4"/>
      <c r="EJ25" s="6"/>
      <c r="EL25" s="4"/>
      <c r="EQ25" s="6"/>
    </row>
    <row r="26" spans="1:147" x14ac:dyDescent="0.4">
      <c r="B26" s="4"/>
      <c r="G26" s="6"/>
      <c r="I26" s="4"/>
      <c r="N26" s="6"/>
      <c r="P26" s="4"/>
      <c r="U26" s="6"/>
      <c r="W26" s="4"/>
      <c r="AB26" s="6"/>
      <c r="AD26" s="4"/>
      <c r="AI26" s="6"/>
      <c r="AK26" s="4"/>
      <c r="AP26" s="6"/>
      <c r="AR26" s="4"/>
      <c r="AW26" s="6"/>
      <c r="AY26" s="4"/>
      <c r="BD26" s="6"/>
      <c r="BF26" s="35"/>
      <c r="BG26" s="24"/>
      <c r="BH26" s="24"/>
      <c r="BI26" s="24"/>
      <c r="BJ26" s="24"/>
      <c r="BK26" s="36"/>
      <c r="BM26" s="4"/>
      <c r="BR26" s="6"/>
      <c r="BT26" s="4"/>
      <c r="BY26" s="6"/>
      <c r="CA26" s="4"/>
      <c r="CF26" s="6"/>
      <c r="CH26" s="4"/>
      <c r="CM26" s="6"/>
      <c r="CO26" s="4"/>
      <c r="CT26" s="6"/>
      <c r="CV26" s="4"/>
      <c r="DA26" s="6"/>
      <c r="DC26" s="4"/>
      <c r="DH26" s="6"/>
      <c r="DJ26" s="4"/>
      <c r="DO26" s="6"/>
      <c r="DQ26" s="4"/>
      <c r="DV26" s="6"/>
      <c r="DX26" s="4"/>
      <c r="EC26" s="6"/>
      <c r="EE26" s="4"/>
      <c r="EJ26" s="6"/>
      <c r="EL26" s="4"/>
      <c r="EQ26" s="6"/>
    </row>
    <row r="27" spans="1:147" x14ac:dyDescent="0.4">
      <c r="B27" s="4" t="s">
        <v>12</v>
      </c>
      <c r="C27" s="10">
        <f>C25+D25-E25</f>
        <v>43328.5</v>
      </c>
      <c r="G27" s="6"/>
      <c r="I27" s="4" t="s">
        <v>12</v>
      </c>
      <c r="J27" s="15">
        <f>J25+K25+L25-M25+N25</f>
        <v>26637.464014370504</v>
      </c>
      <c r="N27" s="6"/>
      <c r="P27" s="4" t="s">
        <v>12</v>
      </c>
      <c r="Q27" s="15">
        <f>Q25+R25+S25-T25+U25</f>
        <v>15753.855044127629</v>
      </c>
      <c r="U27" s="6"/>
      <c r="W27" s="4" t="s">
        <v>12</v>
      </c>
      <c r="X27" s="15">
        <f>X25+Y25+Z25-AA25+AB25</f>
        <v>7082.9884556352317</v>
      </c>
      <c r="AB27" s="6"/>
      <c r="AD27" s="4" t="s">
        <v>12</v>
      </c>
      <c r="AE27" s="15">
        <f>AE25+AF25+AG25-AH25+AI25</f>
        <v>4092.6348810153354</v>
      </c>
      <c r="AI27" s="6"/>
      <c r="AK27" s="4"/>
      <c r="AL27" s="15"/>
      <c r="AP27" s="6"/>
      <c r="AR27" s="4"/>
      <c r="AS27" s="15"/>
      <c r="AW27" s="6"/>
      <c r="AY27" s="4"/>
      <c r="AZ27" s="15"/>
      <c r="BD27" s="6"/>
      <c r="BF27" s="35"/>
      <c r="BG27" s="30"/>
      <c r="BH27" s="24"/>
      <c r="BI27" s="24"/>
      <c r="BJ27" s="24"/>
      <c r="BK27" s="36"/>
      <c r="BM27" s="4"/>
      <c r="BN27" s="11"/>
      <c r="BR27" s="6"/>
      <c r="BT27" s="4"/>
      <c r="BU27" s="11"/>
      <c r="BY27" s="6"/>
      <c r="CA27" s="4"/>
      <c r="CB27" s="11"/>
      <c r="CF27" s="6"/>
      <c r="CH27" s="4"/>
      <c r="CI27" s="11"/>
      <c r="CM27" s="6"/>
      <c r="CO27" s="4" t="s">
        <v>12</v>
      </c>
      <c r="CP27" s="11">
        <f>CP25+CQ25+CR25</f>
        <v>2494.5433399288927</v>
      </c>
      <c r="CT27" s="6"/>
      <c r="CV27" s="4" t="s">
        <v>12</v>
      </c>
      <c r="CW27" s="11">
        <f>CW25+CX25+CY25</f>
        <v>1649.106175709222</v>
      </c>
      <c r="DA27" s="6"/>
      <c r="DC27" s="4" t="s">
        <v>12</v>
      </c>
      <c r="DD27" s="11">
        <f>DD25+DE25+DF25+DG25</f>
        <v>802.97986111111106</v>
      </c>
      <c r="DH27" s="6"/>
      <c r="DJ27" s="4" t="s">
        <v>12</v>
      </c>
      <c r="DK27" s="11">
        <f>DK25+DL25+DM25</f>
        <v>495.72967321288138</v>
      </c>
      <c r="DO27" s="6"/>
      <c r="DQ27" s="4"/>
      <c r="DR27" s="11"/>
      <c r="DV27" s="6"/>
      <c r="DX27" s="4"/>
      <c r="DY27" s="11"/>
      <c r="EC27" s="6"/>
      <c r="EE27" s="4"/>
      <c r="EF27" s="11"/>
      <c r="EJ27" s="6"/>
      <c r="EL27" s="4"/>
      <c r="EM27" s="11"/>
      <c r="EQ27" s="6"/>
    </row>
    <row r="28" spans="1:147" x14ac:dyDescent="0.4">
      <c r="B28" s="4" t="s">
        <v>12</v>
      </c>
      <c r="C28" s="50">
        <f>ROUND(C27,2)</f>
        <v>43328.5</v>
      </c>
      <c r="G28" s="6"/>
      <c r="I28" s="4" t="s">
        <v>12</v>
      </c>
      <c r="J28" s="50">
        <f>ROUND(J27,2)</f>
        <v>26637.46</v>
      </c>
      <c r="N28" s="6"/>
      <c r="P28" s="4" t="s">
        <v>12</v>
      </c>
      <c r="Q28" s="50">
        <f>ROUND(Q27,2)</f>
        <v>15753.86</v>
      </c>
      <c r="U28" s="6"/>
      <c r="W28" s="4" t="s">
        <v>12</v>
      </c>
      <c r="X28" s="50">
        <f>ROUND(X27,2)</f>
        <v>7082.99</v>
      </c>
      <c r="AB28" s="6"/>
      <c r="AD28" s="4" t="s">
        <v>12</v>
      </c>
      <c r="AE28" s="50">
        <f>ROUND(AE27,2)</f>
        <v>4092.63</v>
      </c>
      <c r="AI28" s="6"/>
      <c r="AK28" s="4"/>
      <c r="AL28" s="50"/>
      <c r="AP28" s="6"/>
      <c r="AR28" s="4"/>
      <c r="AS28" s="50"/>
      <c r="AW28" s="6"/>
      <c r="AY28" s="4"/>
      <c r="AZ28" s="50"/>
      <c r="BD28" s="6"/>
      <c r="BF28" s="35"/>
      <c r="BG28" s="50"/>
      <c r="BH28" s="24"/>
      <c r="BI28" s="24"/>
      <c r="BJ28" s="24"/>
      <c r="BK28" s="36"/>
      <c r="BM28" s="4"/>
      <c r="BN28" s="50"/>
      <c r="BR28" s="6"/>
      <c r="BT28" s="4"/>
      <c r="BU28" s="50"/>
      <c r="BY28" s="6"/>
      <c r="CA28" s="4"/>
      <c r="CB28" s="50"/>
      <c r="CF28" s="6"/>
      <c r="CH28" s="4"/>
      <c r="CI28" s="50"/>
      <c r="CM28" s="6"/>
      <c r="CO28" s="4" t="s">
        <v>12</v>
      </c>
      <c r="CP28" s="50">
        <f>ROUND(CP27,2)</f>
        <v>2494.54</v>
      </c>
      <c r="CT28" s="6"/>
      <c r="CV28" s="4" t="s">
        <v>12</v>
      </c>
      <c r="CW28" s="50">
        <f>ROUND(CW27,2)</f>
        <v>1649.11</v>
      </c>
      <c r="DA28" s="6"/>
      <c r="DC28" s="4" t="s">
        <v>12</v>
      </c>
      <c r="DD28" s="50">
        <f>ROUND(DD27,2)</f>
        <v>802.98</v>
      </c>
      <c r="DH28" s="6"/>
      <c r="DJ28" s="4" t="s">
        <v>12</v>
      </c>
      <c r="DK28" s="50">
        <f>ROUND(DK27,2)</f>
        <v>495.73</v>
      </c>
      <c r="DO28" s="6"/>
      <c r="DQ28" s="4"/>
      <c r="DR28" s="50"/>
      <c r="DV28" s="6"/>
      <c r="DX28" s="4"/>
      <c r="DY28" s="50"/>
      <c r="EC28" s="6"/>
      <c r="EE28" s="4"/>
      <c r="EF28" s="50"/>
      <c r="EJ28" s="6"/>
      <c r="EL28" s="4"/>
      <c r="EM28" s="50"/>
      <c r="EQ28" s="6"/>
    </row>
    <row r="29" spans="1:147" x14ac:dyDescent="0.4">
      <c r="B29" s="4"/>
      <c r="G29" s="6"/>
      <c r="I29" s="4"/>
      <c r="N29" s="6"/>
      <c r="P29" s="4"/>
      <c r="U29" s="6"/>
      <c r="W29" s="4"/>
      <c r="AB29" s="6"/>
      <c r="AD29" s="4"/>
      <c r="AI29" s="6"/>
      <c r="AK29" s="4"/>
      <c r="AP29" s="6"/>
      <c r="AR29" s="4"/>
      <c r="AW29" s="6"/>
      <c r="AY29" s="4"/>
      <c r="BD29" s="6"/>
      <c r="BF29" s="35"/>
      <c r="BG29" s="24"/>
      <c r="BH29" s="24"/>
      <c r="BI29" s="24"/>
      <c r="BJ29" s="24"/>
      <c r="BK29" s="36"/>
      <c r="BM29" s="4"/>
      <c r="BR29" s="6"/>
      <c r="BT29" s="4"/>
      <c r="BY29" s="6"/>
      <c r="CA29" s="4"/>
      <c r="CF29" s="6"/>
      <c r="CH29" s="4"/>
      <c r="CM29" s="6"/>
      <c r="CO29" s="4"/>
      <c r="CT29" s="6"/>
      <c r="CV29" s="4"/>
      <c r="DA29" s="6"/>
      <c r="DC29" s="4"/>
      <c r="DH29" s="6"/>
      <c r="DJ29" s="4"/>
      <c r="DO29" s="6"/>
      <c r="DQ29" s="4"/>
      <c r="DV29" s="6"/>
      <c r="DX29" s="4"/>
      <c r="EC29" s="6"/>
      <c r="EE29" s="4"/>
      <c r="EJ29" s="6"/>
      <c r="EL29" s="4"/>
      <c r="EQ29" s="6"/>
    </row>
    <row r="30" spans="1:147" x14ac:dyDescent="0.4">
      <c r="B30" s="4" t="s">
        <v>24</v>
      </c>
      <c r="C30" s="5">
        <v>12.7</v>
      </c>
      <c r="E30" s="5" t="s">
        <v>25</v>
      </c>
      <c r="F30" s="10">
        <v>2545.37</v>
      </c>
      <c r="G30" s="16">
        <f>ROUND(F30,0)</f>
        <v>2545</v>
      </c>
      <c r="I30" s="4" t="s">
        <v>24</v>
      </c>
      <c r="J30" s="5">
        <v>12.7</v>
      </c>
      <c r="L30" s="5" t="s">
        <v>25</v>
      </c>
      <c r="M30" s="10">
        <v>1601.26</v>
      </c>
      <c r="N30" s="16">
        <f>ROUND(M30,0)</f>
        <v>1601</v>
      </c>
      <c r="P30" s="4" t="s">
        <v>24</v>
      </c>
      <c r="Q30" s="5">
        <v>12.7</v>
      </c>
      <c r="S30" s="5" t="s">
        <v>25</v>
      </c>
      <c r="T30" s="10">
        <v>915.7</v>
      </c>
      <c r="U30" s="16">
        <f>ROUND(T30,1)</f>
        <v>915.7</v>
      </c>
      <c r="W30" s="4" t="s">
        <v>24</v>
      </c>
      <c r="X30" s="5">
        <v>12.7</v>
      </c>
      <c r="Z30" s="5" t="s">
        <v>25</v>
      </c>
      <c r="AA30" s="10">
        <v>405.14</v>
      </c>
      <c r="AB30" s="6">
        <f>ROUND(AA30,1)</f>
        <v>405.1</v>
      </c>
      <c r="AD30" s="4" t="s">
        <v>24</v>
      </c>
      <c r="AE30" s="5">
        <v>12.7</v>
      </c>
      <c r="AG30" s="5" t="s">
        <v>25</v>
      </c>
      <c r="AH30" s="10">
        <v>239.89</v>
      </c>
      <c r="AI30" s="16">
        <f>ROUND(AH30,1)</f>
        <v>239.9</v>
      </c>
      <c r="AJ30" s="10"/>
      <c r="AK30" s="4"/>
      <c r="AO30" s="10"/>
      <c r="AP30" s="16"/>
      <c r="AR30" s="4"/>
      <c r="AV30" s="10"/>
      <c r="AW30" s="16"/>
      <c r="AY30" s="4"/>
      <c r="BC30" s="10"/>
      <c r="BD30" s="16"/>
      <c r="BF30" s="35"/>
      <c r="BG30" s="24"/>
      <c r="BH30" s="24"/>
      <c r="BI30" s="24"/>
      <c r="BJ30" s="31"/>
      <c r="BK30" s="37"/>
      <c r="BL30" s="10"/>
      <c r="BM30" s="4"/>
      <c r="BQ30" s="10"/>
      <c r="BR30" s="6"/>
      <c r="BT30" s="4"/>
      <c r="BX30" s="10"/>
      <c r="BY30" s="6"/>
      <c r="CA30" s="4"/>
      <c r="CE30" s="10"/>
      <c r="CF30" s="6"/>
      <c r="CH30" s="4"/>
      <c r="CL30" s="10"/>
      <c r="CM30" s="6"/>
      <c r="CO30" s="4" t="s">
        <v>24</v>
      </c>
      <c r="CP30" s="5">
        <v>10</v>
      </c>
      <c r="CR30" s="5" t="s">
        <v>25</v>
      </c>
      <c r="CS30" s="10">
        <v>357</v>
      </c>
      <c r="CT30" s="6"/>
      <c r="CV30" s="4" t="s">
        <v>24</v>
      </c>
      <c r="CW30" s="5">
        <v>10</v>
      </c>
      <c r="CY30" s="5" t="s">
        <v>25</v>
      </c>
      <c r="CZ30" s="10">
        <v>224.1</v>
      </c>
      <c r="DA30" s="6"/>
      <c r="DC30" s="4" t="s">
        <v>24</v>
      </c>
      <c r="DD30" s="5">
        <v>10</v>
      </c>
      <c r="DF30" s="5" t="s">
        <v>25</v>
      </c>
      <c r="DG30" s="10">
        <v>123</v>
      </c>
      <c r="DH30" s="6"/>
      <c r="DJ30" s="4" t="s">
        <v>24</v>
      </c>
      <c r="DK30" s="5">
        <v>10</v>
      </c>
      <c r="DM30" s="5" t="s">
        <v>25</v>
      </c>
      <c r="DN30" s="10">
        <v>68.2</v>
      </c>
      <c r="DO30" s="6"/>
      <c r="DQ30" s="4"/>
      <c r="DU30" s="10"/>
      <c r="DV30" s="6"/>
      <c r="DX30" s="4"/>
      <c r="EB30" s="10"/>
      <c r="EC30" s="6"/>
      <c r="EE30" s="4"/>
      <c r="EI30" s="10"/>
      <c r="EJ30" s="6"/>
      <c r="EL30" s="4"/>
      <c r="EP30" s="10"/>
      <c r="EQ30" s="6"/>
    </row>
    <row r="31" spans="1:147" x14ac:dyDescent="0.4">
      <c r="B31" s="4" t="s">
        <v>26</v>
      </c>
      <c r="C31" s="5">
        <v>100</v>
      </c>
      <c r="E31" s="5" t="s">
        <v>27</v>
      </c>
      <c r="F31" s="10">
        <v>43328.5</v>
      </c>
      <c r="G31" s="16">
        <f>ROUND(F31,-1)</f>
        <v>43330</v>
      </c>
      <c r="I31" s="4" t="s">
        <v>26</v>
      </c>
      <c r="J31" s="5">
        <v>100</v>
      </c>
      <c r="L31" s="5" t="s">
        <v>27</v>
      </c>
      <c r="M31" s="10">
        <v>26637.46</v>
      </c>
      <c r="N31" s="16">
        <f>ROUND(M31,-1)</f>
        <v>26640</v>
      </c>
      <c r="P31" s="4" t="s">
        <v>26</v>
      </c>
      <c r="Q31" s="5">
        <v>100</v>
      </c>
      <c r="S31" s="5" t="s">
        <v>27</v>
      </c>
      <c r="T31" s="10">
        <v>15753.86</v>
      </c>
      <c r="U31" s="6">
        <f>ROUND(T31,-1)</f>
        <v>15750</v>
      </c>
      <c r="W31" s="4" t="s">
        <v>26</v>
      </c>
      <c r="X31" s="5">
        <v>100</v>
      </c>
      <c r="Z31" s="5" t="s">
        <v>27</v>
      </c>
      <c r="AA31" s="10">
        <v>7082.99</v>
      </c>
      <c r="AB31" s="16">
        <f>ROUND(AA31,0)</f>
        <v>7083</v>
      </c>
      <c r="AD31" s="4" t="s">
        <v>26</v>
      </c>
      <c r="AE31" s="5">
        <v>100</v>
      </c>
      <c r="AG31" s="5" t="s">
        <v>27</v>
      </c>
      <c r="AH31" s="10">
        <v>4092.63</v>
      </c>
      <c r="AI31" s="16">
        <f>ROUND(AH31,0)</f>
        <v>4093</v>
      </c>
      <c r="AJ31" s="10"/>
      <c r="AK31" s="4"/>
      <c r="AO31" s="10"/>
      <c r="AP31" s="16"/>
      <c r="AR31" s="4"/>
      <c r="AV31" s="10"/>
      <c r="AW31" s="16"/>
      <c r="AY31" s="4"/>
      <c r="BC31" s="10"/>
      <c r="BD31" s="16"/>
      <c r="BF31" s="35"/>
      <c r="BG31" s="24"/>
      <c r="BH31" s="24"/>
      <c r="BI31" s="24"/>
      <c r="BJ31" s="31"/>
      <c r="BK31" s="37"/>
      <c r="BL31" s="10"/>
      <c r="BM31" s="4"/>
      <c r="BQ31" s="10"/>
      <c r="BR31" s="6"/>
      <c r="BT31" s="4"/>
      <c r="BX31" s="10"/>
      <c r="BY31" s="6"/>
      <c r="CA31" s="4"/>
      <c r="CE31" s="10"/>
      <c r="CF31" s="6"/>
      <c r="CH31" s="4"/>
      <c r="CL31" s="10"/>
      <c r="CM31" s="6"/>
      <c r="CO31" s="4" t="s">
        <v>26</v>
      </c>
      <c r="CP31" s="5">
        <v>100</v>
      </c>
      <c r="CR31" s="5" t="s">
        <v>27</v>
      </c>
      <c r="CS31" s="10">
        <v>2494.5</v>
      </c>
      <c r="CT31" s="6"/>
      <c r="CV31" s="4" t="s">
        <v>26</v>
      </c>
      <c r="CW31" s="5">
        <v>100</v>
      </c>
      <c r="CY31" s="5" t="s">
        <v>27</v>
      </c>
      <c r="CZ31" s="10">
        <v>1649.1</v>
      </c>
      <c r="DA31" s="6"/>
      <c r="DC31" s="4" t="s">
        <v>26</v>
      </c>
      <c r="DD31" s="5">
        <v>100</v>
      </c>
      <c r="DF31" s="5" t="s">
        <v>27</v>
      </c>
      <c r="DG31" s="10">
        <v>803</v>
      </c>
      <c r="DH31" s="6"/>
      <c r="DJ31" s="4" t="s">
        <v>26</v>
      </c>
      <c r="DK31" s="5">
        <v>100</v>
      </c>
      <c r="DM31" s="5" t="s">
        <v>27</v>
      </c>
      <c r="DN31" s="10">
        <v>495.7</v>
      </c>
      <c r="DO31" s="6"/>
      <c r="DQ31" s="4"/>
      <c r="DU31" s="10"/>
      <c r="DV31" s="6"/>
      <c r="DX31" s="4"/>
      <c r="EB31" s="10"/>
      <c r="EC31" s="6"/>
      <c r="EE31" s="4"/>
      <c r="EI31" s="10"/>
      <c r="EJ31" s="6"/>
      <c r="EL31" s="4"/>
      <c r="EP31" s="10"/>
      <c r="EQ31" s="6"/>
    </row>
    <row r="32" spans="1:147" x14ac:dyDescent="0.4">
      <c r="B32" s="4"/>
      <c r="G32" s="6"/>
      <c r="I32" s="4"/>
      <c r="N32" s="6"/>
      <c r="P32" s="4"/>
      <c r="U32" s="6"/>
      <c r="W32" s="4"/>
      <c r="AB32" s="6"/>
      <c r="AD32" s="4"/>
      <c r="AI32" s="6"/>
      <c r="AK32" s="4"/>
      <c r="AP32" s="6"/>
      <c r="AR32" s="4"/>
      <c r="AW32" s="6"/>
      <c r="AY32" s="4"/>
      <c r="BD32" s="6"/>
      <c r="BF32" s="35"/>
      <c r="BG32" s="24"/>
      <c r="BH32" s="24"/>
      <c r="BI32" s="24"/>
      <c r="BJ32" s="24"/>
      <c r="BK32" s="36"/>
      <c r="BM32" s="4"/>
      <c r="BR32" s="6"/>
      <c r="BT32" s="4"/>
      <c r="BY32" s="6"/>
      <c r="CA32" s="4"/>
      <c r="CF32" s="6"/>
      <c r="CH32" s="4"/>
      <c r="CM32" s="6"/>
      <c r="CO32" s="4"/>
      <c r="CT32" s="6"/>
      <c r="CV32" s="4"/>
      <c r="DA32" s="6"/>
      <c r="DC32" s="4"/>
      <c r="DH32" s="6"/>
      <c r="DJ32" s="4"/>
      <c r="DO32" s="6"/>
      <c r="DQ32" s="4"/>
      <c r="DV32" s="6"/>
      <c r="DX32" s="4"/>
      <c r="EC32" s="6"/>
      <c r="EE32" s="4"/>
      <c r="EJ32" s="6"/>
      <c r="EL32" s="4"/>
      <c r="EQ32" s="6"/>
    </row>
    <row r="33" spans="2:147" x14ac:dyDescent="0.4">
      <c r="B33" s="4" t="s">
        <v>28</v>
      </c>
      <c r="C33" s="17" t="s">
        <v>29</v>
      </c>
      <c r="E33" s="5" t="s">
        <v>22</v>
      </c>
      <c r="F33" s="17" t="s">
        <v>30</v>
      </c>
      <c r="G33" s="18" t="s">
        <v>29</v>
      </c>
      <c r="I33" s="4" t="s">
        <v>28</v>
      </c>
      <c r="J33" s="17" t="s">
        <v>29</v>
      </c>
      <c r="L33" s="5" t="s">
        <v>22</v>
      </c>
      <c r="M33" s="17" t="s">
        <v>30</v>
      </c>
      <c r="N33" s="18" t="s">
        <v>29</v>
      </c>
      <c r="P33" s="4" t="s">
        <v>28</v>
      </c>
      <c r="Q33" s="17" t="s">
        <v>29</v>
      </c>
      <c r="S33" s="5" t="s">
        <v>22</v>
      </c>
      <c r="T33" s="17" t="s">
        <v>30</v>
      </c>
      <c r="U33" s="18" t="s">
        <v>29</v>
      </c>
      <c r="W33" s="4" t="s">
        <v>28</v>
      </c>
      <c r="X33" s="17" t="s">
        <v>29</v>
      </c>
      <c r="Z33" s="5" t="s">
        <v>22</v>
      </c>
      <c r="AA33" s="17" t="s">
        <v>30</v>
      </c>
      <c r="AB33" s="18" t="s">
        <v>29</v>
      </c>
      <c r="AD33" s="4" t="s">
        <v>28</v>
      </c>
      <c r="AE33" s="17" t="s">
        <v>29</v>
      </c>
      <c r="AG33" s="5" t="s">
        <v>22</v>
      </c>
      <c r="AH33" s="17" t="s">
        <v>30</v>
      </c>
      <c r="AI33" s="18" t="s">
        <v>29</v>
      </c>
      <c r="AJ33" s="17"/>
      <c r="AK33" s="4"/>
      <c r="AL33" s="17"/>
      <c r="AO33" s="17"/>
      <c r="AP33" s="18"/>
      <c r="AR33" s="4"/>
      <c r="AS33" s="17"/>
      <c r="AV33" s="17"/>
      <c r="AW33" s="18"/>
      <c r="AY33" s="4"/>
      <c r="AZ33" s="17"/>
      <c r="BC33" s="17"/>
      <c r="BD33" s="18"/>
      <c r="BF33" s="35"/>
      <c r="BG33" s="28"/>
      <c r="BH33" s="24"/>
      <c r="BI33" s="24"/>
      <c r="BJ33" s="28"/>
      <c r="BK33" s="38"/>
      <c r="BL33" s="17"/>
      <c r="BM33" s="4"/>
      <c r="BN33" s="17"/>
      <c r="BQ33" s="17"/>
      <c r="BR33" s="18"/>
      <c r="BT33" s="4"/>
      <c r="BU33" s="17"/>
      <c r="BX33" s="17"/>
      <c r="BY33" s="18"/>
      <c r="CA33" s="4"/>
      <c r="CB33" s="17"/>
      <c r="CE33" s="17"/>
      <c r="CF33" s="18"/>
      <c r="CH33" s="4"/>
      <c r="CI33" s="17"/>
      <c r="CL33" s="17"/>
      <c r="CM33" s="18"/>
      <c r="CN33" s="17"/>
      <c r="CO33" s="4" t="s">
        <v>28</v>
      </c>
      <c r="CP33" s="17" t="s">
        <v>29</v>
      </c>
      <c r="CR33" s="5" t="s">
        <v>22</v>
      </c>
      <c r="CS33" s="17" t="s">
        <v>30</v>
      </c>
      <c r="CT33" s="18" t="s">
        <v>29</v>
      </c>
      <c r="CV33" s="4" t="s">
        <v>28</v>
      </c>
      <c r="CW33" s="17" t="s">
        <v>29</v>
      </c>
      <c r="CY33" s="5" t="s">
        <v>22</v>
      </c>
      <c r="CZ33" s="17" t="s">
        <v>30</v>
      </c>
      <c r="DA33" s="18" t="s">
        <v>29</v>
      </c>
      <c r="DC33" s="4" t="s">
        <v>28</v>
      </c>
      <c r="DD33" s="17" t="s">
        <v>29</v>
      </c>
      <c r="DF33" s="5" t="s">
        <v>22</v>
      </c>
      <c r="DG33" s="17" t="s">
        <v>30</v>
      </c>
      <c r="DH33" s="18" t="s">
        <v>29</v>
      </c>
      <c r="DJ33" s="4" t="s">
        <v>28</v>
      </c>
      <c r="DK33" s="17" t="s">
        <v>29</v>
      </c>
      <c r="DM33" s="5" t="s">
        <v>22</v>
      </c>
      <c r="DN33" s="17" t="s">
        <v>30</v>
      </c>
      <c r="DO33" s="18" t="s">
        <v>29</v>
      </c>
      <c r="DP33" s="17"/>
      <c r="DQ33" s="4"/>
      <c r="DR33" s="17"/>
      <c r="DU33" s="17"/>
      <c r="DV33" s="18"/>
      <c r="DX33" s="4"/>
      <c r="DY33" s="17"/>
      <c r="EB33" s="17"/>
      <c r="EC33" s="18"/>
      <c r="EE33" s="4"/>
      <c r="EF33" s="17"/>
      <c r="EI33" s="17"/>
      <c r="EJ33" s="18"/>
      <c r="EL33" s="4"/>
      <c r="EM33" s="17"/>
      <c r="EP33" s="17"/>
      <c r="EQ33" s="18"/>
    </row>
    <row r="34" spans="2:147" x14ac:dyDescent="0.4">
      <c r="B34" s="4">
        <v>12.7</v>
      </c>
      <c r="C34" s="10">
        <v>2545.3726359999991</v>
      </c>
      <c r="E34" s="10">
        <v>2545.37</v>
      </c>
      <c r="F34" s="5">
        <v>12.7</v>
      </c>
      <c r="G34" s="6">
        <v>2545.37</v>
      </c>
      <c r="I34" s="4">
        <v>12.7</v>
      </c>
      <c r="J34" s="10">
        <v>1601.26401437051</v>
      </c>
      <c r="L34" s="10">
        <v>2545.37</v>
      </c>
      <c r="N34" s="6"/>
      <c r="P34" s="4">
        <v>12.7</v>
      </c>
      <c r="Q34" s="5">
        <v>915.69985064494222</v>
      </c>
      <c r="S34" s="10">
        <v>2545.37</v>
      </c>
      <c r="U34" s="6"/>
      <c r="W34" s="4">
        <v>12.7</v>
      </c>
      <c r="X34" s="10">
        <v>405.13859312377565</v>
      </c>
      <c r="Z34" s="10">
        <v>2545.37</v>
      </c>
      <c r="AB34" s="6"/>
      <c r="AD34" s="4">
        <v>12.7</v>
      </c>
      <c r="AE34" s="10">
        <v>239.89336858804862</v>
      </c>
      <c r="AG34" s="10">
        <v>2545.37</v>
      </c>
      <c r="AI34" s="6"/>
      <c r="AK34" s="4"/>
      <c r="AL34" s="10"/>
      <c r="AN34" s="10"/>
      <c r="AP34" s="6"/>
      <c r="AR34" s="4"/>
      <c r="AS34" s="10"/>
      <c r="AU34" s="10"/>
      <c r="AW34" s="6"/>
      <c r="AY34" s="4"/>
      <c r="AZ34" s="10"/>
      <c r="BB34" s="10"/>
      <c r="BD34" s="6"/>
      <c r="BF34" s="35"/>
      <c r="BG34" s="31"/>
      <c r="BH34" s="24"/>
      <c r="BI34" s="31"/>
      <c r="BJ34" s="24"/>
      <c r="BK34" s="36"/>
      <c r="BM34" s="4"/>
      <c r="BN34" s="10"/>
      <c r="BP34" s="10"/>
      <c r="BR34" s="6"/>
      <c r="BT34" s="4"/>
      <c r="BU34" s="10"/>
      <c r="BW34" s="10"/>
      <c r="BY34" s="6"/>
      <c r="CA34" s="4"/>
      <c r="CB34" s="10"/>
      <c r="CD34" s="10"/>
      <c r="CF34" s="6"/>
      <c r="CH34" s="4"/>
      <c r="CI34" s="10"/>
      <c r="CK34" s="10"/>
      <c r="CM34" s="6"/>
      <c r="CO34" s="4">
        <v>10</v>
      </c>
      <c r="CP34" s="5">
        <v>357.04333992889275</v>
      </c>
      <c r="CR34" s="10">
        <v>2545.37</v>
      </c>
      <c r="CT34" s="6"/>
      <c r="CV34" s="4">
        <v>10</v>
      </c>
      <c r="CW34" s="11">
        <v>224.10617570922219</v>
      </c>
      <c r="CY34" s="10">
        <v>2545.37</v>
      </c>
      <c r="DA34" s="6"/>
      <c r="DC34" s="4">
        <v>10</v>
      </c>
      <c r="DD34" s="5">
        <v>122.96986111111113</v>
      </c>
      <c r="DF34" s="10">
        <v>2545.37</v>
      </c>
      <c r="DH34" s="6"/>
      <c r="DJ34" s="4">
        <v>10</v>
      </c>
      <c r="DK34" s="5">
        <v>68.229673212881352</v>
      </c>
      <c r="DM34" s="10">
        <v>2545.37</v>
      </c>
      <c r="DO34" s="6"/>
      <c r="DQ34" s="4"/>
      <c r="DT34" s="10"/>
      <c r="DV34" s="6"/>
      <c r="DX34" s="4"/>
      <c r="EA34" s="10"/>
      <c r="EC34" s="6"/>
      <c r="EE34" s="4"/>
      <c r="EH34" s="10"/>
      <c r="EJ34" s="6"/>
      <c r="EL34" s="4"/>
      <c r="EO34" s="10"/>
      <c r="EQ34" s="6"/>
    </row>
    <row r="35" spans="2:147" x14ac:dyDescent="0.4">
      <c r="B35" s="4">
        <v>20</v>
      </c>
      <c r="C35" s="10">
        <v>6055.86</v>
      </c>
      <c r="E35" s="10">
        <v>5000</v>
      </c>
      <c r="F35" s="5">
        <v>17.8</v>
      </c>
      <c r="G35" s="6">
        <v>4999.83</v>
      </c>
      <c r="I35" s="4">
        <v>20</v>
      </c>
      <c r="J35" s="10">
        <v>3694.7836019993802</v>
      </c>
      <c r="L35" s="10">
        <v>5000</v>
      </c>
      <c r="N35" s="6"/>
      <c r="P35" s="4">
        <v>20</v>
      </c>
      <c r="S35" s="10">
        <v>5000</v>
      </c>
      <c r="U35" s="6"/>
      <c r="W35" s="4">
        <v>20</v>
      </c>
      <c r="X35" s="10"/>
      <c r="Z35" s="10">
        <v>5000</v>
      </c>
      <c r="AB35" s="6"/>
      <c r="AD35" s="4">
        <v>20</v>
      </c>
      <c r="AE35" s="10"/>
      <c r="AG35" s="10">
        <v>5000</v>
      </c>
      <c r="AI35" s="6"/>
      <c r="AK35" s="4"/>
      <c r="AL35" s="10"/>
      <c r="AN35" s="10"/>
      <c r="AP35" s="6"/>
      <c r="AR35" s="4"/>
      <c r="AS35" s="10"/>
      <c r="AU35" s="10"/>
      <c r="AW35" s="6"/>
      <c r="AY35" s="4"/>
      <c r="AZ35" s="10"/>
      <c r="BB35" s="10"/>
      <c r="BD35" s="6"/>
      <c r="BF35" s="35"/>
      <c r="BG35" s="31"/>
      <c r="BH35" s="24"/>
      <c r="BI35" s="31"/>
      <c r="BJ35" s="24"/>
      <c r="BK35" s="36"/>
      <c r="BM35" s="4"/>
      <c r="BN35" s="10"/>
      <c r="BP35" s="10"/>
      <c r="BR35" s="6"/>
      <c r="BT35" s="4"/>
      <c r="BU35" s="10"/>
      <c r="BW35" s="10"/>
      <c r="BY35" s="6"/>
      <c r="CA35" s="4"/>
      <c r="CB35" s="10"/>
      <c r="CD35" s="10"/>
      <c r="CF35" s="6"/>
      <c r="CH35" s="4"/>
      <c r="CI35" s="10"/>
      <c r="CK35" s="10"/>
      <c r="CM35" s="6"/>
      <c r="CO35" s="4">
        <v>20</v>
      </c>
      <c r="CR35" s="10">
        <v>5000</v>
      </c>
      <c r="CT35" s="6"/>
      <c r="CV35" s="4">
        <v>20</v>
      </c>
      <c r="CY35" s="10">
        <v>5000</v>
      </c>
      <c r="DA35" s="6"/>
      <c r="DC35" s="4">
        <v>20</v>
      </c>
      <c r="DF35" s="10">
        <v>5000</v>
      </c>
      <c r="DH35" s="6"/>
      <c r="DJ35" s="4">
        <v>20</v>
      </c>
      <c r="DM35" s="10">
        <v>5000</v>
      </c>
      <c r="DO35" s="6"/>
      <c r="DQ35" s="4"/>
      <c r="DT35" s="10"/>
      <c r="DV35" s="6"/>
      <c r="DX35" s="4"/>
      <c r="EA35" s="10"/>
      <c r="EC35" s="6"/>
      <c r="EE35" s="4"/>
      <c r="EH35" s="10"/>
      <c r="EJ35" s="6"/>
      <c r="EL35" s="4"/>
      <c r="EO35" s="10"/>
      <c r="EQ35" s="6"/>
    </row>
    <row r="36" spans="2:147" x14ac:dyDescent="0.4">
      <c r="B36" s="4">
        <v>30</v>
      </c>
      <c r="C36" s="10">
        <v>10835.06</v>
      </c>
      <c r="E36" s="10">
        <v>8000</v>
      </c>
      <c r="F36" s="5">
        <v>24.1</v>
      </c>
      <c r="G36" s="6">
        <v>8019.48</v>
      </c>
      <c r="I36" s="4">
        <v>30</v>
      </c>
      <c r="J36" s="10">
        <v>6562.6186535457664</v>
      </c>
      <c r="L36" s="10">
        <v>8000</v>
      </c>
      <c r="N36" s="6"/>
      <c r="P36" s="4">
        <v>30</v>
      </c>
      <c r="S36" s="10">
        <v>8000</v>
      </c>
      <c r="U36" s="6"/>
      <c r="W36" s="4">
        <v>30</v>
      </c>
      <c r="X36" s="10"/>
      <c r="Z36" s="10">
        <v>8000</v>
      </c>
      <c r="AB36" s="6"/>
      <c r="AD36" s="4">
        <v>30</v>
      </c>
      <c r="AE36" s="10"/>
      <c r="AG36" s="10">
        <v>8000</v>
      </c>
      <c r="AI36" s="6"/>
      <c r="AK36" s="4"/>
      <c r="AL36" s="10"/>
      <c r="AN36" s="10"/>
      <c r="AP36" s="6"/>
      <c r="AR36" s="4"/>
      <c r="AS36" s="10"/>
      <c r="AU36" s="10"/>
      <c r="AW36" s="6"/>
      <c r="AY36" s="4"/>
      <c r="AZ36" s="10"/>
      <c r="BB36" s="10"/>
      <c r="BD36" s="6"/>
      <c r="BF36" s="35"/>
      <c r="BG36" s="31"/>
      <c r="BH36" s="24"/>
      <c r="BI36" s="31"/>
      <c r="BJ36" s="24"/>
      <c r="BK36" s="36"/>
      <c r="BM36" s="4"/>
      <c r="BN36" s="10"/>
      <c r="BP36" s="10"/>
      <c r="BR36" s="6"/>
      <c r="BT36" s="4"/>
      <c r="BU36" s="10"/>
      <c r="BW36" s="10"/>
      <c r="BY36" s="6"/>
      <c r="CA36" s="4"/>
      <c r="CB36" s="10"/>
      <c r="CD36" s="10"/>
      <c r="CF36" s="6"/>
      <c r="CH36" s="4"/>
      <c r="CI36" s="10"/>
      <c r="CK36" s="10"/>
      <c r="CM36" s="6"/>
      <c r="CO36" s="4">
        <v>30</v>
      </c>
      <c r="CR36" s="10">
        <v>8000</v>
      </c>
      <c r="CT36" s="6"/>
      <c r="CV36" s="4">
        <v>30</v>
      </c>
      <c r="CY36" s="10">
        <v>8000</v>
      </c>
      <c r="DA36" s="6"/>
      <c r="DC36" s="4">
        <v>30</v>
      </c>
      <c r="DF36" s="10">
        <v>8000</v>
      </c>
      <c r="DH36" s="6"/>
      <c r="DJ36" s="4">
        <v>30</v>
      </c>
      <c r="DM36" s="10">
        <v>8000</v>
      </c>
      <c r="DO36" s="6"/>
      <c r="DQ36" s="4"/>
      <c r="DT36" s="10"/>
      <c r="DV36" s="6"/>
      <c r="DX36" s="4"/>
      <c r="EA36" s="10"/>
      <c r="EC36" s="6"/>
      <c r="EE36" s="4"/>
      <c r="EH36" s="10"/>
      <c r="EJ36" s="6"/>
      <c r="EL36" s="4"/>
      <c r="EO36" s="10"/>
      <c r="EQ36" s="6"/>
    </row>
    <row r="37" spans="2:147" x14ac:dyDescent="0.4">
      <c r="B37" s="4">
        <v>40</v>
      </c>
      <c r="C37" s="10">
        <v>15579.94</v>
      </c>
      <c r="E37" s="10">
        <v>10000</v>
      </c>
      <c r="F37" s="5">
        <v>28.2</v>
      </c>
      <c r="G37" s="6">
        <v>9977.34</v>
      </c>
      <c r="I37" s="4">
        <v>40</v>
      </c>
      <c r="J37" s="10">
        <v>9430.453705092159</v>
      </c>
      <c r="L37" s="10">
        <v>10000</v>
      </c>
      <c r="N37" s="6"/>
      <c r="P37" s="4">
        <v>40</v>
      </c>
      <c r="S37" s="10">
        <v>10000</v>
      </c>
      <c r="U37" s="6"/>
      <c r="W37" s="4">
        <v>40</v>
      </c>
      <c r="X37" s="10"/>
      <c r="Z37" s="10">
        <v>10000</v>
      </c>
      <c r="AB37" s="6"/>
      <c r="AD37" s="4">
        <v>40</v>
      </c>
      <c r="AE37" s="10"/>
      <c r="AG37" s="10">
        <v>10000</v>
      </c>
      <c r="AI37" s="6"/>
      <c r="AK37" s="4"/>
      <c r="AL37" s="10"/>
      <c r="AN37" s="10"/>
      <c r="AP37" s="6"/>
      <c r="AR37" s="4"/>
      <c r="AS37" s="10"/>
      <c r="AU37" s="10"/>
      <c r="AW37" s="6"/>
      <c r="AY37" s="4"/>
      <c r="AZ37" s="10"/>
      <c r="BB37" s="10"/>
      <c r="BD37" s="6"/>
      <c r="BF37" s="35"/>
      <c r="BG37" s="31"/>
      <c r="BH37" s="24"/>
      <c r="BI37" s="31"/>
      <c r="BJ37" s="24"/>
      <c r="BK37" s="36"/>
      <c r="BM37" s="4"/>
      <c r="BN37" s="10"/>
      <c r="BP37" s="10"/>
      <c r="BR37" s="6"/>
      <c r="BT37" s="4"/>
      <c r="BU37" s="10"/>
      <c r="BW37" s="10"/>
      <c r="BY37" s="6"/>
      <c r="CA37" s="4"/>
      <c r="CB37" s="10"/>
      <c r="CD37" s="10"/>
      <c r="CF37" s="6"/>
      <c r="CH37" s="4"/>
      <c r="CI37" s="10"/>
      <c r="CK37" s="10"/>
      <c r="CM37" s="6"/>
      <c r="CO37" s="4">
        <v>40</v>
      </c>
      <c r="CR37" s="10">
        <v>10000</v>
      </c>
      <c r="CT37" s="6"/>
      <c r="CV37" s="4">
        <v>40</v>
      </c>
      <c r="CY37" s="10">
        <v>10000</v>
      </c>
      <c r="DA37" s="6"/>
      <c r="DC37" s="4">
        <v>40</v>
      </c>
      <c r="DF37" s="10">
        <v>10000</v>
      </c>
      <c r="DH37" s="6"/>
      <c r="DJ37" s="4">
        <v>40</v>
      </c>
      <c r="DM37" s="10">
        <v>10000</v>
      </c>
      <c r="DO37" s="6"/>
      <c r="DQ37" s="4"/>
      <c r="DT37" s="10"/>
      <c r="DV37" s="6"/>
      <c r="DX37" s="4"/>
      <c r="EA37" s="10"/>
      <c r="EC37" s="6"/>
      <c r="EE37" s="4"/>
      <c r="EH37" s="10"/>
      <c r="EJ37" s="6"/>
      <c r="EL37" s="4"/>
      <c r="EO37" s="10"/>
      <c r="EQ37" s="6"/>
    </row>
    <row r="38" spans="2:147" x14ac:dyDescent="0.4">
      <c r="B38" s="4">
        <v>50</v>
      </c>
      <c r="C38" s="10">
        <v>20290.5</v>
      </c>
      <c r="E38" s="10">
        <v>20000</v>
      </c>
      <c r="F38" s="5">
        <v>49.4</v>
      </c>
      <c r="G38" s="6">
        <v>20008.830000000002</v>
      </c>
      <c r="I38" s="4">
        <v>50</v>
      </c>
      <c r="J38" s="10">
        <v>12298.288756638551</v>
      </c>
      <c r="L38" s="10">
        <v>20000</v>
      </c>
      <c r="N38" s="6"/>
      <c r="P38" s="4">
        <v>50</v>
      </c>
      <c r="S38" s="10">
        <v>20000</v>
      </c>
      <c r="U38" s="6"/>
      <c r="W38" s="4">
        <v>50</v>
      </c>
      <c r="X38" s="10"/>
      <c r="Z38" s="10">
        <v>20000</v>
      </c>
      <c r="AB38" s="6"/>
      <c r="AD38" s="4">
        <v>50</v>
      </c>
      <c r="AE38" s="10"/>
      <c r="AG38" s="10">
        <v>20000</v>
      </c>
      <c r="AI38" s="6"/>
      <c r="AK38" s="4"/>
      <c r="AL38" s="10"/>
      <c r="AN38" s="10"/>
      <c r="AP38" s="6"/>
      <c r="AR38" s="4"/>
      <c r="AS38" s="10"/>
      <c r="AU38" s="10"/>
      <c r="AW38" s="6"/>
      <c r="AY38" s="4"/>
      <c r="AZ38" s="10"/>
      <c r="BB38" s="10"/>
      <c r="BD38" s="6"/>
      <c r="BF38" s="35"/>
      <c r="BG38" s="31"/>
      <c r="BH38" s="24"/>
      <c r="BI38" s="31"/>
      <c r="BJ38" s="24"/>
      <c r="BK38" s="36"/>
      <c r="BM38" s="4"/>
      <c r="BN38" s="10"/>
      <c r="BP38" s="10"/>
      <c r="BR38" s="6"/>
      <c r="BT38" s="4"/>
      <c r="BU38" s="10"/>
      <c r="BW38" s="10"/>
      <c r="BY38" s="6"/>
      <c r="CA38" s="4"/>
      <c r="CB38" s="10"/>
      <c r="CD38" s="10"/>
      <c r="CF38" s="6"/>
      <c r="CH38" s="4"/>
      <c r="CI38" s="10"/>
      <c r="CK38" s="10"/>
      <c r="CM38" s="6"/>
      <c r="CO38" s="4">
        <v>50</v>
      </c>
      <c r="CR38" s="10">
        <v>20000</v>
      </c>
      <c r="CT38" s="6"/>
      <c r="CV38" s="4">
        <v>50</v>
      </c>
      <c r="CY38" s="10">
        <v>20000</v>
      </c>
      <c r="DA38" s="6"/>
      <c r="DC38" s="4">
        <v>50</v>
      </c>
      <c r="DF38" s="10">
        <v>20000</v>
      </c>
      <c r="DH38" s="6"/>
      <c r="DJ38" s="4">
        <v>50</v>
      </c>
      <c r="DM38" s="10">
        <v>20000</v>
      </c>
      <c r="DO38" s="6"/>
      <c r="DQ38" s="4"/>
      <c r="DT38" s="10"/>
      <c r="DV38" s="6"/>
      <c r="DX38" s="4"/>
      <c r="EA38" s="10"/>
      <c r="EC38" s="6"/>
      <c r="EE38" s="4"/>
      <c r="EH38" s="10"/>
      <c r="EJ38" s="6"/>
      <c r="EL38" s="4"/>
      <c r="EO38" s="10"/>
      <c r="EQ38" s="6"/>
    </row>
    <row r="39" spans="2:147" x14ac:dyDescent="0.4">
      <c r="B39" s="4">
        <v>60</v>
      </c>
      <c r="C39" s="10">
        <v>24966.74</v>
      </c>
      <c r="E39" s="10">
        <v>40000</v>
      </c>
      <c r="F39" s="5">
        <v>92.7</v>
      </c>
      <c r="G39" s="6">
        <v>40018.44</v>
      </c>
      <c r="I39" s="4">
        <v>60</v>
      </c>
      <c r="J39" s="10"/>
      <c r="L39" s="10">
        <v>40000</v>
      </c>
      <c r="N39" s="6"/>
      <c r="P39" s="4">
        <v>60</v>
      </c>
      <c r="S39" s="10">
        <v>40000</v>
      </c>
      <c r="U39" s="6"/>
      <c r="W39" s="4">
        <v>60</v>
      </c>
      <c r="X39" s="10"/>
      <c r="Z39" s="10">
        <v>40000</v>
      </c>
      <c r="AB39" s="6"/>
      <c r="AD39" s="4">
        <v>60</v>
      </c>
      <c r="AE39" s="10"/>
      <c r="AG39" s="10">
        <v>40000</v>
      </c>
      <c r="AI39" s="6"/>
      <c r="AK39" s="4"/>
      <c r="AL39" s="10"/>
      <c r="AN39" s="10"/>
      <c r="AP39" s="6"/>
      <c r="AR39" s="4"/>
      <c r="AS39" s="10"/>
      <c r="AU39" s="10"/>
      <c r="AW39" s="6"/>
      <c r="AY39" s="4"/>
      <c r="AZ39" s="10"/>
      <c r="BB39" s="10"/>
      <c r="BD39" s="6"/>
      <c r="BF39" s="35"/>
      <c r="BG39" s="31"/>
      <c r="BH39" s="24"/>
      <c r="BI39" s="31"/>
      <c r="BJ39" s="24"/>
      <c r="BK39" s="36"/>
      <c r="BM39" s="4"/>
      <c r="BN39" s="10"/>
      <c r="BP39" s="10"/>
      <c r="BR39" s="6"/>
      <c r="BT39" s="4"/>
      <c r="BU39" s="10"/>
      <c r="BW39" s="10"/>
      <c r="BY39" s="6"/>
      <c r="CA39" s="4"/>
      <c r="CB39" s="10"/>
      <c r="CD39" s="10"/>
      <c r="CF39" s="6"/>
      <c r="CH39" s="4"/>
      <c r="CI39" s="10"/>
      <c r="CK39" s="10"/>
      <c r="CM39" s="6"/>
      <c r="CO39" s="4">
        <v>60</v>
      </c>
      <c r="CR39" s="10">
        <v>40000</v>
      </c>
      <c r="CT39" s="6"/>
      <c r="CV39" s="4">
        <v>60</v>
      </c>
      <c r="CY39" s="10">
        <v>40000</v>
      </c>
      <c r="DA39" s="6"/>
      <c r="DC39" s="4">
        <v>60</v>
      </c>
      <c r="DF39" s="10">
        <v>40000</v>
      </c>
      <c r="DH39" s="6"/>
      <c r="DJ39" s="4">
        <v>60</v>
      </c>
      <c r="DM39" s="10">
        <v>40000</v>
      </c>
      <c r="DO39" s="6"/>
      <c r="DQ39" s="4"/>
      <c r="DT39" s="10"/>
      <c r="DV39" s="6"/>
      <c r="DX39" s="4"/>
      <c r="EA39" s="10"/>
      <c r="EC39" s="6"/>
      <c r="EE39" s="4"/>
      <c r="EH39" s="10"/>
      <c r="EJ39" s="6"/>
      <c r="EL39" s="4"/>
      <c r="EO39" s="10"/>
      <c r="EQ39" s="6"/>
    </row>
    <row r="40" spans="2:147" x14ac:dyDescent="0.4">
      <c r="B40" s="4">
        <v>70</v>
      </c>
      <c r="C40" s="10">
        <v>29608.66</v>
      </c>
      <c r="E40" s="10">
        <v>43328.5</v>
      </c>
      <c r="F40" s="5">
        <v>100</v>
      </c>
      <c r="G40" s="6">
        <v>43328.5</v>
      </c>
      <c r="I40" s="4">
        <v>70</v>
      </c>
      <c r="J40" s="10"/>
      <c r="L40" s="10">
        <v>43328.5</v>
      </c>
      <c r="N40" s="6"/>
      <c r="P40" s="4">
        <v>70</v>
      </c>
      <c r="S40" s="10">
        <v>43328.5</v>
      </c>
      <c r="U40" s="6"/>
      <c r="W40" s="4">
        <v>70</v>
      </c>
      <c r="X40" s="10"/>
      <c r="Z40" s="10">
        <v>43328.5</v>
      </c>
      <c r="AB40" s="6"/>
      <c r="AD40" s="4">
        <v>70</v>
      </c>
      <c r="AE40" s="10"/>
      <c r="AG40" s="10">
        <v>43328.5</v>
      </c>
      <c r="AI40" s="6"/>
      <c r="AK40" s="4"/>
      <c r="AL40" s="10"/>
      <c r="AN40" s="10"/>
      <c r="AP40" s="6"/>
      <c r="AR40" s="4"/>
      <c r="AS40" s="10"/>
      <c r="AU40" s="10"/>
      <c r="AW40" s="6"/>
      <c r="AY40" s="4"/>
      <c r="AZ40" s="10"/>
      <c r="BB40" s="10"/>
      <c r="BD40" s="6"/>
      <c r="BF40" s="35"/>
      <c r="BG40" s="31"/>
      <c r="BH40" s="24"/>
      <c r="BI40" s="31"/>
      <c r="BJ40" s="24"/>
      <c r="BK40" s="36"/>
      <c r="BM40" s="4"/>
      <c r="BN40" s="10"/>
      <c r="BP40" s="10"/>
      <c r="BR40" s="6"/>
      <c r="BT40" s="4"/>
      <c r="BU40" s="10"/>
      <c r="BW40" s="10"/>
      <c r="BY40" s="6"/>
      <c r="CA40" s="4"/>
      <c r="CB40" s="10"/>
      <c r="CD40" s="10"/>
      <c r="CF40" s="6"/>
      <c r="CH40" s="4"/>
      <c r="CI40" s="10"/>
      <c r="CK40" s="10"/>
      <c r="CM40" s="6"/>
      <c r="CO40" s="4">
        <v>70</v>
      </c>
      <c r="CR40" s="10">
        <v>43328.5</v>
      </c>
      <c r="CT40" s="6"/>
      <c r="CV40" s="4">
        <v>70</v>
      </c>
      <c r="CY40" s="10">
        <v>43328.5</v>
      </c>
      <c r="DA40" s="6"/>
      <c r="DC40" s="4">
        <v>70</v>
      </c>
      <c r="DF40" s="10">
        <v>43328.5</v>
      </c>
      <c r="DH40" s="6"/>
      <c r="DJ40" s="4">
        <v>70</v>
      </c>
      <c r="DM40" s="10">
        <v>43328.5</v>
      </c>
      <c r="DO40" s="6"/>
      <c r="DQ40" s="4"/>
      <c r="DT40" s="10"/>
      <c r="DV40" s="6"/>
      <c r="DX40" s="4"/>
      <c r="EA40" s="10"/>
      <c r="EC40" s="6"/>
      <c r="EE40" s="4"/>
      <c r="EH40" s="10"/>
      <c r="EJ40" s="6"/>
      <c r="EL40" s="4"/>
      <c r="EO40" s="10"/>
      <c r="EQ40" s="6"/>
    </row>
    <row r="41" spans="2:147" x14ac:dyDescent="0.4">
      <c r="B41" s="4">
        <v>80</v>
      </c>
      <c r="C41" s="10">
        <v>34216.26</v>
      </c>
      <c r="E41" s="10"/>
      <c r="G41" s="6"/>
      <c r="I41" s="4">
        <v>80</v>
      </c>
      <c r="J41" s="10"/>
      <c r="L41" s="10"/>
      <c r="N41" s="6"/>
      <c r="P41" s="4">
        <v>80</v>
      </c>
      <c r="S41" s="10"/>
      <c r="U41" s="6"/>
      <c r="W41" s="4">
        <v>80</v>
      </c>
      <c r="X41" s="10"/>
      <c r="Z41" s="10"/>
      <c r="AB41" s="6"/>
      <c r="AD41" s="4">
        <v>80</v>
      </c>
      <c r="AE41" s="10"/>
      <c r="AG41" s="10"/>
      <c r="AI41" s="6"/>
      <c r="AK41" s="4"/>
      <c r="AL41" s="10"/>
      <c r="AN41" s="10"/>
      <c r="AP41" s="6"/>
      <c r="AR41" s="4"/>
      <c r="AS41" s="10"/>
      <c r="AU41" s="10"/>
      <c r="AW41" s="6"/>
      <c r="AY41" s="4"/>
      <c r="AZ41" s="10"/>
      <c r="BB41" s="10"/>
      <c r="BD41" s="6"/>
      <c r="BF41" s="35"/>
      <c r="BG41" s="31"/>
      <c r="BH41" s="24"/>
      <c r="BI41" s="31"/>
      <c r="BJ41" s="24"/>
      <c r="BK41" s="36"/>
      <c r="BM41" s="4"/>
      <c r="BN41" s="10"/>
      <c r="BP41" s="10"/>
      <c r="BR41" s="6"/>
      <c r="BT41" s="4"/>
      <c r="BU41" s="10"/>
      <c r="BW41" s="10"/>
      <c r="BY41" s="6"/>
      <c r="CA41" s="4"/>
      <c r="CB41" s="10"/>
      <c r="CD41" s="10"/>
      <c r="CF41" s="6"/>
      <c r="CH41" s="4"/>
      <c r="CI41" s="10"/>
      <c r="CK41" s="10"/>
      <c r="CM41" s="6"/>
      <c r="CO41" s="4">
        <v>80</v>
      </c>
      <c r="CR41" s="10"/>
      <c r="CT41" s="6"/>
      <c r="CV41" s="4">
        <v>80</v>
      </c>
      <c r="CY41" s="10"/>
      <c r="DA41" s="6"/>
      <c r="DC41" s="4">
        <v>80</v>
      </c>
      <c r="DF41" s="10"/>
      <c r="DH41" s="6"/>
      <c r="DJ41" s="4">
        <v>80</v>
      </c>
      <c r="DM41" s="10"/>
      <c r="DO41" s="6"/>
      <c r="DQ41" s="4"/>
      <c r="DT41" s="10"/>
      <c r="DV41" s="6"/>
      <c r="DX41" s="4"/>
      <c r="EA41" s="10"/>
      <c r="EC41" s="6"/>
      <c r="EE41" s="4"/>
      <c r="EH41" s="10"/>
      <c r="EJ41" s="6"/>
      <c r="EL41" s="4"/>
      <c r="EO41" s="10"/>
      <c r="EQ41" s="6"/>
    </row>
    <row r="42" spans="2:147" x14ac:dyDescent="0.4">
      <c r="B42" s="4">
        <v>90</v>
      </c>
      <c r="C42" s="10">
        <v>38789.54</v>
      </c>
      <c r="E42" s="10"/>
      <c r="G42" s="6"/>
      <c r="I42" s="4">
        <v>90</v>
      </c>
      <c r="J42" s="10"/>
      <c r="L42" s="10"/>
      <c r="N42" s="6"/>
      <c r="P42" s="4">
        <v>90</v>
      </c>
      <c r="S42" s="10"/>
      <c r="U42" s="6"/>
      <c r="W42" s="4">
        <v>90</v>
      </c>
      <c r="X42" s="10"/>
      <c r="Z42" s="10"/>
      <c r="AB42" s="6"/>
      <c r="AD42" s="4">
        <v>90</v>
      </c>
      <c r="AE42" s="10"/>
      <c r="AG42" s="10"/>
      <c r="AI42" s="6"/>
      <c r="AK42" s="4"/>
      <c r="AL42" s="10"/>
      <c r="AN42" s="10"/>
      <c r="AP42" s="6"/>
      <c r="AR42" s="4"/>
      <c r="AS42" s="10"/>
      <c r="AU42" s="10"/>
      <c r="AW42" s="6"/>
      <c r="AY42" s="4"/>
      <c r="AZ42" s="10"/>
      <c r="BB42" s="10"/>
      <c r="BD42" s="6"/>
      <c r="BF42" s="35"/>
      <c r="BG42" s="31"/>
      <c r="BH42" s="24"/>
      <c r="BI42" s="31"/>
      <c r="BJ42" s="24"/>
      <c r="BK42" s="36"/>
      <c r="BM42" s="4"/>
      <c r="BN42" s="10"/>
      <c r="BP42" s="10"/>
      <c r="BR42" s="6"/>
      <c r="BT42" s="4"/>
      <c r="BU42" s="10"/>
      <c r="BW42" s="10"/>
      <c r="BY42" s="6"/>
      <c r="CA42" s="4"/>
      <c r="CB42" s="10"/>
      <c r="CD42" s="10"/>
      <c r="CF42" s="6"/>
      <c r="CH42" s="4"/>
      <c r="CI42" s="10"/>
      <c r="CK42" s="10"/>
      <c r="CM42" s="6"/>
      <c r="CO42" s="4">
        <v>90</v>
      </c>
      <c r="CR42" s="10"/>
      <c r="CT42" s="6"/>
      <c r="CV42" s="4">
        <v>90</v>
      </c>
      <c r="CY42" s="10"/>
      <c r="DA42" s="6"/>
      <c r="DC42" s="4">
        <v>90</v>
      </c>
      <c r="DF42" s="10"/>
      <c r="DH42" s="6"/>
      <c r="DJ42" s="4">
        <v>90</v>
      </c>
      <c r="DM42" s="10"/>
      <c r="DO42" s="6"/>
      <c r="DQ42" s="4"/>
      <c r="DT42" s="10"/>
      <c r="DV42" s="6"/>
      <c r="DX42" s="4"/>
      <c r="EA42" s="10"/>
      <c r="EC42" s="6"/>
      <c r="EE42" s="4"/>
      <c r="EH42" s="10"/>
      <c r="EJ42" s="6"/>
      <c r="EL42" s="4"/>
      <c r="EO42" s="10"/>
      <c r="EQ42" s="6"/>
    </row>
    <row r="43" spans="2:147" x14ac:dyDescent="0.4">
      <c r="B43" s="4">
        <v>100</v>
      </c>
      <c r="C43" s="10">
        <v>43328.5</v>
      </c>
      <c r="E43" s="10"/>
      <c r="G43" s="6"/>
      <c r="I43" s="4">
        <v>100</v>
      </c>
      <c r="J43" s="10">
        <v>26637.4640143705</v>
      </c>
      <c r="L43" s="10"/>
      <c r="N43" s="6"/>
      <c r="P43" s="4">
        <v>100</v>
      </c>
      <c r="Q43" s="5">
        <v>15753.855044127629</v>
      </c>
      <c r="S43" s="10"/>
      <c r="U43" s="6"/>
      <c r="W43" s="4">
        <v>100</v>
      </c>
      <c r="X43" s="10">
        <v>7082.9884556352317</v>
      </c>
      <c r="Z43" s="10"/>
      <c r="AB43" s="6"/>
      <c r="AD43" s="4">
        <v>100</v>
      </c>
      <c r="AE43" s="10">
        <v>4092.6348810153354</v>
      </c>
      <c r="AG43" s="10"/>
      <c r="AI43" s="6"/>
      <c r="AK43" s="4"/>
      <c r="AL43" s="10"/>
      <c r="AN43" s="10"/>
      <c r="AP43" s="6"/>
      <c r="AR43" s="4"/>
      <c r="AS43" s="10"/>
      <c r="AU43" s="10"/>
      <c r="AW43" s="6"/>
      <c r="AY43" s="4"/>
      <c r="AZ43" s="10"/>
      <c r="BB43" s="10"/>
      <c r="BD43" s="6"/>
      <c r="BF43" s="35"/>
      <c r="BG43" s="31"/>
      <c r="BH43" s="24"/>
      <c r="BI43" s="31"/>
      <c r="BJ43" s="24"/>
      <c r="BK43" s="36"/>
      <c r="BM43" s="4"/>
      <c r="BN43" s="10"/>
      <c r="BP43" s="10"/>
      <c r="BR43" s="6"/>
      <c r="BT43" s="4"/>
      <c r="BU43" s="10"/>
      <c r="BW43" s="10"/>
      <c r="BY43" s="6"/>
      <c r="CA43" s="4"/>
      <c r="CB43" s="10"/>
      <c r="CD43" s="10"/>
      <c r="CF43" s="6"/>
      <c r="CH43" s="4"/>
      <c r="CI43" s="10"/>
      <c r="CK43" s="10"/>
      <c r="CM43" s="6"/>
      <c r="CO43" s="4">
        <v>100</v>
      </c>
      <c r="CP43" s="5">
        <v>2494.5433399288927</v>
      </c>
      <c r="CR43" s="10"/>
      <c r="CT43" s="6"/>
      <c r="CV43" s="4">
        <v>100</v>
      </c>
      <c r="CW43" s="11">
        <v>1649.106175709222</v>
      </c>
      <c r="CY43" s="10"/>
      <c r="DA43" s="6"/>
      <c r="DC43" s="4">
        <v>100</v>
      </c>
      <c r="DD43" s="5">
        <v>802.97986111111106</v>
      </c>
      <c r="DF43" s="10"/>
      <c r="DH43" s="6"/>
      <c r="DJ43" s="4">
        <v>100</v>
      </c>
      <c r="DK43" s="5">
        <v>495.72967321288138</v>
      </c>
      <c r="DM43" s="10"/>
      <c r="DO43" s="6"/>
      <c r="DQ43" s="4"/>
      <c r="DT43" s="10"/>
      <c r="DV43" s="6"/>
      <c r="DX43" s="4"/>
      <c r="EA43" s="10"/>
      <c r="EC43" s="6"/>
      <c r="EE43" s="4"/>
      <c r="EH43" s="10"/>
      <c r="EJ43" s="6"/>
      <c r="EL43" s="4"/>
      <c r="EO43" s="10"/>
      <c r="EQ43" s="6"/>
    </row>
    <row r="44" spans="2:147" x14ac:dyDescent="0.4">
      <c r="B44" s="4">
        <v>200</v>
      </c>
      <c r="C44" s="10">
        <v>86830.5</v>
      </c>
      <c r="G44" s="6"/>
      <c r="I44" s="4">
        <v>200</v>
      </c>
      <c r="J44" s="5">
        <v>55315.814529834402</v>
      </c>
      <c r="N44" s="6"/>
      <c r="P44" s="4">
        <v>200</v>
      </c>
      <c r="Q44" s="5">
        <v>32750.596388323149</v>
      </c>
      <c r="U44" s="6"/>
      <c r="W44" s="4">
        <v>200</v>
      </c>
      <c r="X44" s="10">
        <v>14732.301012922126</v>
      </c>
      <c r="AB44" s="6"/>
      <c r="AD44" s="4"/>
      <c r="AI44" s="6"/>
      <c r="AK44" s="4"/>
      <c r="AP44" s="6"/>
      <c r="AR44" s="4"/>
      <c r="AW44" s="6"/>
      <c r="AY44" s="4"/>
      <c r="BD44" s="6"/>
      <c r="BF44" s="35"/>
      <c r="BG44" s="24"/>
      <c r="BH44" s="24"/>
      <c r="BI44" s="24"/>
      <c r="BJ44" s="24"/>
      <c r="BK44" s="36"/>
      <c r="BM44" s="4"/>
      <c r="BR44" s="6"/>
      <c r="BT44" s="4"/>
      <c r="BY44" s="6"/>
      <c r="CA44" s="4"/>
      <c r="CF44" s="6"/>
      <c r="CH44" s="4"/>
      <c r="CM44" s="6"/>
      <c r="CO44" s="4"/>
      <c r="CT44" s="6"/>
      <c r="CV44" s="4"/>
      <c r="DA44" s="6"/>
      <c r="DC44" s="4"/>
      <c r="DH44" s="6"/>
      <c r="DJ44" s="4"/>
      <c r="DO44" s="6"/>
      <c r="DQ44" s="4"/>
      <c r="DV44" s="6"/>
      <c r="DX44" s="4"/>
      <c r="EC44" s="6"/>
      <c r="EE44" s="4"/>
      <c r="EJ44" s="6"/>
      <c r="EL44" s="4"/>
      <c r="EQ44" s="6"/>
    </row>
    <row r="45" spans="2:147" x14ac:dyDescent="0.4">
      <c r="B45" s="4"/>
      <c r="G45" s="6"/>
      <c r="I45" s="4"/>
      <c r="N45" s="6"/>
      <c r="P45" s="4"/>
      <c r="U45" s="6"/>
      <c r="W45" s="4"/>
      <c r="AB45" s="6"/>
      <c r="AD45" s="4"/>
      <c r="AI45" s="6"/>
      <c r="AK45" s="4"/>
      <c r="AP45" s="6"/>
      <c r="AR45" s="4"/>
      <c r="AW45" s="6"/>
      <c r="AY45" s="4"/>
      <c r="BD45" s="6"/>
      <c r="BF45" s="35"/>
      <c r="BG45" s="24"/>
      <c r="BH45" s="24"/>
      <c r="BI45" s="24"/>
      <c r="BJ45" s="24"/>
      <c r="BK45" s="36"/>
      <c r="BM45" s="4"/>
      <c r="BR45" s="6"/>
      <c r="BT45" s="4"/>
      <c r="BY45" s="6"/>
      <c r="CA45" s="4"/>
      <c r="CF45" s="6"/>
      <c r="CH45" s="4"/>
      <c r="CM45" s="6"/>
      <c r="CO45" s="4"/>
      <c r="CT45" s="6"/>
      <c r="CV45" s="4"/>
      <c r="DA45" s="6"/>
      <c r="DC45" s="4"/>
      <c r="DH45" s="6"/>
      <c r="DJ45" s="4"/>
      <c r="DO45" s="6"/>
      <c r="DQ45" s="4"/>
      <c r="DV45" s="6"/>
      <c r="DX45" s="4"/>
      <c r="EC45" s="6"/>
      <c r="EE45" s="4"/>
      <c r="EJ45" s="6"/>
      <c r="EL45" s="4"/>
      <c r="EQ45" s="6"/>
    </row>
    <row r="46" spans="2:147" x14ac:dyDescent="0.4">
      <c r="B46" s="4">
        <v>12.7</v>
      </c>
      <c r="C46" s="5">
        <v>2545.3726359999991</v>
      </c>
      <c r="G46" s="6"/>
      <c r="I46" s="4"/>
      <c r="N46" s="6"/>
      <c r="P46" s="4"/>
      <c r="U46" s="6"/>
      <c r="W46" s="4"/>
      <c r="AB46" s="6"/>
      <c r="AD46" s="4"/>
      <c r="AI46" s="6"/>
      <c r="AK46" s="4"/>
      <c r="AP46" s="6"/>
      <c r="AR46" s="4"/>
      <c r="AW46" s="6"/>
      <c r="AY46" s="4"/>
      <c r="BD46" s="6"/>
      <c r="BF46" s="35"/>
      <c r="BG46" s="24"/>
      <c r="BH46" s="24"/>
      <c r="BI46" s="24"/>
      <c r="BJ46" s="24"/>
      <c r="BK46" s="36"/>
      <c r="BM46" s="4"/>
      <c r="BR46" s="6"/>
      <c r="BT46" s="4"/>
      <c r="BY46" s="6"/>
      <c r="CA46" s="4"/>
      <c r="CF46" s="6"/>
      <c r="CH46" s="4"/>
      <c r="CM46" s="6"/>
      <c r="CO46" s="4"/>
      <c r="CT46" s="6"/>
      <c r="CV46" s="4"/>
      <c r="DA46" s="6"/>
      <c r="DC46" s="4" t="s">
        <v>31</v>
      </c>
      <c r="DH46" s="6"/>
      <c r="DJ46" s="4"/>
      <c r="DO46" s="6"/>
      <c r="DQ46" s="4"/>
      <c r="DV46" s="6"/>
      <c r="DX46" s="4"/>
      <c r="EC46" s="6"/>
      <c r="EE46" s="4"/>
      <c r="EJ46" s="6"/>
      <c r="EL46" s="4"/>
      <c r="EQ46" s="6"/>
    </row>
    <row r="47" spans="2:147" x14ac:dyDescent="0.4">
      <c r="B47" s="4">
        <v>12.8</v>
      </c>
      <c r="C47" s="5">
        <v>2593.5850560000008</v>
      </c>
      <c r="G47" s="6"/>
      <c r="I47" s="4"/>
      <c r="N47" s="6"/>
      <c r="P47" s="4"/>
      <c r="U47" s="6"/>
      <c r="W47" s="4"/>
      <c r="AB47" s="6"/>
      <c r="AD47" s="4"/>
      <c r="AI47" s="6"/>
      <c r="AK47" s="4"/>
      <c r="AP47" s="6"/>
      <c r="AR47" s="4"/>
      <c r="AW47" s="6"/>
      <c r="AY47" s="4"/>
      <c r="BD47" s="6"/>
      <c r="BF47" s="35"/>
      <c r="BG47" s="24"/>
      <c r="BH47" s="24"/>
      <c r="BI47" s="24"/>
      <c r="BJ47" s="24"/>
      <c r="BK47" s="36"/>
      <c r="BM47" s="4"/>
      <c r="BR47" s="6"/>
      <c r="BT47" s="4"/>
      <c r="BY47" s="6"/>
      <c r="CA47" s="4"/>
      <c r="CF47" s="6"/>
      <c r="CH47" s="4"/>
      <c r="CM47" s="6"/>
      <c r="CO47" s="4"/>
      <c r="CT47" s="6"/>
      <c r="CV47" s="4"/>
      <c r="DA47" s="6"/>
      <c r="DC47" s="4">
        <f>2.79+DF2*DD6^(-DF3)</f>
        <v>7.7031944444444438</v>
      </c>
      <c r="DD47" s="5">
        <f>4*(DD10/DD6*DF4)</f>
        <v>11431.666666666668</v>
      </c>
      <c r="DH47" s="6"/>
      <c r="DJ47" s="4"/>
      <c r="DO47" s="6"/>
      <c r="DQ47" s="4"/>
      <c r="DV47" s="6"/>
      <c r="DX47" s="4"/>
      <c r="EC47" s="6"/>
      <c r="EE47" s="4"/>
      <c r="EJ47" s="6"/>
      <c r="EL47" s="4"/>
      <c r="EQ47" s="6"/>
    </row>
    <row r="48" spans="2:147" x14ac:dyDescent="0.4">
      <c r="B48" s="4" t="s">
        <v>32</v>
      </c>
      <c r="C48" s="5">
        <f>C47-C46</f>
        <v>48.212420000001657</v>
      </c>
      <c r="G48" s="6"/>
      <c r="I48" s="4"/>
      <c r="N48" s="6"/>
      <c r="P48" s="4"/>
      <c r="U48" s="6"/>
      <c r="W48" s="4"/>
      <c r="AB48" s="6"/>
      <c r="AD48" s="4"/>
      <c r="AI48" s="6"/>
      <c r="AK48" s="4"/>
      <c r="AP48" s="6"/>
      <c r="AR48" s="4"/>
      <c r="AW48" s="6"/>
      <c r="AY48" s="4"/>
      <c r="BD48" s="6"/>
      <c r="BF48" s="35"/>
      <c r="BG48" s="24"/>
      <c r="BH48" s="24"/>
      <c r="BI48" s="24"/>
      <c r="BJ48" s="24"/>
      <c r="BK48" s="36"/>
      <c r="BM48" s="4"/>
      <c r="BR48" s="6"/>
      <c r="BT48" s="4"/>
      <c r="BY48" s="6"/>
      <c r="CA48" s="4"/>
      <c r="CF48" s="6"/>
      <c r="CH48" s="4"/>
      <c r="CM48" s="6"/>
      <c r="CO48" s="4"/>
      <c r="CT48" s="6"/>
      <c r="CV48" s="4"/>
      <c r="DA48" s="6"/>
      <c r="DC48" s="4"/>
      <c r="DH48" s="6"/>
      <c r="DJ48" s="4"/>
      <c r="DO48" s="6"/>
      <c r="DQ48" s="4"/>
      <c r="DV48" s="6"/>
      <c r="DX48" s="4"/>
      <c r="EC48" s="6"/>
      <c r="EE48" s="4"/>
      <c r="EJ48" s="6"/>
      <c r="EL48" s="4"/>
      <c r="EQ48" s="6"/>
    </row>
    <row r="49" spans="2:147" x14ac:dyDescent="0.4">
      <c r="B49" s="4"/>
      <c r="G49" s="6"/>
      <c r="I49" s="4"/>
      <c r="N49" s="6"/>
      <c r="P49" s="4"/>
      <c r="U49" s="6"/>
      <c r="W49" s="4"/>
      <c r="AB49" s="6"/>
      <c r="AD49" s="4"/>
      <c r="AI49" s="6"/>
      <c r="AK49" s="4"/>
      <c r="AP49" s="6"/>
      <c r="AR49" s="4"/>
      <c r="AW49" s="6"/>
      <c r="AY49" s="4"/>
      <c r="BD49" s="6"/>
      <c r="BF49" s="35"/>
      <c r="BG49" s="24"/>
      <c r="BH49" s="24"/>
      <c r="BI49" s="24"/>
      <c r="BJ49" s="24"/>
      <c r="BK49" s="36"/>
      <c r="BM49" s="4"/>
      <c r="BR49" s="6"/>
      <c r="BT49" s="4"/>
      <c r="BY49" s="6"/>
      <c r="CA49" s="4"/>
      <c r="CF49" s="6"/>
      <c r="CH49" s="4"/>
      <c r="CM49" s="6"/>
      <c r="CO49" s="4"/>
      <c r="CT49" s="6"/>
      <c r="CV49" s="4"/>
      <c r="DA49" s="6"/>
      <c r="DC49" s="4"/>
      <c r="DH49" s="6"/>
      <c r="DJ49" s="4"/>
      <c r="DO49" s="6"/>
      <c r="DQ49" s="4"/>
      <c r="DV49" s="6"/>
      <c r="DX49" s="4"/>
      <c r="EC49" s="6"/>
      <c r="EE49" s="4"/>
      <c r="EJ49" s="6"/>
      <c r="EL49" s="4"/>
      <c r="EQ49" s="6"/>
    </row>
    <row r="50" spans="2:147" x14ac:dyDescent="0.4">
      <c r="B50" s="4">
        <v>199.9</v>
      </c>
      <c r="C50" s="5">
        <v>86788.712284000008</v>
      </c>
      <c r="G50" s="6"/>
      <c r="I50" s="4"/>
      <c r="N50" s="6"/>
      <c r="P50" s="4"/>
      <c r="U50" s="6"/>
      <c r="W50" s="4"/>
      <c r="AB50" s="6"/>
      <c r="AD50" s="4"/>
      <c r="AI50" s="6"/>
      <c r="AK50" s="4"/>
      <c r="AP50" s="6"/>
      <c r="AR50" s="4"/>
      <c r="AW50" s="6"/>
      <c r="AY50" s="4"/>
      <c r="BD50" s="6"/>
      <c r="BF50" s="35"/>
      <c r="BG50" s="24"/>
      <c r="BH50" s="24"/>
      <c r="BI50" s="24"/>
      <c r="BJ50" s="24"/>
      <c r="BK50" s="36"/>
      <c r="BM50" s="4"/>
      <c r="BR50" s="6"/>
      <c r="BT50" s="4"/>
      <c r="BY50" s="6"/>
      <c r="CA50" s="4"/>
      <c r="CF50" s="6"/>
      <c r="CH50" s="4"/>
      <c r="CM50" s="6"/>
      <c r="CO50" s="4"/>
      <c r="CT50" s="6"/>
      <c r="CV50" s="4"/>
      <c r="DA50" s="6"/>
      <c r="DC50" s="4" t="s">
        <v>11</v>
      </c>
      <c r="DD50" s="5">
        <v>12</v>
      </c>
      <c r="DH50" s="6"/>
      <c r="DJ50" s="4"/>
      <c r="DO50" s="6"/>
      <c r="DQ50" s="4"/>
      <c r="DV50" s="6"/>
      <c r="DX50" s="4"/>
      <c r="EC50" s="6"/>
      <c r="EE50" s="4"/>
      <c r="EJ50" s="6"/>
      <c r="EL50" s="4"/>
      <c r="EQ50" s="6"/>
    </row>
    <row r="51" spans="2:147" x14ac:dyDescent="0.4">
      <c r="B51" s="4">
        <v>200</v>
      </c>
      <c r="C51" s="5">
        <v>86830.5</v>
      </c>
      <c r="G51" s="6"/>
      <c r="I51" s="4"/>
      <c r="N51" s="6"/>
      <c r="P51" s="4"/>
      <c r="U51" s="6"/>
      <c r="W51" s="4"/>
      <c r="AB51" s="6"/>
      <c r="AD51" s="4"/>
      <c r="AI51" s="6"/>
      <c r="AK51" s="4"/>
      <c r="AP51" s="6"/>
      <c r="AR51" s="4"/>
      <c r="AW51" s="6"/>
      <c r="AY51" s="4"/>
      <c r="BD51" s="6"/>
      <c r="BF51" s="35"/>
      <c r="BG51" s="24"/>
      <c r="BH51" s="24"/>
      <c r="BI51" s="24"/>
      <c r="BJ51" s="24"/>
      <c r="BK51" s="36"/>
      <c r="BM51" s="4"/>
      <c r="BR51" s="6"/>
      <c r="BT51" s="4"/>
      <c r="BY51" s="6"/>
      <c r="CA51" s="4"/>
      <c r="CF51" s="6"/>
      <c r="CH51" s="4"/>
      <c r="CM51" s="6"/>
      <c r="CO51" s="4"/>
      <c r="CT51" s="6"/>
      <c r="CV51" s="4"/>
      <c r="DA51" s="6"/>
      <c r="DC51" s="4" t="s">
        <v>12</v>
      </c>
      <c r="DD51" s="27">
        <v>123</v>
      </c>
      <c r="DH51" s="6"/>
      <c r="DJ51" s="4"/>
      <c r="DO51" s="6"/>
      <c r="DQ51" s="4"/>
      <c r="DV51" s="6"/>
      <c r="DX51" s="4"/>
      <c r="EC51" s="6"/>
      <c r="EE51" s="4"/>
      <c r="EJ51" s="6"/>
      <c r="EL51" s="4"/>
      <c r="EQ51" s="6"/>
    </row>
    <row r="52" spans="2:147" ht="19.5" thickBot="1" x14ac:dyDescent="0.45">
      <c r="B52" s="19" t="s">
        <v>32</v>
      </c>
      <c r="C52" s="21">
        <f>C51-C50</f>
        <v>41.787715999991633</v>
      </c>
      <c r="D52" s="21"/>
      <c r="E52" s="21"/>
      <c r="F52" s="21"/>
      <c r="G52" s="22"/>
      <c r="I52" s="19"/>
      <c r="J52" s="21"/>
      <c r="K52" s="21"/>
      <c r="L52" s="21"/>
      <c r="M52" s="21"/>
      <c r="N52" s="22"/>
      <c r="P52" s="19"/>
      <c r="Q52" s="21"/>
      <c r="R52" s="21"/>
      <c r="S52" s="21"/>
      <c r="T52" s="21"/>
      <c r="U52" s="22"/>
      <c r="W52" s="19"/>
      <c r="X52" s="21"/>
      <c r="Y52" s="21"/>
      <c r="Z52" s="21"/>
      <c r="AA52" s="21"/>
      <c r="AB52" s="22"/>
      <c r="AD52" s="19"/>
      <c r="AE52" s="21"/>
      <c r="AF52" s="21"/>
      <c r="AG52" s="21"/>
      <c r="AH52" s="21"/>
      <c r="AI52" s="22"/>
      <c r="AK52" s="19"/>
      <c r="AL52" s="21"/>
      <c r="AM52" s="21"/>
      <c r="AN52" s="21"/>
      <c r="AO52" s="21"/>
      <c r="AP52" s="22"/>
      <c r="AR52" s="19"/>
      <c r="AS52" s="21"/>
      <c r="AT52" s="21"/>
      <c r="AU52" s="21"/>
      <c r="AV52" s="21"/>
      <c r="AW52" s="22"/>
      <c r="AY52" s="19"/>
      <c r="AZ52" s="21"/>
      <c r="BA52" s="21"/>
      <c r="BB52" s="21"/>
      <c r="BC52" s="21"/>
      <c r="BD52" s="22"/>
      <c r="BF52" s="39"/>
      <c r="BG52" s="40"/>
      <c r="BH52" s="40"/>
      <c r="BI52" s="40"/>
      <c r="BJ52" s="40"/>
      <c r="BK52" s="41"/>
      <c r="BM52" s="19"/>
      <c r="BN52" s="21"/>
      <c r="BO52" s="21"/>
      <c r="BP52" s="21"/>
      <c r="BQ52" s="21"/>
      <c r="BR52" s="22"/>
      <c r="BT52" s="19"/>
      <c r="BU52" s="21"/>
      <c r="BV52" s="21"/>
      <c r="BW52" s="21"/>
      <c r="BX52" s="21"/>
      <c r="BY52" s="22"/>
      <c r="CA52" s="19"/>
      <c r="CB52" s="21"/>
      <c r="CC52" s="21"/>
      <c r="CD52" s="21"/>
      <c r="CE52" s="21"/>
      <c r="CF52" s="22"/>
      <c r="CH52" s="19"/>
      <c r="CI52" s="21"/>
      <c r="CJ52" s="21"/>
      <c r="CK52" s="21"/>
      <c r="CL52" s="21"/>
      <c r="CM52" s="22"/>
      <c r="CO52" s="19"/>
      <c r="CP52" s="21"/>
      <c r="CQ52" s="21"/>
      <c r="CR52" s="21"/>
      <c r="CS52" s="21"/>
      <c r="CT52" s="22"/>
      <c r="CV52" s="19"/>
      <c r="CW52" s="21"/>
      <c r="CX52" s="21"/>
      <c r="CY52" s="21"/>
      <c r="CZ52" s="21"/>
      <c r="DA52" s="22"/>
      <c r="DC52" s="4"/>
      <c r="DD52" s="5" t="s">
        <v>13</v>
      </c>
      <c r="DE52" s="5" t="s">
        <v>14</v>
      </c>
      <c r="DF52" s="5" t="s">
        <v>15</v>
      </c>
      <c r="DG52" s="5" t="s">
        <v>16</v>
      </c>
      <c r="DH52" s="6" t="s">
        <v>17</v>
      </c>
      <c r="DJ52" s="4"/>
      <c r="DO52" s="6"/>
      <c r="DQ52" s="4"/>
      <c r="DV52" s="6"/>
      <c r="DX52" s="4"/>
      <c r="EC52" s="6"/>
      <c r="EE52" s="4"/>
      <c r="EJ52" s="6"/>
      <c r="EL52" s="4"/>
      <c r="EQ52" s="6"/>
    </row>
    <row r="53" spans="2:147" x14ac:dyDescent="0.4">
      <c r="DC53" s="4"/>
      <c r="DD53" s="5">
        <f>DD54/DD50</f>
        <v>7.916666666666667</v>
      </c>
      <c r="DE53" s="5">
        <f>2.79+DF2*(DD50^(-DF3))-DD51</f>
        <v>-115.29680555555555</v>
      </c>
      <c r="DF53" s="5">
        <f>DF4</f>
        <v>361</v>
      </c>
      <c r="DH53" s="6"/>
      <c r="DJ53" s="4"/>
      <c r="DO53" s="6"/>
      <c r="DQ53" s="4"/>
      <c r="DV53" s="6"/>
      <c r="DX53" s="4"/>
      <c r="EC53" s="6"/>
      <c r="EE53" s="4"/>
      <c r="EJ53" s="6"/>
      <c r="EL53" s="4"/>
      <c r="EQ53" s="6"/>
    </row>
    <row r="54" spans="2:147" ht="19.5" thickBot="1" x14ac:dyDescent="0.45">
      <c r="DC54" s="4" t="s">
        <v>18</v>
      </c>
      <c r="DD54" s="5">
        <v>95</v>
      </c>
      <c r="DH54" s="6"/>
      <c r="DJ54" s="19"/>
      <c r="DK54" s="21"/>
      <c r="DL54" s="21"/>
      <c r="DM54" s="21"/>
      <c r="DN54" s="21"/>
      <c r="DO54" s="22"/>
      <c r="DQ54" s="19"/>
      <c r="DR54" s="21"/>
      <c r="DS54" s="21"/>
      <c r="DT54" s="21"/>
      <c r="DU54" s="21"/>
      <c r="DV54" s="22"/>
      <c r="DX54" s="19"/>
      <c r="DY54" s="21"/>
      <c r="DZ54" s="21"/>
      <c r="EA54" s="21"/>
      <c r="EB54" s="21"/>
      <c r="EC54" s="22"/>
      <c r="EE54" s="19"/>
      <c r="EF54" s="21"/>
      <c r="EG54" s="21"/>
      <c r="EH54" s="21"/>
      <c r="EI54" s="21"/>
      <c r="EJ54" s="22"/>
      <c r="EL54" s="19"/>
      <c r="EM54" s="21"/>
      <c r="EN54" s="21"/>
      <c r="EO54" s="21"/>
      <c r="EP54" s="21"/>
      <c r="EQ54" s="22"/>
    </row>
    <row r="55" spans="2:147" x14ac:dyDescent="0.4">
      <c r="DC55" s="4" t="s">
        <v>19</v>
      </c>
      <c r="DD55" s="5">
        <f>(-DE53+(DE53^2+4*DD53*DF53))^0.5/(2*DD53)</f>
        <v>9.9541965223897293</v>
      </c>
      <c r="DH55" s="6"/>
    </row>
    <row r="56" spans="2:147" x14ac:dyDescent="0.4">
      <c r="DC56" s="4"/>
      <c r="DH56" s="6"/>
    </row>
    <row r="57" spans="2:147" x14ac:dyDescent="0.4">
      <c r="DC57" s="4" t="s">
        <v>19</v>
      </c>
      <c r="DD57" s="5">
        <f>ROUND(DD55,1)</f>
        <v>10</v>
      </c>
      <c r="DH57" s="6"/>
    </row>
    <row r="58" spans="2:147" x14ac:dyDescent="0.4">
      <c r="DC58" s="4"/>
      <c r="DH58" s="6"/>
    </row>
    <row r="59" spans="2:147" x14ac:dyDescent="0.4">
      <c r="DC59" s="4"/>
      <c r="DD59" s="5" t="s">
        <v>13</v>
      </c>
      <c r="DE59" s="5" t="s">
        <v>14</v>
      </c>
      <c r="DF59" s="5" t="s">
        <v>15</v>
      </c>
      <c r="DG59" s="5" t="s">
        <v>20</v>
      </c>
      <c r="DH59" s="6" t="s">
        <v>21</v>
      </c>
    </row>
    <row r="60" spans="2:147" x14ac:dyDescent="0.4">
      <c r="DC60" s="4"/>
      <c r="DD60" s="5">
        <f>DD54*DD57/DD50</f>
        <v>79.166666666666671</v>
      </c>
      <c r="DE60" s="5">
        <v>2.79</v>
      </c>
      <c r="DF60" s="5">
        <f>DF2*(DD50^(-DF3))</f>
        <v>4.9131944444444438</v>
      </c>
      <c r="DG60" s="5">
        <f>DF4/DD57</f>
        <v>36.1</v>
      </c>
      <c r="DH60" s="6"/>
    </row>
    <row r="61" spans="2:147" x14ac:dyDescent="0.4">
      <c r="DC61" s="4"/>
      <c r="DH61" s="6"/>
    </row>
    <row r="62" spans="2:147" ht="19.5" thickBot="1" x14ac:dyDescent="0.45">
      <c r="DC62" s="19" t="s">
        <v>22</v>
      </c>
      <c r="DD62" s="23">
        <f>DD60+DE60+DF60+DG60</f>
        <v>122.96986111111113</v>
      </c>
      <c r="DE62" s="21"/>
      <c r="DF62" s="21"/>
      <c r="DG62" s="21"/>
      <c r="DH62" s="22"/>
    </row>
  </sheetData>
  <phoneticPr fontId="2"/>
  <dataValidations count="1">
    <dataValidation type="custom" allowBlank="1" showInputMessage="1" showErrorMessage="1" errorTitle="Min/Max値の異常" error="値は12.7以上100未満にしてください" sqref="C13" xr:uid="{C8764641-42EA-41A7-8DFD-1AF5102D45C7}">
      <formula1>AND(C28&gt;=12.7, C28&lt;100)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45C67-CFC3-465C-903C-CFDB2DA3B1BE}">
  <sheetPr>
    <tabColor rgb="FFFFFF00"/>
  </sheetPr>
  <dimension ref="A1:D7"/>
  <sheetViews>
    <sheetView workbookViewId="0">
      <selection activeCell="A3" sqref="A3:A7"/>
    </sheetView>
  </sheetViews>
  <sheetFormatPr defaultRowHeight="18.75" x14ac:dyDescent="0.4"/>
  <sheetData>
    <row r="1" spans="1:4" x14ac:dyDescent="0.4">
      <c r="A1" s="25">
        <v>0.61499999999999999</v>
      </c>
      <c r="B1" s="25" t="s">
        <v>43</v>
      </c>
      <c r="C1" s="25"/>
      <c r="D1" s="25"/>
    </row>
    <row r="2" spans="1:4" x14ac:dyDescent="0.4">
      <c r="A2" s="25"/>
      <c r="B2" s="25"/>
      <c r="C2" s="25"/>
      <c r="D2" s="25"/>
    </row>
    <row r="3" spans="1:4" x14ac:dyDescent="0.4">
      <c r="A3" s="25" t="s">
        <v>44</v>
      </c>
      <c r="B3" s="25" t="s">
        <v>45</v>
      </c>
      <c r="C3" s="25" t="s">
        <v>46</v>
      </c>
      <c r="D3" s="25" t="s">
        <v>47</v>
      </c>
    </row>
    <row r="4" spans="1:4" x14ac:dyDescent="0.4">
      <c r="A4" s="25">
        <f>計算ツール!F36</f>
        <v>30</v>
      </c>
      <c r="B4" s="25">
        <f>C4/A4</f>
        <v>108.40108401084011</v>
      </c>
      <c r="C4" s="25">
        <f>D4/A1*1000</f>
        <v>3252.0325203252032</v>
      </c>
      <c r="D4" s="25">
        <f>計算ツール!F35</f>
        <v>2</v>
      </c>
    </row>
    <row r="6" spans="1:4" x14ac:dyDescent="0.4">
      <c r="A6" s="25" t="s">
        <v>64</v>
      </c>
    </row>
    <row r="7" spans="1:4" x14ac:dyDescent="0.4">
      <c r="A7" s="25">
        <f>SQRT(計算ツール!F29*1000/A1)</f>
        <v>57.026594851220104</v>
      </c>
    </row>
  </sheetData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29</vt:i4>
      </vt:variant>
    </vt:vector>
  </HeadingPairs>
  <TitlesOfParts>
    <vt:vector size="33" baseType="lpstr">
      <vt:lpstr>計算ツール</vt:lpstr>
      <vt:lpstr>隠しデータシート</vt:lpstr>
      <vt:lpstr>隠し抵抗計算</vt:lpstr>
      <vt:lpstr>隠し容量計算</vt:lpstr>
      <vt:lpstr>MainCategories</vt:lpstr>
      <vt:lpstr>ResultsRH</vt:lpstr>
      <vt:lpstr>ResultsRHHV</vt:lpstr>
      <vt:lpstr>ResultsRHNV</vt:lpstr>
      <vt:lpstr>ResultsRN</vt:lpstr>
      <vt:lpstr>ResultsRNHV</vt:lpstr>
      <vt:lpstr>ResultsRR</vt:lpstr>
      <vt:lpstr>ResultsRRH</vt:lpstr>
      <vt:lpstr>ResultsRRHHV</vt:lpstr>
      <vt:lpstr>ResultsRRHNV</vt:lpstr>
      <vt:lpstr>ResultsRRN</vt:lpstr>
      <vt:lpstr>ResultsRRNHV</vt:lpstr>
      <vt:lpstr>ResultsRRR</vt:lpstr>
      <vt:lpstr>ResultsRRRH</vt:lpstr>
      <vt:lpstr>ResultsRRRHHV</vt:lpstr>
      <vt:lpstr>ResultsRRRHNV</vt:lpstr>
      <vt:lpstr>ResultsRRRN</vt:lpstr>
      <vt:lpstr>ResultsRRRNHV</vt:lpstr>
      <vt:lpstr>ResultsRRRR</vt:lpstr>
      <vt:lpstr>ResultsRRRS</vt:lpstr>
      <vt:lpstr>ResultsRRS</vt:lpstr>
      <vt:lpstr>ResultsRS</vt:lpstr>
      <vt:lpstr>RH</vt:lpstr>
      <vt:lpstr>RHHV</vt:lpstr>
      <vt:lpstr>RHNV</vt:lpstr>
      <vt:lpstr>RN</vt:lpstr>
      <vt:lpstr>RNHV</vt:lpstr>
      <vt:lpstr>RR</vt:lpstr>
      <vt:lpstr>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2025-08-08T07:44:13Z</dcterms:created>
  <dcterms:modified xsi:type="dcterms:W3CDTF">2025-08-08T08:00:01Z</dcterms:modified>
</cp:coreProperties>
</file>