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showInkAnnotation="0" codeName="ThisWorkbook" autoCompressPictures="0"/>
  <mc:AlternateContent xmlns:mc="http://schemas.openxmlformats.org/markup-compatibility/2006">
    <mc:Choice Requires="x15">
      <x15ac:absPath xmlns:x15ac="http://schemas.microsoft.com/office/spreadsheetml/2010/11/ac" url="/Users/ipatel/Downloads/"/>
    </mc:Choice>
  </mc:AlternateContent>
  <xr:revisionPtr revIDLastSave="0" documentId="13_ncr:1_{387B267F-927D-9445-B243-A252C216675D}" xr6:coauthVersionLast="46" xr6:coauthVersionMax="46" xr10:uidLastSave="{00000000-0000-0000-0000-000000000000}"/>
  <workbookProtection workbookAlgorithmName="SHA-512" workbookHashValue="cQi9OHxX7aThIsDxhmrEc1XwIdupBhy395zfNP5mCFzw8lspop8xhYFSsmA46nsd4HyHXsBXe9mfh/K4DSnt2Q==" workbookSaltValue="1li6kFHOVHMHkcqDGXOoqg==" workbookSpinCount="100000" lockStructure="1"/>
  <bookViews>
    <workbookView xWindow="0" yWindow="0" windowWidth="28800" windowHeight="18000" tabRatio="723" activeTab="7" xr2:uid="{00000000-000D-0000-FFFF-FFFF00000000}"/>
  </bookViews>
  <sheets>
    <sheet name="Start" sheetId="6" r:id="rId1"/>
    <sheet name="Steps &amp; Rubric" sheetId="18" r:id="rId2"/>
    <sheet name="Beg TB" sheetId="2" r:id="rId3"/>
    <sheet name="Trx" sheetId="10" r:id="rId4"/>
    <sheet name="JEs" sheetId="11" r:id="rId5"/>
    <sheet name="Ledger" sheetId="8" r:id="rId6"/>
    <sheet name="Adj TB" sheetId="13" r:id="rId7"/>
    <sheet name="IS" sheetId="3" r:id="rId8"/>
    <sheet name="BS" sheetId="4" r:id="rId9"/>
    <sheet name="Scratch Paper" sheetId="14" r:id="rId10"/>
    <sheet name="Grade" sheetId="15" state="hidden" r:id="rId11"/>
    <sheet name="Data" sheetId="12" state="hidden" r:id="rId12"/>
    <sheet name="Rubric" sheetId="17" state="hidden" r:id="rId13"/>
  </sheets>
  <definedNames>
    <definedName name="Account">Data!$A$2:$A$19</definedName>
    <definedName name="Beg_AccumDep">'Beg TB'!$AO$12</definedName>
    <definedName name="Beg_AP">'Beg TB'!$AO$13</definedName>
    <definedName name="Beg_AR">'Beg TB'!$AN$7</definedName>
    <definedName name="Beg_Cash">'Beg TB'!$AN$6</definedName>
    <definedName name="Beg_CS">'Beg TB'!$AO$15</definedName>
    <definedName name="Beg_Equip">'Beg TB'!$AN$11</definedName>
    <definedName name="Beg_Inv">'Beg TB'!$AN$10</definedName>
    <definedName name="Beg_PPd">'Beg TB'!$AN$9</definedName>
    <definedName name="Beg_RE">'Beg TB'!$AO$16</definedName>
    <definedName name="Beg_Supp">'Beg TB'!$AN$8</definedName>
    <definedName name="Beg_TaxPay">'Beg TB'!$AO$14</definedName>
    <definedName name="Chk_Assets">BS!$AP$35</definedName>
    <definedName name="Chk_NI">IS!$AP$28</definedName>
    <definedName name="Company">Start!$C$4</definedName>
    <definedName name="E_1">Trx!$AM$2</definedName>
    <definedName name="E_2">Trx!$AM$3</definedName>
    <definedName name="E_3">Trx!$AM$4</definedName>
    <definedName name="E_3a">Trx!$AM$5</definedName>
    <definedName name="E_4">Trx!$AM$6</definedName>
    <definedName name="E_5">Trx!$AM$7</definedName>
    <definedName name="E_6">Trx!$AM$8</definedName>
    <definedName name="E_7">Trx!$AM$9</definedName>
    <definedName name="E_8">Trx!$AM$10</definedName>
    <definedName name="E_A1">Trx!$AM$13</definedName>
    <definedName name="E_A2">Trx!$AM$14</definedName>
    <definedName name="E_A3">Trx!$AM$15</definedName>
    <definedName name="E_A4">Trx!$AM$16</definedName>
    <definedName name="E_Adj">Trx!$AM$12</definedName>
    <definedName name="E_C1">Trx!$AM$20</definedName>
    <definedName name="E_C2">Trx!$AM$21</definedName>
    <definedName name="E_C3">Trx!$AM$22</definedName>
    <definedName name="E_Close">Trx!$AM$19</definedName>
    <definedName name="E_Trx">Trx!$AM$1</definedName>
    <definedName name="Grs_Prft">IS!$AP$14</definedName>
    <definedName name="ID">Start!$C$3</definedName>
    <definedName name="ID_2">Start!$AM$5</definedName>
    <definedName name="Name">Start!$C$2</definedName>
    <definedName name="NewRent">'Beg TB'!$AQ$9</definedName>
    <definedName name="_xlnm.Print_Area" localSheetId="6">'Adj TB'!$A$1:$E$25</definedName>
    <definedName name="_xlnm.Print_Area" localSheetId="2">'Beg TB'!$A$1:$F$25</definedName>
    <definedName name="_xlnm.Print_Area" localSheetId="8">BS!$A$1:$D$38</definedName>
    <definedName name="_xlnm.Print_Area" localSheetId="7">IS!$A$1:$E$29</definedName>
    <definedName name="_xlnm.Print_Area" localSheetId="4">JEs!$A$1:$E$84</definedName>
    <definedName name="_xlnm.Print_Area" localSheetId="5">Ledger!$A$1:$E$35,Ledger!$A$37:$E$59,Ledger!$A$61:$E$90,Ledger!$A$92:$E$128,Ledger!$A$130:$E$156</definedName>
    <definedName name="_xlnm.Print_Area" localSheetId="0">Start!$A$1:$C$29</definedName>
    <definedName name="_xlnm.Print_Area" localSheetId="1">'Steps &amp; Rubric'!$A$1:$C$22</definedName>
    <definedName name="_xlnm.Print_Area" localSheetId="3">Trx!$A$1:$M$22</definedName>
    <definedName name="Tot_Curr_Assets">BS!$AP$19</definedName>
    <definedName name="Tot_Liab">BS!$AP$29</definedName>
    <definedName name="Tot_Op_Ex">IS!$AP$22</definedName>
    <definedName name="Tot_SE">BS!$AP$33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88" i="8" l="1"/>
  <c r="B89" i="8"/>
  <c r="D16" i="14"/>
  <c r="B12" i="14"/>
  <c r="B9" i="14"/>
  <c r="B10" i="14" s="1"/>
  <c r="C74" i="8"/>
  <c r="B145" i="8"/>
  <c r="B8" i="14"/>
  <c r="C41" i="8"/>
  <c r="B125" i="8"/>
  <c r="E32" i="11"/>
  <c r="D31" i="11"/>
  <c r="B115" i="8"/>
  <c r="C34" i="8"/>
  <c r="E30" i="11"/>
  <c r="D29" i="11"/>
  <c r="B6" i="14"/>
  <c r="B151" i="8"/>
  <c r="C16" i="8"/>
  <c r="D27" i="11"/>
  <c r="E28" i="11"/>
  <c r="C25" i="8"/>
  <c r="B14" i="8"/>
  <c r="C15" i="8"/>
  <c r="B39" i="8"/>
  <c r="E24" i="11"/>
  <c r="D23" i="11"/>
  <c r="C39" i="8"/>
  <c r="B121" i="8"/>
  <c r="E22" i="11"/>
  <c r="D21" i="11"/>
  <c r="C95" i="8"/>
  <c r="B13" i="8"/>
  <c r="B25" i="8"/>
  <c r="C46" i="8"/>
  <c r="B103" i="8"/>
  <c r="D19" i="11"/>
  <c r="D18" i="11"/>
  <c r="E20" i="11"/>
  <c r="E17" i="11"/>
  <c r="D16" i="11"/>
  <c r="C66" i="8"/>
  <c r="C14" i="8"/>
  <c r="B46" i="8"/>
  <c r="E15" i="11"/>
  <c r="E14" i="11"/>
  <c r="D13" i="11"/>
  <c r="C65" i="8"/>
  <c r="B31" i="8"/>
  <c r="C13" i="8"/>
  <c r="B65" i="8"/>
  <c r="C85" i="8"/>
  <c r="C80" i="8"/>
  <c r="C71" i="8"/>
  <c r="C64" i="8"/>
  <c r="C55" i="8"/>
  <c r="B50" i="8"/>
  <c r="B45" i="8"/>
  <c r="B38" i="8"/>
  <c r="B30" i="8"/>
  <c r="B24" i="8"/>
  <c r="C11" i="15"/>
  <c r="B12" i="15"/>
  <c r="E34" i="11" l="1"/>
  <c r="C58" i="8" s="1"/>
  <c r="D33" i="11"/>
  <c r="B135" i="8" s="1"/>
  <c r="C124" i="8"/>
  <c r="AR52" i="8" l="1"/>
  <c r="AR18" i="8"/>
  <c r="AR144" i="8" s="1"/>
  <c r="AR57" i="8" l="1"/>
  <c r="AR114" i="8"/>
  <c r="AR73" i="8"/>
  <c r="AR134" i="8"/>
  <c r="AW5" i="3"/>
  <c r="AY2" i="3"/>
  <c r="AY2" i="4"/>
  <c r="AX17" i="3" l="1"/>
  <c r="B10" i="15"/>
  <c r="B7" i="15"/>
  <c r="B8" i="15"/>
  <c r="B9" i="15"/>
  <c r="B6" i="15"/>
  <c r="B5" i="15"/>
  <c r="AS16" i="8"/>
  <c r="AP2" i="11"/>
  <c r="AX13" i="3"/>
  <c r="AX21" i="4"/>
  <c r="AT4" i="4"/>
  <c r="AX4" i="4" s="1"/>
  <c r="AS38" i="4"/>
  <c r="AS35" i="4"/>
  <c r="AS33" i="4"/>
  <c r="AS29" i="4"/>
  <c r="AS23" i="4"/>
  <c r="AS19" i="4"/>
  <c r="AU21" i="3"/>
  <c r="AU20" i="3"/>
  <c r="AT26" i="3"/>
  <c r="AT19" i="3"/>
  <c r="AT18" i="3"/>
  <c r="AT17" i="3"/>
  <c r="AU13" i="3"/>
  <c r="AU12" i="3"/>
  <c r="AT13" i="3"/>
  <c r="AT12" i="3"/>
  <c r="AS28" i="3"/>
  <c r="AS24" i="3"/>
  <c r="AS22" i="3"/>
  <c r="AS14" i="3"/>
  <c r="AT11" i="3" l="1"/>
  <c r="AS4" i="4"/>
  <c r="AS7" i="3" l="1"/>
  <c r="A2" i="15"/>
  <c r="B2" i="15"/>
  <c r="A19" i="15"/>
  <c r="AW2" i="4" l="1"/>
  <c r="AW2" i="3"/>
  <c r="AT26" i="4" l="1"/>
  <c r="AX13" i="4" l="1"/>
  <c r="AU13" i="4"/>
  <c r="AT13" i="4"/>
  <c r="AX33" i="4"/>
  <c r="D33" i="4"/>
  <c r="AT22" i="8" l="1"/>
  <c r="AV22" i="8" s="1"/>
  <c r="B19" i="18" l="1"/>
  <c r="AT32" i="4" l="1"/>
  <c r="AT31" i="4"/>
  <c r="AT27" i="4"/>
  <c r="AT15" i="4"/>
  <c r="AT14" i="4"/>
  <c r="B19" i="10" l="1"/>
  <c r="AU16" i="8"/>
  <c r="AR146" i="8"/>
  <c r="AR75" i="8"/>
  <c r="AR13" i="8"/>
  <c r="AT13" i="8" s="1"/>
  <c r="AN2" i="11"/>
  <c r="B14" i="10" l="1"/>
  <c r="AR106" i="8"/>
  <c r="AR98" i="8"/>
  <c r="AR27" i="8"/>
  <c r="AR33" i="8"/>
  <c r="AR68" i="8" l="1"/>
  <c r="AR47" i="8"/>
  <c r="C14" i="2"/>
  <c r="B22" i="10"/>
  <c r="B21" i="10"/>
  <c r="B20" i="10"/>
  <c r="B15" i="10"/>
  <c r="B10" i="10"/>
  <c r="B7" i="10"/>
  <c r="AO71" i="8" l="1"/>
  <c r="AQ71" i="8" s="1"/>
  <c r="AS8" i="4" l="1"/>
  <c r="AO73" i="8"/>
  <c r="AN144" i="8"/>
  <c r="C144" i="8"/>
  <c r="B144" i="8"/>
  <c r="AN134" i="8"/>
  <c r="C134" i="8"/>
  <c r="B134" i="8"/>
  <c r="AN114" i="8"/>
  <c r="C114" i="8"/>
  <c r="B114" i="8"/>
  <c r="C146" i="8" l="1"/>
  <c r="B146" i="8"/>
  <c r="B73" i="8"/>
  <c r="C73" i="8"/>
  <c r="AV8" i="4"/>
  <c r="AX8" i="4" s="1"/>
  <c r="AU7" i="3"/>
  <c r="AT7" i="3"/>
  <c r="AV7" i="3"/>
  <c r="AW7" i="3" s="1"/>
  <c r="AU26" i="3"/>
  <c r="AX26" i="3"/>
  <c r="AU18" i="3"/>
  <c r="AT3" i="3"/>
  <c r="AS3" i="3"/>
  <c r="AM11" i="4"/>
  <c r="AR11" i="4"/>
  <c r="AU8" i="4"/>
  <c r="AT8" i="4"/>
  <c r="AV4" i="4"/>
  <c r="AU4" i="4"/>
  <c r="AX28" i="3"/>
  <c r="AX24" i="3"/>
  <c r="AX22" i="3"/>
  <c r="AX14" i="3"/>
  <c r="AU28" i="4"/>
  <c r="E48" i="11" l="1"/>
  <c r="D47" i="11" s="1"/>
  <c r="C147" i="8"/>
  <c r="B148" i="8" s="1"/>
  <c r="B23" i="13"/>
  <c r="B26" i="3" s="1"/>
  <c r="C75" i="8"/>
  <c r="C14" i="13" s="1"/>
  <c r="B27" i="4" s="1"/>
  <c r="AU32" i="4"/>
  <c r="AU31" i="4"/>
  <c r="AU27" i="4"/>
  <c r="AU26" i="4"/>
  <c r="AU14" i="4"/>
  <c r="AU15" i="4"/>
  <c r="AU16" i="4"/>
  <c r="AW16" i="4" s="1"/>
  <c r="AU17" i="4"/>
  <c r="AU18" i="4"/>
  <c r="AU19" i="3"/>
  <c r="AU17" i="3"/>
  <c r="BB22" i="3"/>
  <c r="A30" i="15" s="1"/>
  <c r="AX19" i="3"/>
  <c r="AX18" i="3"/>
  <c r="AX12" i="3"/>
  <c r="BB23" i="3" l="1"/>
  <c r="A31" i="15" s="1"/>
  <c r="C148" i="8"/>
  <c r="AX39" i="4"/>
  <c r="AT18" i="4"/>
  <c r="AT17" i="4"/>
  <c r="AX38" i="4"/>
  <c r="AX37" i="4"/>
  <c r="AX35" i="4"/>
  <c r="AX29" i="4"/>
  <c r="AX23" i="4"/>
  <c r="AX19" i="4"/>
  <c r="AX32" i="4"/>
  <c r="AX31" i="4"/>
  <c r="AX27" i="4"/>
  <c r="AX26" i="4"/>
  <c r="AX14" i="4"/>
  <c r="AX15" i="4"/>
  <c r="AX17" i="4"/>
  <c r="AX18" i="4"/>
  <c r="B75" i="8"/>
  <c r="AN3" i="6"/>
  <c r="AN4" i="6" s="1"/>
  <c r="D3" i="12"/>
  <c r="AP11" i="2" s="1"/>
  <c r="D24" i="3"/>
  <c r="B38" i="4"/>
  <c r="AS37" i="4" l="1"/>
  <c r="BB27" i="4" s="1"/>
  <c r="A47" i="15" s="1"/>
  <c r="AM4" i="2"/>
  <c r="D11" i="2"/>
  <c r="D16" i="13"/>
  <c r="A4" i="13"/>
  <c r="AM3" i="6"/>
  <c r="AM4" i="6" s="1"/>
  <c r="AV3" i="6"/>
  <c r="AV4" i="6" s="1"/>
  <c r="AS3" i="6"/>
  <c r="AS4" i="6" s="1"/>
  <c r="AR3" i="6"/>
  <c r="AR4" i="6" s="1"/>
  <c r="AW3" i="6"/>
  <c r="AW4" i="6" s="1"/>
  <c r="AY3" i="6"/>
  <c r="AY4" i="6" s="1"/>
  <c r="AU3" i="6"/>
  <c r="AU4" i="6" s="1"/>
  <c r="AQ3" i="6"/>
  <c r="AQ4" i="6" s="1"/>
  <c r="AX3" i="6"/>
  <c r="AX4" i="6" s="1"/>
  <c r="AT3" i="6"/>
  <c r="AT4" i="6" s="1"/>
  <c r="AP3" i="6"/>
  <c r="AP4" i="6" s="1"/>
  <c r="AO3" i="6"/>
  <c r="AO4" i="6" s="1"/>
  <c r="AM5" i="6" l="1"/>
  <c r="AQ9" i="10" l="1"/>
  <c r="AN9" i="10" s="1"/>
  <c r="AN14" i="10"/>
  <c r="AM13" i="10" s="1"/>
  <c r="B13" i="10" s="1"/>
  <c r="AQ9" i="2" l="1"/>
  <c r="E9" i="2" s="1"/>
  <c r="AO9" i="10"/>
  <c r="AN10" i="10"/>
  <c r="AM6" i="10"/>
  <c r="B6" i="10" s="1"/>
  <c r="AN9" i="2" l="1"/>
  <c r="B9" i="2" s="1"/>
  <c r="AO7" i="10"/>
  <c r="AN7" i="10" s="1"/>
  <c r="AM8" i="10" s="1"/>
  <c r="B8" i="10" s="1"/>
  <c r="AR126" i="8"/>
  <c r="AR40" i="8"/>
  <c r="AP4" i="10"/>
  <c r="AM9" i="10"/>
  <c r="B9" i="10" s="1"/>
  <c r="AN11" i="2"/>
  <c r="AN15" i="10" l="1"/>
  <c r="AN4" i="10"/>
  <c r="AP9" i="10"/>
  <c r="B11" i="2"/>
  <c r="AN16" i="10"/>
  <c r="AP7" i="11"/>
  <c r="AR124" i="8"/>
  <c r="AO12" i="2"/>
  <c r="C12" i="2" s="1"/>
  <c r="AN7" i="2"/>
  <c r="B7" i="2" s="1"/>
  <c r="AO15" i="2"/>
  <c r="AN12" i="10" s="1"/>
  <c r="AM4" i="10"/>
  <c r="B4" i="10" s="1"/>
  <c r="AN10" i="2"/>
  <c r="B10" i="2" l="1"/>
  <c r="B47" i="8" s="1"/>
  <c r="AO13" i="2"/>
  <c r="AR59" i="8"/>
  <c r="AR136" i="8"/>
  <c r="AR42" i="8"/>
  <c r="AN153" i="8"/>
  <c r="AN154" i="8" s="1"/>
  <c r="AN17" i="13" s="1"/>
  <c r="C15" i="2"/>
  <c r="AN2" i="10" l="1"/>
  <c r="AN3" i="10" s="1"/>
  <c r="AN6" i="2"/>
  <c r="B6" i="2" s="1"/>
  <c r="B136" i="8"/>
  <c r="C136" i="8"/>
  <c r="B124" i="8"/>
  <c r="C126" i="8" s="1"/>
  <c r="AO155" i="8"/>
  <c r="AN89" i="8" s="1"/>
  <c r="C13" i="2"/>
  <c r="AM5" i="10"/>
  <c r="C5" i="10" s="1"/>
  <c r="D14" i="3"/>
  <c r="C137" i="8" l="1"/>
  <c r="E46" i="11"/>
  <c r="D45" i="11" s="1"/>
  <c r="B138" i="8"/>
  <c r="C138" i="8"/>
  <c r="B22" i="13"/>
  <c r="B19" i="3" s="1"/>
  <c r="B126" i="8"/>
  <c r="AN156" i="8"/>
  <c r="AR154" i="8"/>
  <c r="C127" i="8" l="1"/>
  <c r="E44" i="11"/>
  <c r="D43" i="11" s="1"/>
  <c r="B21" i="13"/>
  <c r="B18" i="3" s="1"/>
  <c r="C128" i="8"/>
  <c r="AR21" i="8"/>
  <c r="C154" i="8"/>
  <c r="B154" i="8"/>
  <c r="AM16" i="4"/>
  <c r="AW38" i="4"/>
  <c r="A32" i="15"/>
  <c r="H11" i="17"/>
  <c r="G11" i="17"/>
  <c r="AS5" i="13"/>
  <c r="G8" i="17"/>
  <c r="G14" i="17"/>
  <c r="H14" i="17"/>
  <c r="H8" i="17"/>
  <c r="AW21" i="3"/>
  <c r="AM32" i="4"/>
  <c r="AM31" i="4"/>
  <c r="AM28" i="4"/>
  <c r="AM27" i="4"/>
  <c r="AM26" i="4"/>
  <c r="AM18" i="4"/>
  <c r="AM17" i="4"/>
  <c r="AM15" i="4"/>
  <c r="AM13" i="4"/>
  <c r="AR10" i="3"/>
  <c r="AM10" i="3"/>
  <c r="AW20" i="3"/>
  <c r="AM17" i="3"/>
  <c r="AM18" i="3"/>
  <c r="AM19" i="3"/>
  <c r="AM20" i="3"/>
  <c r="AM21" i="3"/>
  <c r="AM13" i="3"/>
  <c r="AM12" i="3"/>
  <c r="G3" i="17"/>
  <c r="I3" i="17" s="1"/>
  <c r="H3" i="17"/>
  <c r="G4" i="17"/>
  <c r="H4" i="17"/>
  <c r="G5" i="17"/>
  <c r="H5" i="17"/>
  <c r="G6" i="17"/>
  <c r="I6" i="17" s="1"/>
  <c r="AQ2" i="13" s="1"/>
  <c r="H6" i="17"/>
  <c r="G7" i="17"/>
  <c r="H7" i="17"/>
  <c r="G9" i="17"/>
  <c r="H9" i="17"/>
  <c r="G10" i="17"/>
  <c r="H10" i="17"/>
  <c r="G12" i="17"/>
  <c r="H12" i="17"/>
  <c r="G13" i="17"/>
  <c r="H13" i="17"/>
  <c r="G15" i="17"/>
  <c r="H15" i="17"/>
  <c r="G16" i="17"/>
  <c r="H16" i="17"/>
  <c r="G17" i="17"/>
  <c r="H17" i="17"/>
  <c r="G18" i="17"/>
  <c r="H18" i="17"/>
  <c r="G19" i="17"/>
  <c r="H19" i="17"/>
  <c r="E50" i="11" l="1"/>
  <c r="D49" i="11" s="1"/>
  <c r="C155" i="8"/>
  <c r="B128" i="8"/>
  <c r="B156" i="8"/>
  <c r="B17" i="13"/>
  <c r="D18" i="14" s="1"/>
  <c r="C156" i="8"/>
  <c r="AS89" i="8"/>
  <c r="AT89" i="8" s="1"/>
  <c r="I15" i="17"/>
  <c r="I5" i="17"/>
  <c r="G1" i="17"/>
  <c r="I9" i="17"/>
  <c r="H1" i="17"/>
  <c r="C106" i="8"/>
  <c r="C98" i="8"/>
  <c r="B98" i="8"/>
  <c r="A9" i="4"/>
  <c r="A9" i="3"/>
  <c r="AM12" i="10"/>
  <c r="B12" i="10" s="1"/>
  <c r="AM1" i="10"/>
  <c r="B1" i="10" s="1"/>
  <c r="A4" i="2"/>
  <c r="D29" i="4"/>
  <c r="D35" i="4"/>
  <c r="D23" i="4"/>
  <c r="D19" i="4"/>
  <c r="D28" i="3"/>
  <c r="D22" i="3"/>
  <c r="C87" i="8" l="1"/>
  <c r="D37" i="11"/>
  <c r="E38" i="11" s="1"/>
  <c r="B99" i="8"/>
  <c r="AW28" i="4"/>
  <c r="C18" i="13"/>
  <c r="B12" i="3" s="1"/>
  <c r="AW37" i="4"/>
  <c r="B106" i="8"/>
  <c r="C107" i="8" l="1"/>
  <c r="E40" i="11"/>
  <c r="D39" i="11" s="1"/>
  <c r="B100" i="8"/>
  <c r="B19" i="13"/>
  <c r="B13" i="3" s="1"/>
  <c r="C14" i="3" s="1"/>
  <c r="B108" i="8"/>
  <c r="C108" i="8"/>
  <c r="C100" i="8"/>
  <c r="AT14" i="3" l="1"/>
  <c r="BB14" i="3" s="1"/>
  <c r="A22" i="15" s="1"/>
  <c r="AS87" i="8"/>
  <c r="AN14" i="8"/>
  <c r="AT87" i="8" l="1"/>
  <c r="AN15" i="8"/>
  <c r="A7" i="4"/>
  <c r="A2" i="4"/>
  <c r="A1" i="4"/>
  <c r="A1" i="3"/>
  <c r="AS32" i="4" l="1"/>
  <c r="AS31" i="4"/>
  <c r="AS17" i="4"/>
  <c r="AS15" i="4"/>
  <c r="AS18" i="4"/>
  <c r="AS13" i="4"/>
  <c r="AS26" i="4"/>
  <c r="AS14" i="4"/>
  <c r="AS27" i="4"/>
  <c r="AO25" i="8"/>
  <c r="A2" i="3"/>
  <c r="A7" i="3"/>
  <c r="AS18" i="3" l="1"/>
  <c r="AS19" i="3"/>
  <c r="AS26" i="3"/>
  <c r="AS17" i="3"/>
  <c r="AS12" i="3"/>
  <c r="AS13" i="3"/>
  <c r="AN35" i="8"/>
  <c r="AN8" i="13" s="1"/>
  <c r="AO95" i="8"/>
  <c r="AO15" i="4" l="1"/>
  <c r="AN25" i="8"/>
  <c r="AO98" i="8"/>
  <c r="AW14" i="3" l="1"/>
  <c r="AN99" i="8"/>
  <c r="AO87" i="8" s="1"/>
  <c r="AO18" i="13"/>
  <c r="AO12" i="3" l="1"/>
  <c r="AO100" i="8"/>
  <c r="AV12" i="3" l="1"/>
  <c r="BB12" i="3" s="1"/>
  <c r="A20" i="15" s="1"/>
  <c r="C52" i="8"/>
  <c r="B52" i="8"/>
  <c r="AN135" i="8"/>
  <c r="AN50" i="8"/>
  <c r="AQ50" i="8" s="1"/>
  <c r="B11" i="13" l="1"/>
  <c r="AO58" i="8"/>
  <c r="AN136" i="8"/>
  <c r="C57" i="8"/>
  <c r="B57" i="8"/>
  <c r="AN52" i="8"/>
  <c r="AN11" i="13" s="1"/>
  <c r="AN24" i="8"/>
  <c r="AQ24" i="8" s="1"/>
  <c r="AO55" i="8"/>
  <c r="AQ55" i="8" s="1"/>
  <c r="C59" i="8" l="1"/>
  <c r="C12" i="13" s="1"/>
  <c r="C21" i="4" s="1"/>
  <c r="AN22" i="13"/>
  <c r="AO18" i="3" s="1"/>
  <c r="AV18" i="3" s="1"/>
  <c r="AO137" i="8"/>
  <c r="AN138" i="8" s="1"/>
  <c r="B59" i="8"/>
  <c r="C40" i="8"/>
  <c r="B40" i="8"/>
  <c r="AN6" i="10"/>
  <c r="AO57" i="8"/>
  <c r="AO59" i="8" s="1"/>
  <c r="AO12" i="13" s="1"/>
  <c r="AP21" i="4" s="1"/>
  <c r="AN27" i="8"/>
  <c r="AN38" i="8"/>
  <c r="AQ38" i="8" s="1"/>
  <c r="AN8" i="2"/>
  <c r="AV21" i="4" l="1"/>
  <c r="BB16" i="3"/>
  <c r="A24" i="15" s="1"/>
  <c r="B8" i="2"/>
  <c r="B23" i="2" s="1"/>
  <c r="AO16" i="2"/>
  <c r="C16" i="2" s="1"/>
  <c r="AO39" i="8"/>
  <c r="AN121" i="8" s="1"/>
  <c r="AN124" i="8" s="1"/>
  <c r="B33" i="8"/>
  <c r="AP13" i="10"/>
  <c r="AP14" i="10" s="1"/>
  <c r="AN125" i="8"/>
  <c r="C27" i="8"/>
  <c r="C42" i="8"/>
  <c r="B42" i="8"/>
  <c r="B9" i="13" s="1"/>
  <c r="B16" i="4" s="1"/>
  <c r="B27" i="8"/>
  <c r="B7" i="13" s="1"/>
  <c r="B14" i="4" s="1"/>
  <c r="C68" i="8"/>
  <c r="C13" i="13" s="1"/>
  <c r="B26" i="4" s="1"/>
  <c r="C29" i="4" s="1"/>
  <c r="B68" i="8"/>
  <c r="AN7" i="13"/>
  <c r="AO64" i="8"/>
  <c r="AQ64" i="8" s="1"/>
  <c r="AN30" i="8"/>
  <c r="AQ30" i="8" s="1"/>
  <c r="BB19" i="4" l="1"/>
  <c r="A39" i="15" s="1"/>
  <c r="AR35" i="8"/>
  <c r="AT29" i="4"/>
  <c r="AW21" i="4"/>
  <c r="AO41" i="8"/>
  <c r="C33" i="8"/>
  <c r="B35" i="8" s="1"/>
  <c r="B8" i="13" s="1"/>
  <c r="AN115" i="8"/>
  <c r="C116" i="8"/>
  <c r="B116" i="8"/>
  <c r="C23" i="2"/>
  <c r="C86" i="8"/>
  <c r="C16" i="13" s="1"/>
  <c r="AN126" i="8"/>
  <c r="AN21" i="13" s="1"/>
  <c r="AO14" i="4"/>
  <c r="AV14" i="4" s="1"/>
  <c r="AM2" i="10"/>
  <c r="B2" i="10" s="1"/>
  <c r="AO13" i="8"/>
  <c r="AO17" i="8"/>
  <c r="AN39" i="8" s="1"/>
  <c r="C47" i="8"/>
  <c r="B10" i="13"/>
  <c r="B17" i="4" s="1"/>
  <c r="AN23" i="2"/>
  <c r="AN45" i="8"/>
  <c r="AQ45" i="8" s="1"/>
  <c r="AN46" i="8"/>
  <c r="AO46" i="8"/>
  <c r="AN105" i="8" s="1"/>
  <c r="E42" i="11" l="1"/>
  <c r="D41" i="11" s="1"/>
  <c r="D5" i="11" s="1"/>
  <c r="C117" i="8"/>
  <c r="AV15" i="4"/>
  <c r="BB15" i="4" s="1"/>
  <c r="B15" i="4"/>
  <c r="BB23" i="4"/>
  <c r="A43" i="15" s="1"/>
  <c r="AW29" i="4"/>
  <c r="C118" i="8"/>
  <c r="E5" i="11"/>
  <c r="AR116" i="8"/>
  <c r="BB14" i="4"/>
  <c r="A34" i="15" s="1"/>
  <c r="AW14" i="4"/>
  <c r="C35" i="8"/>
  <c r="AN116" i="8"/>
  <c r="AN40" i="8"/>
  <c r="AN67" i="8"/>
  <c r="B20" i="13"/>
  <c r="B17" i="3" s="1"/>
  <c r="C22" i="3" s="1"/>
  <c r="C24" i="3" s="1"/>
  <c r="C28" i="3" s="1"/>
  <c r="D17" i="14" s="1"/>
  <c r="D19" i="14" s="1"/>
  <c r="B32" i="4" s="1"/>
  <c r="B118" i="8"/>
  <c r="AS88" i="8" s="1"/>
  <c r="AO127" i="8"/>
  <c r="AN128" i="8" s="1"/>
  <c r="AM3" i="10"/>
  <c r="B3" i="10" s="1"/>
  <c r="AN31" i="8"/>
  <c r="AN106" i="8"/>
  <c r="AO107" i="8" s="1"/>
  <c r="AN108" i="8" s="1"/>
  <c r="B86" i="8"/>
  <c r="C90" i="8" s="1"/>
  <c r="AN12" i="8"/>
  <c r="B12" i="8"/>
  <c r="AO16" i="8"/>
  <c r="AO67" i="8"/>
  <c r="AN47" i="8"/>
  <c r="AN10" i="13" s="1"/>
  <c r="AO23" i="2"/>
  <c r="AO80" i="8"/>
  <c r="AQ80" i="8" s="1"/>
  <c r="AT88" i="8" l="1"/>
  <c r="AT91" i="8" s="1"/>
  <c r="AU91" i="8" s="1"/>
  <c r="AR4" i="8" s="1"/>
  <c r="A18" i="15" s="1"/>
  <c r="AS22" i="8"/>
  <c r="AU22" i="8" s="1"/>
  <c r="C8" i="15" s="1"/>
  <c r="D8" i="15" s="1"/>
  <c r="AW15" i="4"/>
  <c r="A35" i="15"/>
  <c r="AN20" i="13"/>
  <c r="AO117" i="8"/>
  <c r="AN118" i="8" s="1"/>
  <c r="AN7" i="11"/>
  <c r="AM7" i="11"/>
  <c r="AO17" i="3"/>
  <c r="AV17" i="3" s="1"/>
  <c r="BB15" i="3" s="1"/>
  <c r="AO18" i="4"/>
  <c r="AN19" i="13"/>
  <c r="AO66" i="8"/>
  <c r="AO68" i="8" s="1"/>
  <c r="AO13" i="13" s="1"/>
  <c r="AN33" i="8"/>
  <c r="AO34" i="8" s="1"/>
  <c r="B21" i="8"/>
  <c r="B6" i="13" s="1"/>
  <c r="B13" i="4" s="1"/>
  <c r="C19" i="4" s="1"/>
  <c r="C23" i="4" s="1"/>
  <c r="C21" i="8"/>
  <c r="AO18" i="8"/>
  <c r="C82" i="8"/>
  <c r="B82" i="8"/>
  <c r="B90" i="8"/>
  <c r="AO82" i="8"/>
  <c r="AO15" i="13" s="1"/>
  <c r="AO85" i="8"/>
  <c r="AQ85" i="8" s="1"/>
  <c r="AQ13" i="8" s="1"/>
  <c r="AS13" i="8" s="1"/>
  <c r="C6" i="15" l="1"/>
  <c r="AR2" i="8"/>
  <c r="A16" i="15" s="1"/>
  <c r="AR16" i="8"/>
  <c r="AT19" i="4"/>
  <c r="AV18" i="4"/>
  <c r="AW18" i="4" s="1"/>
  <c r="A23" i="15"/>
  <c r="AT22" i="3"/>
  <c r="AO7" i="11"/>
  <c r="C5" i="11"/>
  <c r="C15" i="13"/>
  <c r="AO26" i="4"/>
  <c r="AO31" i="4"/>
  <c r="AO13" i="3"/>
  <c r="AV13" i="3" s="1"/>
  <c r="BB13" i="3" s="1"/>
  <c r="B24" i="13"/>
  <c r="AO86" i="8"/>
  <c r="AO16" i="13" s="1"/>
  <c r="AN42" i="8"/>
  <c r="AN9" i="13" s="1"/>
  <c r="C24" i="13" l="1"/>
  <c r="B31" i="4"/>
  <c r="C33" i="4" s="1"/>
  <c r="C35" i="4" s="1"/>
  <c r="AV26" i="4"/>
  <c r="BB21" i="4" s="1"/>
  <c r="D6" i="15"/>
  <c r="AQ7" i="11"/>
  <c r="AQ2" i="11" s="1"/>
  <c r="A15" i="15" s="1"/>
  <c r="AM2" i="11"/>
  <c r="AO2" i="11" s="1"/>
  <c r="C5" i="15" s="1"/>
  <c r="AT16" i="8"/>
  <c r="C7" i="15" s="1"/>
  <c r="D7" i="15" s="1"/>
  <c r="AT18" i="8"/>
  <c r="AR3" i="8" s="1"/>
  <c r="A17" i="15" s="1"/>
  <c r="BB17" i="4"/>
  <c r="A37" i="15" s="1"/>
  <c r="AP14" i="3"/>
  <c r="C30" i="3" s="1"/>
  <c r="AV31" i="4"/>
  <c r="AT24" i="3"/>
  <c r="AT23" i="4"/>
  <c r="C25" i="13"/>
  <c r="AO17" i="4"/>
  <c r="AO19" i="3"/>
  <c r="AV19" i="3" s="1"/>
  <c r="AS39" i="4" l="1"/>
  <c r="B37" i="4"/>
  <c r="AW22" i="3"/>
  <c r="BB18" i="3"/>
  <c r="A26" i="15" s="1"/>
  <c r="AV17" i="4"/>
  <c r="AW17" i="4" s="1"/>
  <c r="AW19" i="4"/>
  <c r="BB18" i="4"/>
  <c r="A38" i="15" s="1"/>
  <c r="A21" i="15"/>
  <c r="AW26" i="4"/>
  <c r="A41" i="15"/>
  <c r="BB24" i="4"/>
  <c r="BB19" i="3"/>
  <c r="A27" i="15" s="1"/>
  <c r="AT28" i="3"/>
  <c r="BB20" i="4"/>
  <c r="A40" i="15" s="1"/>
  <c r="D5" i="15"/>
  <c r="AQ25" i="13"/>
  <c r="AR25" i="13" s="1"/>
  <c r="AT33" i="4" l="1"/>
  <c r="AW28" i="3"/>
  <c r="BB21" i="3"/>
  <c r="A29" i="15" s="1"/>
  <c r="BB16" i="4"/>
  <c r="A36" i="15" s="1"/>
  <c r="AW31" i="4"/>
  <c r="A44" i="15"/>
  <c r="AW24" i="3"/>
  <c r="B25" i="13"/>
  <c r="AQ1" i="13"/>
  <c r="AQ3" i="13" s="1"/>
  <c r="AW23" i="4"/>
  <c r="AT35" i="4" l="1"/>
  <c r="AW35" i="4" s="1"/>
  <c r="BB28" i="4"/>
  <c r="A48" i="15" s="1"/>
  <c r="AW33" i="4"/>
  <c r="BB26" i="4"/>
  <c r="A46" i="15" s="1"/>
  <c r="AW39" i="4" l="1"/>
  <c r="AW17" i="3"/>
  <c r="AW13" i="3"/>
  <c r="AW12" i="3"/>
  <c r="AN21" i="8" l="1"/>
  <c r="AN6" i="13" s="1"/>
  <c r="AO13" i="4" l="1"/>
  <c r="AV13" i="4" s="1"/>
  <c r="BB13" i="4" l="1"/>
  <c r="A33" i="15" s="1"/>
  <c r="AW13" i="4"/>
  <c r="AP19" i="4"/>
  <c r="AW18" i="3"/>
  <c r="AP22" i="3"/>
  <c r="AP23" i="4" l="1"/>
  <c r="C40" i="4"/>
  <c r="AP24" i="3"/>
  <c r="AN17" i="10" s="1"/>
  <c r="AO74" i="8" s="1"/>
  <c r="C31" i="3"/>
  <c r="AO75" i="8" l="1"/>
  <c r="AO14" i="13" s="1"/>
  <c r="AM16" i="10"/>
  <c r="B16" i="10" s="1"/>
  <c r="AN145" i="8"/>
  <c r="AO26" i="3"/>
  <c r="AV26" i="3" s="1"/>
  <c r="AP28" i="3" l="1"/>
  <c r="BB20" i="3"/>
  <c r="AN146" i="8"/>
  <c r="AO147" i="8"/>
  <c r="AN88" i="8" s="1"/>
  <c r="AO24" i="13"/>
  <c r="AO27" i="4"/>
  <c r="AP29" i="4" s="1"/>
  <c r="C41" i="4" s="1"/>
  <c r="AV27" i="4" l="1"/>
  <c r="BB22" i="4" s="1"/>
  <c r="A28" i="15"/>
  <c r="BB17" i="3"/>
  <c r="A25" i="15" s="1"/>
  <c r="AW19" i="3"/>
  <c r="AN23" i="13"/>
  <c r="AN148" i="8"/>
  <c r="AO90" i="8"/>
  <c r="AW27" i="4" l="1"/>
  <c r="A42" i="15"/>
  <c r="AN24" i="13"/>
  <c r="AO25" i="13" s="1"/>
  <c r="AN25" i="13" s="1"/>
  <c r="AO32" i="4"/>
  <c r="AW26" i="3"/>
  <c r="AV2" i="3" s="1"/>
  <c r="AP33" i="4" l="1"/>
  <c r="AV32" i="4"/>
  <c r="BB25" i="4" s="1"/>
  <c r="AX2" i="3"/>
  <c r="C9" i="15" s="1"/>
  <c r="AP35" i="4" l="1"/>
  <c r="AO37" i="4" s="1"/>
  <c r="AW32" i="4"/>
  <c r="AV2" i="4" s="1"/>
  <c r="AX2" i="4" s="1"/>
  <c r="A45" i="15"/>
  <c r="D9" i="15"/>
  <c r="C10" i="15" l="1"/>
  <c r="C12" i="15" s="1"/>
  <c r="D12" i="15" s="1"/>
  <c r="D10" i="15" l="1"/>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Jeremiah Contreras</author>
  </authors>
  <commentList>
    <comment ref="C16" authorId="0" shapeId="0" xr:uid="{18478A9B-2EB8-4567-8EE3-352353FDF704}">
      <text>
        <r>
          <rPr>
            <b/>
            <sz val="9"/>
            <color rgb="FF000000"/>
            <rFont val="Tahoma"/>
            <family val="2"/>
          </rPr>
          <t>Example Note: Provides additional information.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Jeremiah Contreras</author>
  </authors>
  <commentList>
    <comment ref="A4" authorId="0" shapeId="0" xr:uid="{5B1804A9-0618-4A03-A5D8-733471984E9A}">
      <text>
        <r>
          <rPr>
            <b/>
            <sz val="9"/>
            <color rgb="FF000000"/>
            <rFont val="Tahoma"/>
            <family val="2"/>
          </rPr>
          <t>In addition to tracking the total dollars of inventory, tracking the number of units you have after each transaction is helpful.</t>
        </r>
      </text>
    </comment>
    <comment ref="A8" authorId="0" shapeId="0" xr:uid="{5355407E-C31D-4313-A79D-1AF0527988B4}">
      <text>
        <r>
          <rPr>
            <b/>
            <sz val="9"/>
            <color rgb="FF000000"/>
            <rFont val="Tahoma"/>
            <family val="2"/>
          </rPr>
          <t>The initial monthly payment is shown on the Beg TB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Jeremiah Contreras</author>
  </authors>
  <commentList>
    <comment ref="C5" authorId="0" shapeId="0" xr:uid="{97477529-E062-447A-8D77-231CD05B3A1B}">
      <text>
        <r>
          <rPr>
            <b/>
            <sz val="9"/>
            <color indexed="81"/>
            <rFont val="Tahoma"/>
            <family val="2"/>
          </rPr>
          <t>This cell will let you know whether you are in balance or not.
Partial credit will be given for this section. Ensure you make a good attempt.
The majority of your grade will come from the Ledger, IS and BS tabs.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Jeremiah Contreras</author>
  </authors>
  <commentList>
    <comment ref="D16" authorId="0" shapeId="0" xr:uid="{15FF11C4-D2FD-4088-9CE7-C7553A91BF39}">
      <text>
        <r>
          <rPr>
            <sz val="9"/>
            <color indexed="81"/>
            <rFont val="Tahoma"/>
            <family val="2"/>
          </rPr>
          <t>Retained earnings (RE) reflects the beginning balance. To report the ending balance on the balance sheet, RE must be "rolled forward."</t>
        </r>
        <r>
          <rPr>
            <b/>
            <sz val="9"/>
            <color indexed="81"/>
            <rFont val="Tahoma"/>
            <family val="2"/>
          </rPr>
          <t xml:space="preserve"> 
This will happen in the R/E cell on the balance sheet.
Ending RE = Beg RE + NI - Div</t>
        </r>
      </text>
    </comment>
    <comment ref="C25" authorId="0" shapeId="0" xr:uid="{0CAC658B-D47D-4605-9620-E564893EC164}">
      <text>
        <r>
          <rPr>
            <sz val="9"/>
            <color rgb="FF000000"/>
            <rFont val="Tahoma"/>
            <family val="2"/>
          </rPr>
          <t xml:space="preserve">You will have a variance until you add your beginning balances. 
</t>
        </r>
        <r>
          <rPr>
            <sz val="9"/>
            <color rgb="FF000000"/>
            <rFont val="Tahoma"/>
            <family val="2"/>
          </rPr>
          <t>From that point on, your Adj TB should be in balance after each transaction is entered.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Jeremiah Contreras</author>
  </authors>
  <commentList>
    <comment ref="B37" authorId="0" shapeId="0" xr:uid="{061AB7D9-AC04-4FE9-A7F4-1E0BC91C2348}">
      <text>
        <r>
          <rPr>
            <b/>
            <sz val="9"/>
            <color rgb="FF000000"/>
            <rFont val="Tahoma"/>
            <family val="2"/>
          </rPr>
          <t>You must write an "If/Then" equation to check whether Assets = Liabilities + Stockholders' Equity.</t>
        </r>
      </text>
    </comment>
  </commentList>
</comments>
</file>

<file path=xl/sharedStrings.xml><?xml version="1.0" encoding="utf-8"?>
<sst xmlns="http://schemas.openxmlformats.org/spreadsheetml/2006/main" count="873" uniqueCount="349">
  <si>
    <t xml:space="preserve">     Totals</t>
  </si>
  <si>
    <t>Debit Balance</t>
  </si>
  <si>
    <t>Credit Balance</t>
  </si>
  <si>
    <t>Cash</t>
  </si>
  <si>
    <t>Accounts receivable</t>
  </si>
  <si>
    <t>Supplies</t>
  </si>
  <si>
    <t>Prepaid rent</t>
  </si>
  <si>
    <t>Equipment</t>
  </si>
  <si>
    <t>Accumulated depreciation</t>
  </si>
  <si>
    <t>Accounts payable</t>
  </si>
  <si>
    <t>Common stock</t>
  </si>
  <si>
    <t>Retained earnings</t>
  </si>
  <si>
    <t>Rent expense</t>
  </si>
  <si>
    <t>Depreciation expense</t>
  </si>
  <si>
    <t>Sales Revenue</t>
  </si>
  <si>
    <t>Cost of Goods Sold</t>
  </si>
  <si>
    <t>Supplies Expense</t>
  </si>
  <si>
    <t>Enter Your Student ID #</t>
  </si>
  <si>
    <t>Inventory</t>
  </si>
  <si>
    <t>Assets</t>
  </si>
  <si>
    <t>Adjustments</t>
  </si>
  <si>
    <t>Ending Balance</t>
  </si>
  <si>
    <t>Notes</t>
  </si>
  <si>
    <t>Enter Your Full Name:</t>
  </si>
  <si>
    <t>LIABILITIES</t>
  </si>
  <si>
    <t>Liabilities</t>
  </si>
  <si>
    <t>COGS</t>
  </si>
  <si>
    <t>AR/Cash</t>
  </si>
  <si>
    <t>EQUITY</t>
  </si>
  <si>
    <t>Revenue, Expense, Dividends</t>
  </si>
  <si>
    <t>ASSETS</t>
  </si>
  <si>
    <t>Sales revenue</t>
  </si>
  <si>
    <t>Cost of goods sold</t>
  </si>
  <si>
    <t>Supplies expense</t>
  </si>
  <si>
    <t>Year End Balance</t>
  </si>
  <si>
    <t>Closing Entry</t>
  </si>
  <si>
    <t>Post Closing Balance</t>
  </si>
  <si>
    <t>Trx #</t>
  </si>
  <si>
    <t>#1</t>
  </si>
  <si>
    <t>#2</t>
  </si>
  <si>
    <t>#3</t>
  </si>
  <si>
    <t>#6</t>
  </si>
  <si>
    <t>#8</t>
  </si>
  <si>
    <t>Close all revenue accounts to retained earnings.</t>
  </si>
  <si>
    <t>Close all expense accounts to retained earnings.</t>
  </si>
  <si>
    <t>Close all dividend accounts to retained earnings.</t>
  </si>
  <si>
    <r>
      <t xml:space="preserve">Based on the above transactions, complete your </t>
    </r>
    <r>
      <rPr>
        <b/>
        <sz val="12"/>
        <color theme="1"/>
        <rFont val="Calibri"/>
        <family val="2"/>
        <scheme val="minor"/>
      </rPr>
      <t xml:space="preserve">Income Statement </t>
    </r>
    <r>
      <rPr>
        <sz val="12"/>
        <color theme="1"/>
        <rFont val="Calibri"/>
        <family val="2"/>
        <scheme val="minor"/>
      </rPr>
      <t>and</t>
    </r>
    <r>
      <rPr>
        <b/>
        <sz val="12"/>
        <color theme="1"/>
        <rFont val="Calibri"/>
        <family val="2"/>
        <scheme val="minor"/>
      </rPr>
      <t xml:space="preserve"> Balance Sheet. </t>
    </r>
  </si>
  <si>
    <t>Record depreciation on equipment, based on the original value. The expected life is 10 years, with no salvage value.</t>
  </si>
  <si>
    <t>***</t>
  </si>
  <si>
    <t>Income Statement</t>
  </si>
  <si>
    <t>Gross Profit</t>
  </si>
  <si>
    <t>Operating Expenses</t>
  </si>
  <si>
    <t>Total Operating Expenses</t>
  </si>
  <si>
    <t>Net Income</t>
  </si>
  <si>
    <t>Accounts</t>
  </si>
  <si>
    <t>Amounts</t>
  </si>
  <si>
    <t>Totals</t>
  </si>
  <si>
    <t>Balance Sheet</t>
  </si>
  <si>
    <t>Current Assets</t>
  </si>
  <si>
    <t>Total Current Assets</t>
  </si>
  <si>
    <t>Net Equipment</t>
  </si>
  <si>
    <t>Total Assets</t>
  </si>
  <si>
    <t>Total Liabilities</t>
  </si>
  <si>
    <t>Stockholders' Equity</t>
  </si>
  <si>
    <t>Total Liabilities and Stockholders' Equity</t>
  </si>
  <si>
    <t>Debit</t>
  </si>
  <si>
    <t>Credit</t>
  </si>
  <si>
    <t>Shaded cells can be edited. Not every shaded cell will require a value, but some will.</t>
  </si>
  <si>
    <t>Worksheets</t>
  </si>
  <si>
    <t>REQUIRED INFORMATION</t>
  </si>
  <si>
    <t>Enter Your Company Name*:</t>
  </si>
  <si>
    <t>INSTRUCTIONS</t>
  </si>
  <si>
    <t>SHADED CELLS</t>
  </si>
  <si>
    <t>The Beginning Trial balance shows the account balances at the beginning of the year.</t>
  </si>
  <si>
    <t>Trx Date</t>
  </si>
  <si>
    <t>#0</t>
  </si>
  <si>
    <t>XX,XXX</t>
  </si>
  <si>
    <r>
      <t xml:space="preserve">*No More than 15 characters; creativity is great, but please </t>
    </r>
    <r>
      <rPr>
        <b/>
        <sz val="12"/>
        <color theme="1"/>
        <rFont val="Calibri"/>
        <family val="2"/>
        <scheme val="minor"/>
      </rPr>
      <t>keep it clean</t>
    </r>
    <r>
      <rPr>
        <sz val="12"/>
        <color theme="1"/>
        <rFont val="Calibri"/>
        <family val="2"/>
        <scheme val="minor"/>
      </rPr>
      <t xml:space="preserve"> (rated PG, please).</t>
    </r>
  </si>
  <si>
    <t>Formulas shown:</t>
  </si>
  <si>
    <t>Trx References</t>
  </si>
  <si>
    <t>Taxes payable</t>
  </si>
  <si>
    <t>Once the financial statements are prepared, perform closing entries.</t>
  </si>
  <si>
    <t>Closing Entry #1</t>
  </si>
  <si>
    <t>Closing Entry #2</t>
  </si>
  <si>
    <t>Closing Entry #3</t>
  </si>
  <si>
    <t>Student Name</t>
  </si>
  <si>
    <t>Student ID</t>
  </si>
  <si>
    <t>Out of</t>
  </si>
  <si>
    <t>Points</t>
  </si>
  <si>
    <t>Debits</t>
  </si>
  <si>
    <t>Credits</t>
  </si>
  <si>
    <t>Income Statement Accounts</t>
  </si>
  <si>
    <t>Cash Collected</t>
  </si>
  <si>
    <t>Journal Entries (JEs): Each transaction should be recorded, including adjusting &amp; closing entries.</t>
  </si>
  <si>
    <t>The Ledger tracks account balances &amp; activites in T-Accounts. Enter Beginning Balances first!</t>
  </si>
  <si>
    <t>Dividends</t>
  </si>
  <si>
    <t>Allowance for</t>
  </si>
  <si>
    <t>accounts</t>
  </si>
  <si>
    <t>uncollectible</t>
  </si>
  <si>
    <t>doubtful</t>
  </si>
  <si>
    <t>Year</t>
  </si>
  <si>
    <t>Depreciation Exp</t>
  </si>
  <si>
    <t>* 4 months rent at a monthly rate of:</t>
  </si>
  <si>
    <t>Pre-Adjusted End</t>
  </si>
  <si>
    <t>&lt;Beg&gt;</t>
  </si>
  <si>
    <t>Notes &amp; Formulas:</t>
  </si>
  <si>
    <t>Total Points</t>
  </si>
  <si>
    <t>Variances are used as tollerance for calculations performed.</t>
  </si>
  <si>
    <t>If the students answer is within the variance, then they will receive credit for the item.</t>
  </si>
  <si>
    <t>Balanced?</t>
  </si>
  <si>
    <t>B/S</t>
  </si>
  <si>
    <t>IF/THEN</t>
  </si>
  <si>
    <t>Formulas</t>
  </si>
  <si>
    <t>Totals Accurate</t>
  </si>
  <si>
    <t>Adj TB Amount?</t>
  </si>
  <si>
    <t>Account Classified</t>
  </si>
  <si>
    <t>I/S</t>
  </si>
  <si>
    <t>Correct Amount</t>
  </si>
  <si>
    <t>Balanced</t>
  </si>
  <si>
    <t>Adj TB</t>
  </si>
  <si>
    <t>Closing (Each)</t>
  </si>
  <si>
    <t>Ledger</t>
  </si>
  <si>
    <t>Beg Bal</t>
  </si>
  <si>
    <t>JEs</t>
  </si>
  <si>
    <t>Possible Deduction</t>
  </si>
  <si>
    <t>Instances</t>
  </si>
  <si>
    <t>Missing</t>
  </si>
  <si>
    <t>Incorrect</t>
  </si>
  <si>
    <t>Correct</t>
  </si>
  <si>
    <t>Category</t>
  </si>
  <si>
    <t>Points per items shown below</t>
  </si>
  <si>
    <t>Rubric</t>
  </si>
  <si>
    <t>Sub Category</t>
  </si>
  <si>
    <t>Small Variance</t>
  </si>
  <si>
    <t>Medium Variance</t>
  </si>
  <si>
    <t>Large Variance</t>
  </si>
  <si>
    <t>Variances:</t>
  </si>
  <si>
    <t>Variance Tollerances</t>
  </si>
  <si>
    <t>Possible Pts</t>
  </si>
  <si>
    <t>Abj TB in Balance?</t>
  </si>
  <si>
    <t>Wrong Acct Type</t>
  </si>
  <si>
    <t>Column</t>
  </si>
  <si>
    <t>Accurate?</t>
  </si>
  <si>
    <t>I/S Total</t>
  </si>
  <si>
    <t>B/S Total</t>
  </si>
  <si>
    <t>Optional Terms</t>
  </si>
  <si>
    <t>In Balance</t>
  </si>
  <si>
    <t>GROSS PROFIT</t>
  </si>
  <si>
    <t>Excel Project Notes</t>
  </si>
  <si>
    <t>Select Info</t>
  </si>
  <si>
    <t>+ Rubric</t>
  </si>
  <si>
    <t>+ Data</t>
  </si>
  <si>
    <r>
      <t xml:space="preserve">Scratch Paper: </t>
    </r>
    <r>
      <rPr>
        <sz val="12"/>
        <color theme="1"/>
        <rFont val="Calibri"/>
        <family val="2"/>
        <scheme val="minor"/>
      </rPr>
      <t>Use as you wish!</t>
    </r>
  </si>
  <si>
    <t>Instructor Notes:</t>
  </si>
  <si>
    <t>'ESC' to get out of a formula</t>
  </si>
  <si>
    <t>Do not cut or drag cells to another location.</t>
  </si>
  <si>
    <t>Equipment (Net of Accum. Depr.)</t>
  </si>
  <si>
    <t>This template is used to record your Journal Entries. You can reference the transaction number</t>
  </si>
  <si>
    <t>Debit &amp; Credit columns should only include JEs. 
They must balance!</t>
  </si>
  <si>
    <t>#4</t>
  </si>
  <si>
    <t>#5</t>
  </si>
  <si>
    <t>#7</t>
  </si>
  <si>
    <t>#A1</t>
  </si>
  <si>
    <t>#A2</t>
  </si>
  <si>
    <t>#A3</t>
  </si>
  <si>
    <t>#C1</t>
  </si>
  <si>
    <t>#C2</t>
  </si>
  <si>
    <t>#C3</t>
  </si>
  <si>
    <t>a</t>
  </si>
  <si>
    <t>b</t>
  </si>
  <si>
    <t>c</t>
  </si>
  <si>
    <t>d</t>
  </si>
  <si>
    <t>e</t>
  </si>
  <si>
    <t>f</t>
  </si>
  <si>
    <t>g</t>
  </si>
  <si>
    <t>h</t>
  </si>
  <si>
    <t>i</t>
  </si>
  <si>
    <t>j</t>
  </si>
  <si>
    <t>k</t>
  </si>
  <si>
    <t>l</t>
  </si>
  <si>
    <t>m</t>
  </si>
  <si>
    <t>n</t>
  </si>
  <si>
    <t>o</t>
  </si>
  <si>
    <t>p</t>
  </si>
  <si>
    <t>q</t>
  </si>
  <si>
    <t>r</t>
  </si>
  <si>
    <t>s</t>
  </si>
  <si>
    <t>t</t>
  </si>
  <si>
    <t>u</t>
  </si>
  <si>
    <t>v</t>
  </si>
  <si>
    <t>y</t>
  </si>
  <si>
    <t>z</t>
  </si>
  <si>
    <t>&lt;--1st Rent Expense</t>
  </si>
  <si>
    <t>&lt;--New Rent/Mo &amp; Prepaid</t>
  </si>
  <si>
    <t>Income before Taxes</t>
  </si>
  <si>
    <t>Taxes</t>
  </si>
  <si>
    <t>#A4</t>
  </si>
  <si>
    <t>Tax Expense</t>
  </si>
  <si>
    <t>If/Then</t>
  </si>
  <si>
    <t>My Pts</t>
  </si>
  <si>
    <t>Tax expense</t>
  </si>
  <si>
    <t>Score</t>
  </si>
  <si>
    <t>TOTALS:</t>
  </si>
  <si>
    <t>#A1 Supplies Supplies Used</t>
  </si>
  <si>
    <t>On Dec 31, you declare and pay dividends equal to 40% of the outstanding common stock value.</t>
  </si>
  <si>
    <t>End Supplies</t>
  </si>
  <si>
    <t>&lt;--Supplies Used</t>
  </si>
  <si>
    <t>Beg Supplies</t>
  </si>
  <si>
    <t>New Rent Exp</t>
  </si>
  <si>
    <t>Revenue</t>
  </si>
  <si>
    <t>&lt;--Supplies Added</t>
  </si>
  <si>
    <t>&lt;--Inventory Added</t>
  </si>
  <si>
    <t>per Inv item</t>
  </si>
  <si>
    <t>Price</t>
  </si>
  <si>
    <t xml:space="preserve">Note: Only the accounts below will be used. However, not all accounts will be shown on the financial statements. </t>
  </si>
  <si>
    <t>&lt;--A/P Payment</t>
  </si>
  <si>
    <t>Account</t>
  </si>
  <si>
    <t>The Pre-Closing Adjusted Trial balance shows the account balances after entries and adjustments, but before closing entries.</t>
  </si>
  <si>
    <r>
      <rPr>
        <b/>
        <sz val="12"/>
        <color rgb="FFFF0000"/>
        <rFont val="Calibri"/>
        <family val="2"/>
        <scheme val="minor"/>
      </rPr>
      <t>*NOTE</t>
    </r>
    <r>
      <rPr>
        <b/>
        <sz val="12"/>
        <color theme="1"/>
        <rFont val="Calibri"/>
        <family val="2"/>
        <scheme val="minor"/>
      </rPr>
      <t>: These Temporary accounts start at $0 and do not need to show beginning balances.</t>
    </r>
  </si>
  <si>
    <t>Financial Statements are prepared using this Adjusted Trial balance. This should be in balance after each transaction entered.</t>
  </si>
  <si>
    <t>Perform an adjusting entry to account for any additional rent from May until year end.</t>
  </si>
  <si>
    <t>Attempted?</t>
  </si>
  <si>
    <t>Closing</t>
  </si>
  <si>
    <r>
      <rPr>
        <b/>
        <u/>
        <sz val="12"/>
        <color theme="1"/>
        <rFont val="Calibri"/>
        <family val="2"/>
        <scheme val="minor"/>
      </rPr>
      <t>Legend</t>
    </r>
    <r>
      <rPr>
        <sz val="12"/>
        <color theme="1"/>
        <rFont val="Calibri"/>
        <family val="2"/>
        <scheme val="minor"/>
      </rPr>
      <t xml:space="preserve">:
Beg TB:   Beginning Trial Balance
Adj TB:    Adjusted Trial Balance
Trx:          Transaction(s)
JE:            Journal Entry
'T-Account' &amp; 'Ledger' are used interchangeably
</t>
    </r>
  </si>
  <si>
    <t xml:space="preserve">
     Accum:   Accumulated
     Depr:       Depreciation
     Dr:            Debit
     Cr:            Credit
     IS:             Income Statement
     BS:           Balance Sheet
</t>
  </si>
  <si>
    <r>
      <t xml:space="preserve">Cells with a </t>
    </r>
    <r>
      <rPr>
        <b/>
        <sz val="12"/>
        <color rgb="FFFF0000"/>
        <rFont val="Calibri"/>
        <family val="2"/>
        <scheme val="minor"/>
      </rPr>
      <t>RED</t>
    </r>
    <r>
      <rPr>
        <sz val="12"/>
        <color theme="1"/>
        <rFont val="Calibri"/>
        <family val="2"/>
        <scheme val="minor"/>
      </rPr>
      <t xml:space="preserve"> triangle in the upper right corner indicate a note is available. Hover over the cell to see the note.</t>
    </r>
  </si>
  <si>
    <t>PURPLE worksheet is optional and can be used as "Scratch Paper"</t>
  </si>
  <si>
    <t>TOTAL</t>
  </si>
  <si>
    <t>Possible Points</t>
  </si>
  <si>
    <t>Final Points</t>
  </si>
  <si>
    <t>Final Pts</t>
  </si>
  <si>
    <t>Balance</t>
  </si>
  <si>
    <t>#10</t>
  </si>
  <si>
    <t>#16</t>
  </si>
  <si>
    <t>Proper T- Account Use</t>
  </si>
  <si>
    <t>Psble Pts</t>
  </si>
  <si>
    <t>Dr Account (EXAMPLE)</t>
  </si>
  <si>
    <t>Cr Account (EXAMPLE)</t>
  </si>
  <si>
    <t>Total Stockholders' Equity</t>
  </si>
  <si>
    <t>Totl Pts</t>
  </si>
  <si>
    <t>* One inventory item is on hand at Jan 1</t>
  </si>
  <si>
    <t>* 1 inventory item is on hand at Jan 1</t>
  </si>
  <si>
    <t>* Depreciation is straight-line over 10 years</t>
  </si>
  <si>
    <t>Points Earned</t>
  </si>
  <si>
    <t>% Earned</t>
  </si>
  <si>
    <t>Steps &amp; Rubric</t>
  </si>
  <si>
    <t>BLUE worksheets have important information: Steps &amp; Rubric, Beginning Trial Balance (Beg TB), Transactions (Trx), &amp; Adjusted Trial Balance (Adj TB)</t>
  </si>
  <si>
    <t>Start</t>
  </si>
  <si>
    <t>End</t>
  </si>
  <si>
    <t>5) Income Statement:</t>
  </si>
  <si>
    <t xml:space="preserve">   a. </t>
  </si>
  <si>
    <t xml:space="preserve">   b. </t>
  </si>
  <si>
    <t xml:space="preserve">   c. </t>
  </si>
  <si>
    <t xml:space="preserve">   d. </t>
  </si>
  <si>
    <t xml:space="preserve">   e. </t>
  </si>
  <si>
    <t xml:space="preserve">   f. </t>
  </si>
  <si>
    <t xml:space="preserve">   h. </t>
  </si>
  <si>
    <t xml:space="preserve">   i. </t>
  </si>
  <si>
    <t xml:space="preserve">   j. </t>
  </si>
  <si>
    <t xml:space="preserve">   k. </t>
  </si>
  <si>
    <t xml:space="preserve">   l. </t>
  </si>
  <si>
    <t xml:space="preserve">   m. </t>
  </si>
  <si>
    <t xml:space="preserve">   n. </t>
  </si>
  <si>
    <t xml:space="preserve">   o. </t>
  </si>
  <si>
    <t xml:space="preserve">   p. </t>
  </si>
  <si>
    <t xml:space="preserve">   g. </t>
  </si>
  <si>
    <t>6) Balance Sheet:</t>
  </si>
  <si>
    <t>Use whole numbers only (No decimals)</t>
  </si>
  <si>
    <t>GRS PRFT</t>
  </si>
  <si>
    <t>Total?</t>
  </si>
  <si>
    <t>Frmla Chk</t>
  </si>
  <si>
    <t>If/Th Chk</t>
  </si>
  <si>
    <t>Balance?</t>
  </si>
  <si>
    <t>Present?</t>
  </si>
  <si>
    <t>Clasfcton</t>
  </si>
  <si>
    <t>B/S Acct?</t>
  </si>
  <si>
    <t>Inc. preTx</t>
  </si>
  <si>
    <t>Net Inc.</t>
  </si>
  <si>
    <t>Tot OpEx</t>
  </si>
  <si>
    <t>Op Ex</t>
  </si>
  <si>
    <t>Grs Prft</t>
  </si>
  <si>
    <t>BS Accts</t>
  </si>
  <si>
    <t>IS Accts</t>
  </si>
  <si>
    <t>Tot Cur A</t>
  </si>
  <si>
    <t>Tot Asset</t>
  </si>
  <si>
    <t>Tot Liab</t>
  </si>
  <si>
    <t>Tot SE</t>
  </si>
  <si>
    <t>Tot LiabSE</t>
  </si>
  <si>
    <t>BS Ck Fig</t>
  </si>
  <si>
    <t>Classfctn</t>
  </si>
  <si>
    <t>I/S Acct?</t>
  </si>
  <si>
    <t>1. Enter name, student ID (must be correct), Company name.</t>
  </si>
  <si>
    <t>2. Familiarize yourself with the workbook. (Worksheets &amp; Tabs)</t>
  </si>
  <si>
    <t>3. Good idea to Print - Start, Steps &amp; Rubric, &amp; Trx</t>
  </si>
  <si>
    <t>4. How to reference cells: Beginning Balances into Ledger.</t>
  </si>
  <si>
    <t>5. How to enter a trx into Ledger.</t>
  </si>
  <si>
    <t>6. Adjusting Entries</t>
  </si>
  <si>
    <t>7. Closing Entries</t>
  </si>
  <si>
    <t>8. Building IS &amp; BS from Adj TB</t>
  </si>
  <si>
    <t>4.b Checking the Adj TB</t>
  </si>
  <si>
    <t>9. Formulas</t>
  </si>
  <si>
    <t>10. Referencing Negative Numbers</t>
  </si>
  <si>
    <t>11. Important Hints (Do Not Drag cells, Do not reference cells that may change)</t>
  </si>
  <si>
    <t>Journal Entries (JEs) were performed &amp; in balance</t>
  </si>
  <si>
    <t>Ledger: Beginning balances were properly entered</t>
  </si>
  <si>
    <t>Ledger: The T-Accounts were properly used</t>
  </si>
  <si>
    <t>Ledger: Temporary accounts were properly closed</t>
  </si>
  <si>
    <t>Income Statement: All requirements were met</t>
  </si>
  <si>
    <t>Balance Sheet: All requirements were met</t>
  </si>
  <si>
    <t>NOTE: A "#VALUE!" note indicates a cell was erroneously moved.</t>
  </si>
  <si>
    <t xml:space="preserve">Gross Profit Check Figure: </t>
  </si>
  <si>
    <t>Total Operating Expenses Check Figure</t>
  </si>
  <si>
    <t xml:space="preserve">Total Current Assets Check Figure: </t>
  </si>
  <si>
    <r>
      <t xml:space="preserve">You </t>
    </r>
    <r>
      <rPr>
        <b/>
        <u/>
        <sz val="12"/>
        <color rgb="FFFF0000"/>
        <rFont val="Calibri"/>
        <family val="2"/>
        <scheme val="minor"/>
      </rPr>
      <t>MUST</t>
    </r>
    <r>
      <rPr>
        <sz val="12"/>
        <color theme="1"/>
        <rFont val="Calibri"/>
        <family val="2"/>
        <scheme val="minor"/>
      </rPr>
      <t xml:space="preserve"> use your own </t>
    </r>
    <r>
      <rPr>
        <b/>
        <sz val="12"/>
        <color theme="1"/>
        <rFont val="Calibri"/>
        <family val="2"/>
        <scheme val="minor"/>
      </rPr>
      <t>name</t>
    </r>
    <r>
      <rPr>
        <sz val="12"/>
        <color theme="1"/>
        <rFont val="Calibri"/>
        <family val="2"/>
        <scheme val="minor"/>
      </rPr>
      <t xml:space="preserve"> and </t>
    </r>
    <r>
      <rPr>
        <b/>
        <sz val="12"/>
        <color theme="1"/>
        <rFont val="Calibri"/>
        <family val="2"/>
        <scheme val="minor"/>
      </rPr>
      <t xml:space="preserve">Sudent ID number, </t>
    </r>
    <r>
      <rPr>
        <sz val="12"/>
        <color theme="1"/>
        <rFont val="Calibri"/>
        <family val="2"/>
        <scheme val="minor"/>
      </rPr>
      <t>otherwise you will receive a</t>
    </r>
    <r>
      <rPr>
        <b/>
        <sz val="12"/>
        <color theme="1"/>
        <rFont val="Calibri"/>
        <family val="2"/>
        <scheme val="minor"/>
      </rPr>
      <t xml:space="preserve"> </t>
    </r>
    <r>
      <rPr>
        <b/>
        <u/>
        <sz val="12"/>
        <color theme="1"/>
        <rFont val="Calibri"/>
        <family val="2"/>
        <scheme val="minor"/>
      </rPr>
      <t>ZERO</t>
    </r>
    <r>
      <rPr>
        <b/>
        <sz val="12"/>
        <color theme="1"/>
        <rFont val="Calibri"/>
        <family val="2"/>
        <scheme val="minor"/>
      </rPr>
      <t>.</t>
    </r>
  </si>
  <si>
    <r>
      <t xml:space="preserve">You </t>
    </r>
    <r>
      <rPr>
        <b/>
        <u/>
        <sz val="12"/>
        <color rgb="FFFF0000"/>
        <rFont val="Calibri"/>
        <family val="2"/>
        <scheme val="minor"/>
      </rPr>
      <t>MUST</t>
    </r>
    <r>
      <rPr>
        <sz val="12"/>
        <color theme="1"/>
        <rFont val="Calibri"/>
        <family val="2"/>
        <scheme val="minor"/>
      </rPr>
      <t xml:space="preserve"> use </t>
    </r>
    <r>
      <rPr>
        <b/>
        <sz val="12"/>
        <color theme="1"/>
        <rFont val="Calibri"/>
        <family val="2"/>
        <scheme val="minor"/>
      </rPr>
      <t>Excel</t>
    </r>
    <r>
      <rPr>
        <sz val="12"/>
        <color theme="1"/>
        <rFont val="Calibri"/>
        <family val="2"/>
        <scheme val="minor"/>
      </rPr>
      <t xml:space="preserve">. Using ANY other program can </t>
    </r>
    <r>
      <rPr>
        <b/>
        <sz val="12"/>
        <color theme="1"/>
        <rFont val="Calibri"/>
        <family val="2"/>
        <scheme val="minor"/>
      </rPr>
      <t>corrupt</t>
    </r>
    <r>
      <rPr>
        <sz val="12"/>
        <color theme="1"/>
        <rFont val="Calibri"/>
        <family val="2"/>
        <scheme val="minor"/>
      </rPr>
      <t xml:space="preserve"> the file and you will earn a </t>
    </r>
    <r>
      <rPr>
        <b/>
        <u/>
        <sz val="12"/>
        <color theme="1"/>
        <rFont val="Calibri"/>
        <family val="2"/>
        <scheme val="minor"/>
      </rPr>
      <t>ZERO</t>
    </r>
    <r>
      <rPr>
        <sz val="12"/>
        <color theme="1"/>
        <rFont val="Calibri"/>
        <family val="2"/>
        <scheme val="minor"/>
      </rPr>
      <t xml:space="preserve">. </t>
    </r>
  </si>
  <si>
    <t>GREEN worksheets must be completed: Start, Jes, Ledger, Income Statement (IS) &amp; Balance Sheet (BS)</t>
  </si>
  <si>
    <t>On Apr 30, you record the 4 month's of rent used - this amount is shown in your prepaid rent beginning balance.</t>
  </si>
  <si>
    <t>Ref</t>
  </si>
  <si>
    <r>
      <rPr>
        <b/>
        <u/>
        <sz val="11"/>
        <color theme="1"/>
        <rFont val="Calibri"/>
        <family val="2"/>
        <scheme val="minor"/>
      </rPr>
      <t>STEPS</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 Enter your name, student ID and company name in the Start tab.
</t>
    </r>
    <r>
      <rPr>
        <b/>
        <sz val="11"/>
        <color theme="1"/>
        <rFont val="Calibri"/>
        <family val="2"/>
        <scheme val="minor"/>
      </rPr>
      <t>2.</t>
    </r>
    <r>
      <rPr>
        <sz val="11"/>
        <color theme="1"/>
        <rFont val="Calibri"/>
        <family val="2"/>
        <scheme val="minor"/>
      </rPr>
      <t xml:space="preserve"> Link all beginning balances in the Beg TB to the proper T-Account in the Ledger. Ensure the beginning balance in each T-Account is in the first row on its "normal" side. Check the Adj TB to ensure it balances.
   *Note: From this point forward your adjusted trial balance should be in balance after each transaction.
</t>
    </r>
    <r>
      <rPr>
        <b/>
        <sz val="11"/>
        <color theme="1"/>
        <rFont val="Calibri"/>
        <family val="2"/>
        <scheme val="minor"/>
      </rPr>
      <t>3.</t>
    </r>
    <r>
      <rPr>
        <sz val="11"/>
        <color theme="1"/>
        <rFont val="Calibri"/>
        <family val="2"/>
        <scheme val="minor"/>
      </rPr>
      <t xml:space="preserve"> Using each transaction from the Trx tab, enter your journal entries into the JEs tab, ensuring your debits and credits balance after each transaction. 
</t>
    </r>
    <r>
      <rPr>
        <b/>
        <sz val="11"/>
        <color theme="1"/>
        <rFont val="Calibri"/>
        <family val="2"/>
        <scheme val="minor"/>
      </rPr>
      <t>4.</t>
    </r>
    <r>
      <rPr>
        <sz val="11"/>
        <color theme="1"/>
        <rFont val="Calibri"/>
        <family val="2"/>
        <scheme val="minor"/>
      </rPr>
      <t xml:space="preserve"> After each of eight Trx in #3 above, link your entry to the appropriate T-Account in the Ledger (use the correct side as you post transactions (Dr = left, Cr = right). Only use positive numbers in T-Accounts.
</t>
    </r>
    <r>
      <rPr>
        <b/>
        <sz val="11"/>
        <color theme="1"/>
        <rFont val="Calibri"/>
        <family val="2"/>
        <scheme val="minor"/>
      </rPr>
      <t>5.</t>
    </r>
    <r>
      <rPr>
        <sz val="11"/>
        <color theme="1"/>
        <rFont val="Calibri"/>
        <family val="2"/>
        <scheme val="minor"/>
      </rPr>
      <t xml:space="preserve"> Next, enter each adjusting entry as a JE, and then post to the proper '</t>
    </r>
    <r>
      <rPr>
        <i/>
        <sz val="11"/>
        <color theme="1"/>
        <rFont val="Calibri"/>
        <family val="2"/>
        <scheme val="minor"/>
      </rPr>
      <t>Adjustments'</t>
    </r>
    <r>
      <rPr>
        <sz val="11"/>
        <color theme="1"/>
        <rFont val="Calibri"/>
        <family val="2"/>
        <scheme val="minor"/>
      </rPr>
      <t xml:space="preserve"> cell in the T-Account. This will mimic steps 3 and 4, this time for your adjusting entries.
</t>
    </r>
    <r>
      <rPr>
        <b/>
        <sz val="11"/>
        <color theme="1"/>
        <rFont val="Calibri"/>
        <family val="2"/>
        <scheme val="minor"/>
      </rPr>
      <t>6.</t>
    </r>
    <r>
      <rPr>
        <sz val="11"/>
        <color theme="1"/>
        <rFont val="Calibri"/>
        <family val="2"/>
        <scheme val="minor"/>
      </rPr>
      <t xml:space="preserve"> Ensure the journal entries balance (cell C5 in JEs) and your Adj TB balances.
</t>
    </r>
    <r>
      <rPr>
        <b/>
        <sz val="11"/>
        <color theme="1"/>
        <rFont val="Calibri"/>
        <family val="2"/>
        <scheme val="minor"/>
      </rPr>
      <t>7.</t>
    </r>
    <r>
      <rPr>
        <sz val="11"/>
        <color theme="1"/>
        <rFont val="Calibri"/>
        <family val="2"/>
        <scheme val="minor"/>
      </rPr>
      <t xml:space="preserve"> Prepare the Income Statement: Select the correct accounts from the drop down in Column A, and then link the amount in Column B to the appropriate amount in the adjusted trial balance. Add Totals in Column C on the Income Statement (e.g. Gross Profit, Net Income, etc) by using Excel formulas.
</t>
    </r>
    <r>
      <rPr>
        <b/>
        <sz val="11"/>
        <color theme="1"/>
        <rFont val="Calibri"/>
        <family val="2"/>
        <scheme val="minor"/>
      </rPr>
      <t>8.</t>
    </r>
    <r>
      <rPr>
        <sz val="11"/>
        <color theme="1"/>
        <rFont val="Calibri"/>
        <family val="2"/>
        <scheme val="minor"/>
      </rPr>
      <t xml:space="preserve"> Prepare the Balance Sheet: Select the correct accounts from the drop downs in Column A and then link the amount in Column B to the appropriate amount in the adjusted trial balance. Add Totals, as needed.
   *Note: The Adj TB shows beginning Retained earnings. The ending Retained earnings shown on the balance sheet must reflect any revenue, expense and dividend transactions that occured during the year.
  **You must use an "If/Then" formula to ensure the balance sheet is in balance. Assets = Liab. + Equity
</t>
    </r>
    <r>
      <rPr>
        <b/>
        <sz val="11"/>
        <color theme="1"/>
        <rFont val="Calibri"/>
        <family val="2"/>
        <scheme val="minor"/>
      </rPr>
      <t>9.</t>
    </r>
    <r>
      <rPr>
        <sz val="11"/>
        <color theme="1"/>
        <rFont val="Calibri"/>
        <family val="2"/>
        <scheme val="minor"/>
      </rPr>
      <t xml:space="preserve"> Finally, prepare closing entries by closing revenue, expense and dividend accounts to retained earnings.
Enter the closing entries in the JE tab, and then Post to the special 'Closing Entry' cells in the Ledger.</t>
    </r>
  </si>
  <si>
    <t>and date to help you track transactions, if you want. Drop downs are available down to row 84.</t>
  </si>
  <si>
    <r>
      <rPr>
        <b/>
        <sz val="12"/>
        <color theme="1"/>
        <rFont val="Calibri"/>
        <family val="2"/>
        <scheme val="minor"/>
      </rPr>
      <t>NOTE</t>
    </r>
    <r>
      <rPr>
        <sz val="12"/>
        <color theme="1"/>
        <rFont val="Calibri"/>
        <family val="2"/>
        <scheme val="minor"/>
      </rPr>
      <t>: A negative, non-normal balance or cell error indicates an error on the Ledger accounts. A variance above is likely an incorrect JE.</t>
    </r>
  </si>
  <si>
    <t xml:space="preserve">             Ensure cells have not been cut and pasted or draged between two locations in the Ledger.</t>
  </si>
  <si>
    <t>Total Liabilities Check Figure</t>
  </si>
  <si>
    <t>Balance Sheet "IF/THEN" Check*:</t>
  </si>
  <si>
    <r>
      <rPr>
        <b/>
        <sz val="12"/>
        <rFont val="Calibri"/>
        <family val="2"/>
        <scheme val="minor"/>
      </rPr>
      <t>*NOTE</t>
    </r>
    <r>
      <rPr>
        <sz val="12"/>
        <rFont val="Calibri"/>
        <family val="2"/>
        <scheme val="minor"/>
      </rPr>
      <t>: If/Then check should automatically indicate whether the balance sheet is in balance or not.</t>
    </r>
  </si>
  <si>
    <t xml:space="preserve">   &amp; Depreciation is straight-line over 10 years</t>
  </si>
  <si>
    <r>
      <rPr>
        <b/>
        <sz val="12"/>
        <color theme="1"/>
        <rFont val="Calibri"/>
        <family val="2"/>
        <scheme val="minor"/>
      </rPr>
      <t>Deductions</t>
    </r>
    <r>
      <rPr>
        <sz val="12"/>
        <color theme="1"/>
        <rFont val="Calibri"/>
        <family val="2"/>
        <scheme val="minor"/>
      </rPr>
      <t xml:space="preserve"> are possible for incomplete/inaccurate name, company name or student ID,</t>
    </r>
  </si>
  <si>
    <t xml:space="preserve">                      or if cells have been cut and pasted or dragged to another location.</t>
  </si>
  <si>
    <t xml:space="preserve">Deductions: </t>
  </si>
  <si>
    <r>
      <rPr>
        <b/>
        <u/>
        <sz val="12"/>
        <color theme="1"/>
        <rFont val="Calibri"/>
        <family val="2"/>
        <scheme val="minor"/>
      </rPr>
      <t>Scenario</t>
    </r>
    <r>
      <rPr>
        <sz val="12"/>
        <color theme="1"/>
        <rFont val="Calibri"/>
        <family val="2"/>
        <scheme val="minor"/>
      </rPr>
      <t xml:space="preserve">:  You started a company with a few students from your accounting class. You do not have any employees, and profits you make will be shared among the partners. But for now, you are working for free.
You developed a product to revolutionize how the world obtains drinking water. 
You must raise enough money to take your company to the next level. In order to accomplish this, you must properly record your activites and prepare financial statements, in accordance with U.S. GAAP, to obtain additional funding from your bank and your investors. 
If you are able to show accounting acumen, you can gain access to the funds needed to help make the world a better place. </t>
    </r>
  </si>
  <si>
    <t>Ishika Patel</t>
  </si>
  <si>
    <t>Accounting101</t>
  </si>
  <si>
    <t>#3 (NOW 150 UNITS)</t>
  </si>
  <si>
    <t>#4 (SOLD 145, LEFT 5)</t>
  </si>
  <si>
    <t>SUPPLIES ADJ</t>
  </si>
  <si>
    <t>EQUIPMENT ADJ</t>
  </si>
  <si>
    <t>July 1, 2020 Purchase</t>
  </si>
  <si>
    <t>10 year depreciation</t>
  </si>
  <si>
    <t>&lt;- per month depreciation</t>
  </si>
  <si>
    <t>&lt;- per year depreciation</t>
  </si>
  <si>
    <t>Jan 2021 to End December 2021:</t>
  </si>
  <si>
    <t>12 months</t>
  </si>
  <si>
    <t>*assuming 2020s depreciation was already adjusted</t>
  </si>
  <si>
    <t>&lt;- 12 months of deprecation cost</t>
  </si>
  <si>
    <t>STMT RE</t>
  </si>
  <si>
    <t>BEG RE</t>
  </si>
  <si>
    <t>PLUS NET INCOME</t>
  </si>
  <si>
    <t>MINUS DIVIDENDS</t>
  </si>
  <si>
    <t>END 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</si>
</sst>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0000000"/>
    <numFmt numFmtId="167" formatCode="0.0%"/>
    <numFmt numFmtId="168" formatCode="0.0"/>
    <numFmt numFmtId="169" formatCode="&quot;$&quot;#,##0"/>
    <numFmt numFmtId="170"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FA7D00"/>
      <name val="Calibri"/>
      <family val="2"/>
      <scheme val="minor"/>
    </font>
    <font>
      <sz val="8"/>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amily val="2"/>
      <scheme val="minor"/>
    </font>
    <font>
      <b/>
      <sz val="12"/>
      <color rgb="FF0000FF"/>
      <name val="Calibri"/>
      <family val="2"/>
      <scheme val="minor"/>
    </font>
    <font>
      <u/>
      <sz val="12"/>
      <color theme="1"/>
      <name val="Calibri"/>
      <family val="2"/>
      <scheme val="minor"/>
    </font>
    <font>
      <b/>
      <sz val="12"/>
      <name val="Calibri"/>
      <family val="2"/>
      <scheme val="minor"/>
    </font>
    <font>
      <b/>
      <u/>
      <sz val="12"/>
      <color theme="1"/>
      <name val="Calibri"/>
      <family val="2"/>
      <scheme val="minor"/>
    </font>
    <font>
      <b/>
      <sz val="18"/>
      <color theme="0"/>
      <name val="Calibri"/>
      <family val="2"/>
      <scheme val="minor"/>
    </font>
    <font>
      <b/>
      <sz val="12"/>
      <color rgb="FFFF0000"/>
      <name val="Calibri"/>
      <family val="2"/>
      <scheme val="minor"/>
    </font>
    <font>
      <i/>
      <sz val="12"/>
      <color theme="1"/>
      <name val="Calibri"/>
      <family val="2"/>
      <scheme val="minor"/>
    </font>
    <font>
      <b/>
      <sz val="12"/>
      <color theme="0"/>
      <name val="Calibri"/>
      <family val="2"/>
      <scheme val="minor"/>
    </font>
    <font>
      <sz val="12"/>
      <color theme="0"/>
      <name val="Calibri"/>
      <family val="2"/>
      <scheme val="minor"/>
    </font>
    <font>
      <b/>
      <sz val="15"/>
      <color theme="0"/>
      <name val="Calibri"/>
      <family val="2"/>
      <scheme val="minor"/>
    </font>
    <font>
      <b/>
      <i/>
      <sz val="12"/>
      <color theme="1"/>
      <name val="Calibri"/>
      <family val="2"/>
      <scheme val="minor"/>
    </font>
    <font>
      <b/>
      <sz val="11"/>
      <color theme="1"/>
      <name val="Calibri"/>
      <family val="2"/>
      <scheme val="minor"/>
    </font>
    <font>
      <b/>
      <i/>
      <u/>
      <sz val="12"/>
      <color theme="1"/>
      <name val="Calibri"/>
      <family val="2"/>
      <scheme val="minor"/>
    </font>
    <font>
      <b/>
      <u/>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u/>
      <sz val="12"/>
      <color theme="0"/>
      <name val="Calibri"/>
      <family val="2"/>
      <scheme val="minor"/>
    </font>
    <font>
      <u/>
      <sz val="12"/>
      <color theme="0"/>
      <name val="Calibri"/>
      <family val="2"/>
      <scheme val="minor"/>
    </font>
    <font>
      <sz val="12"/>
      <name val="Calibri"/>
      <family val="2"/>
      <scheme val="minor"/>
    </font>
    <font>
      <i/>
      <sz val="12"/>
      <name val="Calibri"/>
      <family val="2"/>
      <scheme val="minor"/>
    </font>
    <font>
      <b/>
      <i/>
      <sz val="12"/>
      <name val="Calibri"/>
      <family val="2"/>
      <scheme val="minor"/>
    </font>
    <font>
      <i/>
      <sz val="12"/>
      <color theme="0"/>
      <name val="Calibri"/>
      <family val="2"/>
      <scheme val="minor"/>
    </font>
    <font>
      <b/>
      <i/>
      <sz val="12"/>
      <color theme="0"/>
      <name val="Calibri"/>
      <family val="2"/>
      <scheme val="minor"/>
    </font>
    <font>
      <b/>
      <i/>
      <u/>
      <sz val="12"/>
      <color theme="0"/>
      <name val="Calibri"/>
      <family val="2"/>
      <scheme val="minor"/>
    </font>
    <font>
      <i/>
      <sz val="8"/>
      <color theme="0"/>
      <name val="Calibri"/>
      <family val="2"/>
      <scheme val="minor"/>
    </font>
    <font>
      <sz val="12"/>
      <color rgb="FFFF0000"/>
      <name val="Calibri"/>
      <family val="2"/>
      <scheme val="minor"/>
    </font>
    <font>
      <b/>
      <u/>
      <sz val="12"/>
      <color rgb="FFFF0000"/>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rgb="FFF2F2F2"/>
      </patternFill>
    </fill>
    <fill>
      <patternFill patternType="solid">
        <fgColor theme="0"/>
        <bgColor theme="0"/>
      </patternFill>
    </fill>
    <fill>
      <patternFill patternType="solid">
        <fgColor rgb="FFFFFFCC"/>
        <bgColor indexed="64"/>
      </patternFill>
    </fill>
    <fill>
      <patternFill patternType="solid">
        <fgColor rgb="FF00B0F0"/>
        <bgColor indexed="64"/>
      </patternFill>
    </fill>
    <fill>
      <patternFill patternType="solid">
        <fgColor rgb="FFCCFFCC"/>
        <bgColor indexed="64"/>
      </patternFill>
    </fill>
    <fill>
      <patternFill patternType="solid">
        <fgColor rgb="FF00B050"/>
        <bgColor indexed="64"/>
      </patternFill>
    </fill>
    <fill>
      <patternFill patternType="solid">
        <fgColor rgb="FF0000FF"/>
        <bgColor indexed="64"/>
      </patternFill>
    </fill>
    <fill>
      <patternFill patternType="solid">
        <fgColor rgb="FF7030A0"/>
        <bgColor indexed="64"/>
      </patternFill>
    </fill>
    <fill>
      <patternFill patternType="solid">
        <fgColor theme="0" tint="-0.499984740745262"/>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s>
  <borders count="73">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auto="1"/>
      </left>
      <right/>
      <top style="hair">
        <color indexed="64"/>
      </top>
      <bottom style="hair">
        <color indexed="64"/>
      </bottom>
      <diagonal/>
    </border>
    <border>
      <left/>
      <right/>
      <top style="hair">
        <color indexed="64"/>
      </top>
      <bottom style="thin">
        <color indexed="64"/>
      </bottom>
      <diagonal/>
    </border>
    <border>
      <left/>
      <right/>
      <top/>
      <bottom style="hair">
        <color auto="1"/>
      </bottom>
      <diagonal/>
    </border>
    <border>
      <left/>
      <right/>
      <top style="thin">
        <color indexed="64"/>
      </top>
      <bottom/>
      <diagonal/>
    </border>
    <border>
      <left/>
      <right/>
      <top style="thin">
        <color indexed="64"/>
      </top>
      <bottom style="double">
        <color indexed="64"/>
      </bottom>
      <diagonal/>
    </border>
    <border>
      <left style="thin">
        <color indexed="64"/>
      </left>
      <right/>
      <top style="hair">
        <color auto="1"/>
      </top>
      <bottom/>
      <diagonal/>
    </border>
    <border>
      <left/>
      <right style="thin">
        <color indexed="64"/>
      </right>
      <top/>
      <bottom style="hair">
        <color auto="1"/>
      </bottom>
      <diagonal/>
    </border>
    <border>
      <left/>
      <right style="thin">
        <color indexed="64"/>
      </right>
      <top style="hair">
        <color auto="1"/>
      </top>
      <bottom style="hair">
        <color auto="1"/>
      </bottom>
      <diagonal/>
    </border>
    <border>
      <left/>
      <right/>
      <top/>
      <bottom style="thick">
        <color indexed="64"/>
      </bottom>
      <diagonal/>
    </border>
    <border>
      <left style="thick">
        <color auto="1"/>
      </left>
      <right/>
      <top style="thick">
        <color indexed="64"/>
      </top>
      <bottom/>
      <diagonal/>
    </border>
    <border>
      <left style="thick">
        <color auto="1"/>
      </left>
      <right/>
      <top style="thick">
        <color indexed="64"/>
      </top>
      <bottom style="hair">
        <color auto="1"/>
      </bottom>
      <diagonal/>
    </border>
    <border>
      <left style="thick">
        <color auto="1"/>
      </left>
      <right/>
      <top style="hair">
        <color indexed="64"/>
      </top>
      <bottom style="hair">
        <color indexed="64"/>
      </bottom>
      <diagonal/>
    </border>
    <border>
      <left style="thick">
        <color auto="1"/>
      </left>
      <right/>
      <top/>
      <bottom/>
      <diagonal/>
    </border>
    <border>
      <left style="thin">
        <color indexed="64"/>
      </left>
      <right/>
      <top style="hair">
        <color indexed="64"/>
      </top>
      <bottom style="thick">
        <color indexed="64"/>
      </bottom>
      <diagonal/>
    </border>
    <border>
      <left style="thick">
        <color auto="1"/>
      </left>
      <right style="thin">
        <color indexed="64"/>
      </right>
      <top style="hair">
        <color indexed="64"/>
      </top>
      <bottom style="thick">
        <color indexed="64"/>
      </bottom>
      <diagonal/>
    </border>
    <border>
      <left/>
      <right/>
      <top style="hair">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thick">
        <color indexed="64"/>
      </left>
      <right/>
      <top style="hair">
        <color indexed="64"/>
      </top>
      <bottom style="medium">
        <color indexed="64"/>
      </bottom>
      <diagonal/>
    </border>
    <border>
      <left style="thick">
        <color indexed="64"/>
      </left>
      <right/>
      <top/>
      <bottom style="hair">
        <color auto="1"/>
      </bottom>
      <diagonal/>
    </border>
    <border>
      <left/>
      <right/>
      <top style="hair">
        <color indexed="64"/>
      </top>
      <bottom style="thick">
        <color auto="1"/>
      </bottom>
      <diagonal/>
    </border>
    <border>
      <left style="thick">
        <color indexed="64"/>
      </left>
      <right/>
      <top style="hair">
        <color indexed="64"/>
      </top>
      <bottom style="thick">
        <color auto="1"/>
      </bottom>
      <diagonal/>
    </border>
    <border>
      <left/>
      <right/>
      <top style="thick">
        <color auto="1"/>
      </top>
      <bottom/>
      <diagonal/>
    </border>
    <border>
      <left style="thick">
        <color indexed="64"/>
      </left>
      <right/>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thick">
        <color indexed="64"/>
      </left>
      <right style="thin">
        <color auto="1"/>
      </right>
      <top style="hair">
        <color indexed="64"/>
      </top>
      <bottom style="hair">
        <color indexed="64"/>
      </bottom>
      <diagonal/>
    </border>
    <border>
      <left style="thin">
        <color indexed="64"/>
      </left>
      <right/>
      <top style="thick">
        <color indexed="64"/>
      </top>
      <bottom style="thick">
        <color indexed="64"/>
      </bottom>
      <diagonal/>
    </border>
    <border>
      <left style="thick">
        <color auto="1"/>
      </left>
      <right style="thin">
        <color auto="1"/>
      </right>
      <top style="thick">
        <color indexed="64"/>
      </top>
      <bottom style="thick">
        <color indexed="64"/>
      </bottom>
      <diagonal/>
    </border>
    <border>
      <left style="thin">
        <color indexed="64"/>
      </left>
      <right style="thick">
        <color indexed="64"/>
      </right>
      <top/>
      <bottom style="thick">
        <color indexed="64"/>
      </bottom>
      <diagonal/>
    </border>
    <border>
      <left style="thin">
        <color indexed="64"/>
      </left>
      <right style="thick">
        <color indexed="64"/>
      </right>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bottom style="hair">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auto="1"/>
      </bottom>
      <diagonal/>
    </border>
    <border>
      <left style="thin">
        <color indexed="64"/>
      </left>
      <right style="thick">
        <color indexed="64"/>
      </right>
      <top style="thin">
        <color auto="1"/>
      </top>
      <bottom style="hair">
        <color auto="1"/>
      </bottom>
      <diagonal/>
    </border>
    <border>
      <left style="thick">
        <color indexed="64"/>
      </left>
      <right style="thin">
        <color auto="1"/>
      </right>
      <top style="thin">
        <color auto="1"/>
      </top>
      <bottom style="hair">
        <color auto="1"/>
      </bottom>
      <diagonal/>
    </border>
    <border>
      <left/>
      <right/>
      <top style="hair">
        <color indexed="64"/>
      </top>
      <bottom/>
      <diagonal/>
    </border>
    <border>
      <left/>
      <right/>
      <top style="thick">
        <color indexed="64"/>
      </top>
      <bottom style="hair">
        <color indexed="64"/>
      </bottom>
      <diagonal/>
    </border>
  </borders>
  <cellStyleXfs count="8">
    <xf numFmtId="0" fontId="0" fillId="0" borderId="0"/>
    <xf numFmtId="0" fontId="4" fillId="2" borderId="1"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3" fillId="0" borderId="0"/>
  </cellStyleXfs>
  <cellXfs count="342">
    <xf numFmtId="0" fontId="0" fillId="0" borderId="0" xfId="0"/>
    <xf numFmtId="0" fontId="4" fillId="2" borderId="1" xfId="1"/>
    <xf numFmtId="42" fontId="0" fillId="0" borderId="0" xfId="0" applyNumberFormat="1"/>
    <xf numFmtId="0" fontId="8" fillId="0" borderId="0" xfId="0" applyFont="1"/>
    <xf numFmtId="0" fontId="0" fillId="0" borderId="0" xfId="0" applyAlignment="1">
      <alignment vertical="center"/>
    </xf>
    <xf numFmtId="42" fontId="8" fillId="0" borderId="0" xfId="0" applyNumberFormat="1" applyFont="1"/>
    <xf numFmtId="0" fontId="11" fillId="0" borderId="0" xfId="0" applyFont="1"/>
    <xf numFmtId="0" fontId="0" fillId="0" borderId="0" xfId="0" applyAlignment="1">
      <alignment wrapText="1"/>
    </xf>
    <xf numFmtId="164" fontId="0" fillId="0" borderId="0" xfId="4" applyNumberFormat="1" applyFont="1"/>
    <xf numFmtId="42" fontId="4" fillId="2" borderId="1" xfId="1" applyNumberFormat="1"/>
    <xf numFmtId="44" fontId="0" fillId="0" borderId="0" xfId="0" applyNumberFormat="1"/>
    <xf numFmtId="0" fontId="13" fillId="0" borderId="0" xfId="0" applyFont="1"/>
    <xf numFmtId="0" fontId="0" fillId="3" borderId="5" xfId="0" applyFill="1" applyBorder="1"/>
    <xf numFmtId="0" fontId="8" fillId="3" borderId="6" xfId="0" applyFont="1" applyFill="1" applyBorder="1"/>
    <xf numFmtId="0" fontId="8" fillId="3" borderId="7" xfId="0" applyFont="1" applyFill="1" applyBorder="1"/>
    <xf numFmtId="42" fontId="0" fillId="3" borderId="9" xfId="0" applyNumberFormat="1" applyFill="1" applyBorder="1"/>
    <xf numFmtId="42" fontId="0" fillId="3" borderId="10" xfId="0" applyNumberFormat="1" applyFill="1" applyBorder="1"/>
    <xf numFmtId="0" fontId="0" fillId="3" borderId="8" xfId="0" applyFill="1" applyBorder="1"/>
    <xf numFmtId="0" fontId="0" fillId="0" borderId="8" xfId="0" applyBorder="1"/>
    <xf numFmtId="0" fontId="8" fillId="0" borderId="0" xfId="0" applyFont="1" applyAlignment="1">
      <alignment horizontal="center"/>
    </xf>
    <xf numFmtId="0" fontId="0" fillId="0" borderId="0" xfId="0" applyAlignment="1">
      <alignment horizontal="center"/>
    </xf>
    <xf numFmtId="0" fontId="0" fillId="0" borderId="0" xfId="0" applyProtection="1">
      <protection locked="0"/>
    </xf>
    <xf numFmtId="0" fontId="8" fillId="0" borderId="0" xfId="0" applyFont="1" applyProtection="1">
      <protection locked="0"/>
    </xf>
    <xf numFmtId="0" fontId="0" fillId="4" borderId="14" xfId="0" applyFill="1" applyBorder="1" applyProtection="1">
      <protection locked="0"/>
    </xf>
    <xf numFmtId="0" fontId="0" fillId="4" borderId="15" xfId="0" applyFill="1" applyBorder="1" applyProtection="1">
      <protection locked="0"/>
    </xf>
    <xf numFmtId="0" fontId="13" fillId="0" borderId="0" xfId="0" applyFont="1" applyAlignment="1">
      <alignment vertical="center"/>
    </xf>
    <xf numFmtId="0" fontId="11" fillId="0" borderId="0" xfId="0" applyFont="1" applyAlignment="1">
      <alignment horizontal="center"/>
    </xf>
    <xf numFmtId="0" fontId="13" fillId="0" borderId="0" xfId="0" applyFont="1" applyAlignment="1">
      <alignment horizontal="center"/>
    </xf>
    <xf numFmtId="42" fontId="0" fillId="4" borderId="12" xfId="0" applyNumberFormat="1" applyFill="1" applyBorder="1" applyProtection="1">
      <protection locked="0"/>
    </xf>
    <xf numFmtId="164" fontId="0" fillId="4" borderId="12" xfId="4" applyNumberFormat="1" applyFont="1" applyFill="1" applyBorder="1" applyProtection="1">
      <protection locked="0"/>
    </xf>
    <xf numFmtId="164" fontId="0" fillId="4" borderId="13" xfId="4" applyNumberFormat="1" applyFont="1" applyFill="1" applyBorder="1" applyProtection="1">
      <protection locked="0"/>
    </xf>
    <xf numFmtId="0" fontId="15" fillId="0" borderId="0" xfId="0" applyFont="1"/>
    <xf numFmtId="0" fontId="15" fillId="0" borderId="0" xfId="0" applyFont="1" applyProtection="1">
      <protection locked="0"/>
    </xf>
    <xf numFmtId="164" fontId="0" fillId="4" borderId="15" xfId="4" applyNumberFormat="1" applyFont="1" applyFill="1" applyBorder="1" applyProtection="1">
      <protection locked="0"/>
    </xf>
    <xf numFmtId="42" fontId="0" fillId="0" borderId="3" xfId="0" applyNumberFormat="1" applyBorder="1"/>
    <xf numFmtId="0" fontId="8" fillId="0" borderId="3" xfId="0" applyFont="1" applyBorder="1"/>
    <xf numFmtId="0" fontId="8" fillId="0" borderId="4" xfId="0" applyFont="1" applyBorder="1"/>
    <xf numFmtId="42" fontId="8" fillId="4" borderId="4" xfId="0" applyNumberFormat="1" applyFont="1" applyFill="1" applyBorder="1" applyProtection="1">
      <protection locked="0"/>
    </xf>
    <xf numFmtId="42" fontId="8" fillId="4" borderId="17" xfId="0" applyNumberFormat="1" applyFont="1" applyFill="1" applyBorder="1" applyProtection="1">
      <protection locked="0"/>
    </xf>
    <xf numFmtId="0" fontId="16" fillId="0" borderId="0" xfId="0" applyFont="1"/>
    <xf numFmtId="0" fontId="0" fillId="4" borderId="13" xfId="0" applyFill="1" applyBorder="1" applyAlignment="1" applyProtection="1">
      <alignment horizontal="center"/>
      <protection locked="0"/>
    </xf>
    <xf numFmtId="0" fontId="0" fillId="4" borderId="18" xfId="0" applyFill="1" applyBorder="1" applyAlignment="1" applyProtection="1">
      <alignment horizontal="center"/>
      <protection locked="0"/>
    </xf>
    <xf numFmtId="0" fontId="0" fillId="4" borderId="20" xfId="0" applyFill="1" applyBorder="1" applyAlignment="1" applyProtection="1">
      <alignment horizontal="center"/>
      <protection locked="0"/>
    </xf>
    <xf numFmtId="164" fontId="0" fillId="4" borderId="23" xfId="4" applyNumberFormat="1" applyFont="1" applyFill="1" applyBorder="1" applyProtection="1">
      <protection locked="0"/>
    </xf>
    <xf numFmtId="164" fontId="0" fillId="4" borderId="24" xfId="4" applyNumberFormat="1" applyFont="1" applyFill="1" applyBorder="1" applyProtection="1">
      <protection locked="0"/>
    </xf>
    <xf numFmtId="164" fontId="0" fillId="4" borderId="26" xfId="4" applyNumberFormat="1" applyFont="1" applyFill="1" applyBorder="1" applyProtection="1">
      <protection locked="0"/>
    </xf>
    <xf numFmtId="164" fontId="0" fillId="4" borderId="27" xfId="4" applyNumberFormat="1" applyFont="1" applyFill="1" applyBorder="1" applyProtection="1">
      <protection locked="0"/>
    </xf>
    <xf numFmtId="164" fontId="0" fillId="4" borderId="28" xfId="4" applyNumberFormat="1" applyFont="1" applyFill="1" applyBorder="1" applyProtection="1">
      <protection locked="0"/>
    </xf>
    <xf numFmtId="164" fontId="0" fillId="4" borderId="31" xfId="4" applyNumberFormat="1" applyFont="1" applyFill="1" applyBorder="1" applyProtection="1">
      <protection locked="0"/>
    </xf>
    <xf numFmtId="164" fontId="0" fillId="4" borderId="32" xfId="4" applyNumberFormat="1" applyFont="1" applyFill="1" applyBorder="1" applyProtection="1">
      <protection locked="0"/>
    </xf>
    <xf numFmtId="164" fontId="0" fillId="4" borderId="33" xfId="4" applyNumberFormat="1" applyFont="1" applyFill="1" applyBorder="1" applyProtection="1">
      <protection locked="0"/>
    </xf>
    <xf numFmtId="164" fontId="0" fillId="4" borderId="34" xfId="4" applyNumberFormat="1" applyFont="1" applyFill="1" applyBorder="1" applyProtection="1">
      <protection locked="0"/>
    </xf>
    <xf numFmtId="164" fontId="0" fillId="4" borderId="21" xfId="4" applyNumberFormat="1" applyFont="1" applyFill="1" applyBorder="1" applyProtection="1">
      <protection locked="0"/>
    </xf>
    <xf numFmtId="164" fontId="0" fillId="4" borderId="36" xfId="4" applyNumberFormat="1" applyFont="1" applyFill="1" applyBorder="1" applyProtection="1">
      <protection locked="0"/>
    </xf>
    <xf numFmtId="0" fontId="8" fillId="0" borderId="19" xfId="0" applyFont="1" applyBorder="1" applyAlignment="1">
      <alignment horizontal="center"/>
    </xf>
    <xf numFmtId="0" fontId="8" fillId="6" borderId="0" xfId="0" applyFont="1" applyFill="1"/>
    <xf numFmtId="0" fontId="0" fillId="6" borderId="0" xfId="0" applyFill="1"/>
    <xf numFmtId="0" fontId="0" fillId="0" borderId="29" xfId="0" applyBorder="1" applyAlignment="1">
      <alignment vertical="center"/>
    </xf>
    <xf numFmtId="0" fontId="8" fillId="0" borderId="30" xfId="0" applyFont="1" applyBorder="1" applyAlignment="1">
      <alignment vertical="center"/>
    </xf>
    <xf numFmtId="0" fontId="17" fillId="10" borderId="0" xfId="0" applyFont="1" applyFill="1"/>
    <xf numFmtId="0" fontId="18" fillId="10" borderId="0" xfId="0" applyFont="1" applyFill="1"/>
    <xf numFmtId="0" fontId="8" fillId="0" borderId="38" xfId="0" applyFont="1" applyBorder="1" applyAlignment="1">
      <alignment vertical="center"/>
    </xf>
    <xf numFmtId="0" fontId="19" fillId="11" borderId="0" xfId="0" applyFont="1" applyFill="1" applyAlignment="1">
      <alignment horizontal="center" vertical="center"/>
    </xf>
    <xf numFmtId="42" fontId="8" fillId="0" borderId="25" xfId="0" applyNumberFormat="1" applyFont="1" applyBorder="1"/>
    <xf numFmtId="164" fontId="0" fillId="4" borderId="39" xfId="4" applyNumberFormat="1" applyFont="1" applyFill="1" applyBorder="1" applyProtection="1">
      <protection locked="0"/>
    </xf>
    <xf numFmtId="42" fontId="0" fillId="4" borderId="14" xfId="0" applyNumberFormat="1" applyFill="1" applyBorder="1" applyProtection="1">
      <protection locked="0"/>
    </xf>
    <xf numFmtId="0" fontId="20" fillId="0" borderId="0" xfId="0" applyFont="1"/>
    <xf numFmtId="0" fontId="16" fillId="0" borderId="0" xfId="0" applyFont="1" applyAlignment="1">
      <alignment horizontal="center"/>
    </xf>
    <xf numFmtId="42" fontId="8" fillId="0" borderId="22" xfId="0" applyNumberFormat="1" applyFont="1" applyBorder="1"/>
    <xf numFmtId="164" fontId="0" fillId="4" borderId="40" xfId="4" applyNumberFormat="1" applyFont="1" applyFill="1" applyBorder="1" applyProtection="1">
      <protection locked="0"/>
    </xf>
    <xf numFmtId="164" fontId="0" fillId="4" borderId="41" xfId="4" applyNumberFormat="1" applyFont="1" applyFill="1" applyBorder="1" applyProtection="1">
      <protection locked="0"/>
    </xf>
    <xf numFmtId="164" fontId="0" fillId="4" borderId="43" xfId="4" applyNumberFormat="1" applyFont="1" applyFill="1" applyBorder="1" applyProtection="1">
      <protection locked="0"/>
    </xf>
    <xf numFmtId="164" fontId="0" fillId="4" borderId="42" xfId="4" applyNumberFormat="1" applyFont="1" applyFill="1" applyBorder="1" applyProtection="1">
      <protection locked="0"/>
    </xf>
    <xf numFmtId="42" fontId="0" fillId="0" borderId="9" xfId="0" applyNumberFormat="1" applyBorder="1"/>
    <xf numFmtId="0" fontId="10" fillId="4" borderId="2" xfId="0" applyFont="1" applyFill="1" applyBorder="1" applyAlignment="1" applyProtection="1">
      <alignment vertical="center"/>
      <protection locked="0"/>
    </xf>
    <xf numFmtId="0" fontId="8" fillId="0" borderId="0" xfId="0" applyFont="1" applyAlignment="1">
      <alignment horizontal="right"/>
    </xf>
    <xf numFmtId="0" fontId="0" fillId="0" borderId="0" xfId="0" applyAlignment="1" applyProtection="1">
      <alignment wrapText="1"/>
      <protection locked="0"/>
    </xf>
    <xf numFmtId="164" fontId="0" fillId="0" borderId="0" xfId="4" applyNumberFormat="1" applyFont="1" applyProtection="1">
      <protection locked="0"/>
    </xf>
    <xf numFmtId="0" fontId="0" fillId="0" borderId="0" xfId="0" applyAlignment="1" applyProtection="1">
      <alignment horizontal="center"/>
      <protection locked="0"/>
    </xf>
    <xf numFmtId="42" fontId="0" fillId="0" borderId="0" xfId="0" applyNumberFormat="1" applyProtection="1">
      <protection locked="0"/>
    </xf>
    <xf numFmtId="165" fontId="0" fillId="0" borderId="35" xfId="6" applyNumberFormat="1" applyFont="1" applyBorder="1"/>
    <xf numFmtId="0" fontId="0" fillId="0" borderId="0" xfId="0" applyAlignment="1">
      <alignment horizontal="right"/>
    </xf>
    <xf numFmtId="0" fontId="16" fillId="0" borderId="0" xfId="0" applyFont="1" applyAlignment="1">
      <alignment horizontal="left"/>
    </xf>
    <xf numFmtId="0" fontId="22" fillId="0" borderId="0" xfId="0" applyFont="1"/>
    <xf numFmtId="165" fontId="8" fillId="0" borderId="35" xfId="6" applyNumberFormat="1" applyFont="1" applyBorder="1"/>
    <xf numFmtId="165" fontId="9" fillId="0" borderId="35" xfId="6" applyNumberFormat="1" applyBorder="1"/>
    <xf numFmtId="0" fontId="3" fillId="0" borderId="0" xfId="7"/>
    <xf numFmtId="0" fontId="3" fillId="0" borderId="0" xfId="7" applyAlignment="1">
      <alignment horizontal="center"/>
    </xf>
    <xf numFmtId="0" fontId="21" fillId="0" borderId="0" xfId="7" applyFont="1" applyAlignment="1">
      <alignment horizontal="center"/>
    </xf>
    <xf numFmtId="0" fontId="3" fillId="5" borderId="0" xfId="7" applyFill="1"/>
    <xf numFmtId="0" fontId="3" fillId="7" borderId="0" xfId="7" applyFill="1"/>
    <xf numFmtId="0" fontId="21" fillId="0" borderId="0" xfId="7" applyFont="1"/>
    <xf numFmtId="0" fontId="23" fillId="0" borderId="0" xfId="7" applyFont="1"/>
    <xf numFmtId="0" fontId="3" fillId="8" borderId="0" xfId="7" applyFill="1"/>
    <xf numFmtId="0" fontId="3" fillId="13" borderId="0" xfId="7" applyFill="1"/>
    <xf numFmtId="0" fontId="23" fillId="0" borderId="0" xfId="7" applyFont="1" applyAlignment="1">
      <alignment horizontal="center"/>
    </xf>
    <xf numFmtId="0" fontId="3" fillId="0" borderId="11" xfId="7" applyBorder="1" applyAlignment="1" applyProtection="1">
      <alignment horizontal="center"/>
      <protection locked="0"/>
    </xf>
    <xf numFmtId="3" fontId="8" fillId="6" borderId="11" xfId="0" applyNumberFormat="1" applyFont="1" applyFill="1" applyBorder="1" applyAlignment="1" applyProtection="1">
      <alignment horizontal="center"/>
      <protection locked="0"/>
    </xf>
    <xf numFmtId="0" fontId="21" fillId="0" borderId="0" xfId="7" quotePrefix="1" applyFont="1"/>
    <xf numFmtId="164" fontId="8" fillId="0" borderId="0" xfId="4" applyNumberFormat="1" applyFont="1" applyAlignment="1">
      <alignment horizontal="center" wrapText="1"/>
    </xf>
    <xf numFmtId="0" fontId="15" fillId="0" borderId="0" xfId="0" applyFont="1" applyAlignment="1">
      <alignment horizontal="right" wrapText="1"/>
    </xf>
    <xf numFmtId="0" fontId="0" fillId="0" borderId="4" xfId="0" applyBorder="1"/>
    <xf numFmtId="0" fontId="0" fillId="4" borderId="12" xfId="0" applyFill="1" applyBorder="1" applyProtection="1">
      <protection locked="0"/>
    </xf>
    <xf numFmtId="0" fontId="0" fillId="0" borderId="0" xfId="0" applyBorder="1" applyAlignment="1">
      <alignment vertical="center"/>
    </xf>
    <xf numFmtId="0" fontId="8" fillId="0" borderId="0" xfId="0" applyFont="1" applyBorder="1" applyAlignment="1">
      <alignment vertical="center"/>
    </xf>
    <xf numFmtId="0" fontId="17" fillId="8" borderId="2" xfId="0" applyFont="1" applyFill="1" applyBorder="1" applyAlignment="1">
      <alignment vertical="center"/>
    </xf>
    <xf numFmtId="0" fontId="8" fillId="0" borderId="46" xfId="0" quotePrefix="1" applyFont="1" applyBorder="1"/>
    <xf numFmtId="0" fontId="0" fillId="0" borderId="0" xfId="0" applyBorder="1" applyAlignment="1">
      <alignment horizontal="left" vertical="center" wrapText="1"/>
    </xf>
    <xf numFmtId="0" fontId="8" fillId="0" borderId="48" xfId="0" applyFont="1" applyBorder="1" applyAlignment="1">
      <alignment vertical="center"/>
    </xf>
    <xf numFmtId="0" fontId="17" fillId="7" borderId="49" xfId="0" applyFont="1" applyFill="1" applyBorder="1" applyAlignment="1">
      <alignment vertical="center"/>
    </xf>
    <xf numFmtId="0" fontId="17" fillId="7" borderId="50" xfId="0" applyFont="1" applyFill="1" applyBorder="1" applyAlignment="1">
      <alignment vertical="center"/>
    </xf>
    <xf numFmtId="0" fontId="8" fillId="0" borderId="37" xfId="0" applyFont="1" applyBorder="1" applyAlignment="1">
      <alignment vertical="center"/>
    </xf>
    <xf numFmtId="0" fontId="13" fillId="0" borderId="0" xfId="0" applyFont="1" applyAlignment="1">
      <alignment horizontal="left"/>
    </xf>
    <xf numFmtId="0" fontId="21" fillId="0" borderId="0" xfId="0" applyFont="1"/>
    <xf numFmtId="0" fontId="8" fillId="0" borderId="51" xfId="0" quotePrefix="1" applyFont="1" applyBorder="1"/>
    <xf numFmtId="42" fontId="8" fillId="0" borderId="52" xfId="0" applyNumberFormat="1" applyFont="1" applyBorder="1"/>
    <xf numFmtId="0" fontId="0" fillId="0" borderId="47" xfId="0" applyBorder="1"/>
    <xf numFmtId="170" fontId="0" fillId="0" borderId="0" xfId="0" applyNumberFormat="1"/>
    <xf numFmtId="170" fontId="0" fillId="0" borderId="0" xfId="0" applyNumberFormat="1" applyAlignment="1" applyProtection="1">
      <alignment horizontal="center"/>
      <protection locked="0"/>
    </xf>
    <xf numFmtId="170" fontId="0" fillId="0" borderId="0" xfId="0" applyNumberFormat="1" applyAlignment="1">
      <alignment horizontal="center"/>
    </xf>
    <xf numFmtId="170" fontId="0" fillId="6" borderId="0" xfId="0" applyNumberFormat="1" applyFill="1"/>
    <xf numFmtId="0" fontId="0" fillId="6" borderId="0" xfId="0" applyFill="1" applyAlignment="1">
      <alignment wrapText="1"/>
    </xf>
    <xf numFmtId="164" fontId="0" fillId="6" borderId="0" xfId="4" applyNumberFormat="1" applyFont="1" applyFill="1"/>
    <xf numFmtId="0" fontId="0" fillId="0" borderId="16" xfId="0" applyBorder="1" applyAlignment="1">
      <alignment vertical="center"/>
    </xf>
    <xf numFmtId="0" fontId="0" fillId="0" borderId="3" xfId="0" applyBorder="1" applyAlignment="1">
      <alignment vertical="center"/>
    </xf>
    <xf numFmtId="0" fontId="0" fillId="0" borderId="56" xfId="0" applyBorder="1" applyAlignment="1">
      <alignment vertical="center"/>
    </xf>
    <xf numFmtId="0" fontId="8" fillId="0" borderId="46" xfId="0" applyFont="1" applyBorder="1" applyAlignment="1">
      <alignment vertical="center"/>
    </xf>
    <xf numFmtId="0" fontId="8" fillId="0" borderId="11" xfId="0" applyFont="1" applyBorder="1" applyAlignment="1">
      <alignment horizontal="center" vertical="center"/>
    </xf>
    <xf numFmtId="0" fontId="0" fillId="0" borderId="13" xfId="0" applyBorder="1" applyAlignment="1">
      <alignment vertical="center"/>
    </xf>
    <xf numFmtId="0" fontId="8" fillId="0" borderId="58" xfId="0" applyFont="1" applyBorder="1" applyAlignment="1">
      <alignment vertical="center"/>
    </xf>
    <xf numFmtId="0" fontId="0" fillId="0" borderId="62" xfId="0" applyBorder="1" applyAlignment="1">
      <alignment vertical="center"/>
    </xf>
    <xf numFmtId="1" fontId="0" fillId="0" borderId="54" xfId="4" applyNumberFormat="1" applyFont="1" applyBorder="1" applyAlignment="1">
      <alignment horizontal="center" vertical="center"/>
    </xf>
    <xf numFmtId="1" fontId="0" fillId="0" borderId="60" xfId="4" applyNumberFormat="1" applyFont="1" applyBorder="1" applyAlignment="1">
      <alignment horizontal="center" vertical="center"/>
    </xf>
    <xf numFmtId="1" fontId="0" fillId="0" borderId="61" xfId="4" applyNumberFormat="1" applyFont="1" applyBorder="1" applyAlignment="1">
      <alignment horizontal="center" vertical="center"/>
    </xf>
    <xf numFmtId="1" fontId="8" fillId="0" borderId="55" xfId="4" applyNumberFormat="1" applyFont="1" applyBorder="1" applyAlignment="1">
      <alignment horizontal="center" vertical="center"/>
    </xf>
    <xf numFmtId="0" fontId="8" fillId="0" borderId="15" xfId="0" applyFont="1" applyBorder="1" applyAlignment="1">
      <alignment horizontal="center"/>
    </xf>
    <xf numFmtId="164" fontId="0" fillId="4" borderId="63" xfId="4" applyNumberFormat="1" applyFont="1" applyFill="1" applyBorder="1" applyProtection="1">
      <protection locked="0"/>
    </xf>
    <xf numFmtId="164" fontId="0" fillId="4" borderId="64" xfId="4" applyNumberFormat="1" applyFont="1" applyFill="1" applyBorder="1" applyProtection="1">
      <protection locked="0"/>
    </xf>
    <xf numFmtId="164" fontId="0" fillId="0" borderId="63" xfId="4" applyNumberFormat="1" applyFont="1" applyBorder="1"/>
    <xf numFmtId="164" fontId="0" fillId="0" borderId="64" xfId="4" applyNumberFormat="1" applyFont="1" applyFill="1" applyBorder="1" applyProtection="1">
      <protection locked="0"/>
    </xf>
    <xf numFmtId="0" fontId="0" fillId="0" borderId="0" xfId="0" applyAlignment="1" applyProtection="1">
      <alignment horizontal="center"/>
    </xf>
    <xf numFmtId="170" fontId="0" fillId="0" borderId="0" xfId="0" quotePrefix="1" applyNumberFormat="1" applyAlignment="1" applyProtection="1">
      <alignment horizontal="center"/>
    </xf>
    <xf numFmtId="0" fontId="0" fillId="0" borderId="0" xfId="0" applyAlignment="1" applyProtection="1">
      <alignment wrapText="1"/>
    </xf>
    <xf numFmtId="164" fontId="0" fillId="0" borderId="0" xfId="4" applyNumberFormat="1" applyFont="1" applyProtection="1"/>
    <xf numFmtId="170" fontId="0" fillId="0" borderId="0" xfId="0" applyNumberFormat="1" applyAlignment="1" applyProtection="1">
      <alignment horizontal="center"/>
    </xf>
    <xf numFmtId="170" fontId="13" fillId="0" borderId="0" xfId="0" applyNumberFormat="1" applyFont="1" applyAlignment="1">
      <alignment horizontal="center"/>
    </xf>
    <xf numFmtId="0" fontId="13" fillId="0" borderId="0" xfId="0" applyFont="1" applyAlignment="1">
      <alignment wrapText="1"/>
    </xf>
    <xf numFmtId="164" fontId="13" fillId="0" borderId="0" xfId="4" applyNumberFormat="1" applyFont="1" applyAlignment="1">
      <alignment horizontal="center"/>
    </xf>
    <xf numFmtId="0" fontId="18" fillId="0" borderId="0" xfId="0" applyFont="1" applyFill="1" applyBorder="1"/>
    <xf numFmtId="0" fontId="17" fillId="0" borderId="0" xfId="0" applyFont="1" applyFill="1" applyBorder="1"/>
    <xf numFmtId="0" fontId="27" fillId="0" borderId="0" xfId="0" applyFont="1" applyFill="1" applyBorder="1" applyAlignment="1">
      <alignment horizontal="center"/>
    </xf>
    <xf numFmtId="42" fontId="18" fillId="0" borderId="0" xfId="0" applyNumberFormat="1" applyFont="1" applyFill="1" applyBorder="1"/>
    <xf numFmtId="44" fontId="18" fillId="0" borderId="0" xfId="0" applyNumberFormat="1" applyFont="1" applyFill="1" applyBorder="1"/>
    <xf numFmtId="0" fontId="17" fillId="0" borderId="0" xfId="0" quotePrefix="1" applyFont="1" applyFill="1" applyBorder="1"/>
    <xf numFmtId="42" fontId="17" fillId="0" borderId="0" xfId="0" applyNumberFormat="1" applyFont="1" applyFill="1" applyBorder="1"/>
    <xf numFmtId="0" fontId="17" fillId="0" borderId="0" xfId="1" applyFont="1" applyFill="1" applyBorder="1"/>
    <xf numFmtId="42" fontId="17" fillId="0" borderId="0" xfId="1" applyNumberFormat="1" applyFont="1" applyFill="1" applyBorder="1"/>
    <xf numFmtId="0" fontId="27" fillId="0" borderId="0" xfId="0" applyFont="1" applyFill="1" applyBorder="1"/>
    <xf numFmtId="169" fontId="18" fillId="0" borderId="0" xfId="6" applyNumberFormat="1" applyFont="1" applyFill="1" applyBorder="1"/>
    <xf numFmtId="169" fontId="18" fillId="0" borderId="0" xfId="0" applyNumberFormat="1" applyFont="1" applyFill="1" applyBorder="1"/>
    <xf numFmtId="169" fontId="18" fillId="0" borderId="0" xfId="6" applyNumberFormat="1" applyFont="1" applyFill="1" applyBorder="1" applyAlignment="1">
      <alignment horizontal="center"/>
    </xf>
    <xf numFmtId="169" fontId="17" fillId="0" borderId="0" xfId="6" applyNumberFormat="1" applyFont="1" applyFill="1" applyBorder="1"/>
    <xf numFmtId="169" fontId="18" fillId="0" borderId="0" xfId="0" applyNumberFormat="1" applyFont="1" applyFill="1" applyBorder="1" applyAlignment="1">
      <alignment horizontal="right"/>
    </xf>
    <xf numFmtId="169" fontId="17" fillId="0" borderId="0" xfId="6" applyNumberFormat="1" applyFont="1" applyFill="1" applyBorder="1" applyAlignment="1">
      <alignment horizontal="center"/>
    </xf>
    <xf numFmtId="169" fontId="17" fillId="0" borderId="0" xfId="0" applyNumberFormat="1" applyFont="1" applyFill="1" applyBorder="1"/>
    <xf numFmtId="169" fontId="27" fillId="0" borderId="0" xfId="6" applyNumberFormat="1" applyFont="1" applyFill="1" applyBorder="1" applyAlignment="1">
      <alignment horizontal="center"/>
    </xf>
    <xf numFmtId="169" fontId="27" fillId="0" borderId="0" xfId="0" applyNumberFormat="1" applyFont="1" applyFill="1" applyBorder="1" applyAlignment="1">
      <alignment horizontal="center"/>
    </xf>
    <xf numFmtId="169" fontId="28" fillId="0" borderId="0" xfId="0" applyNumberFormat="1" applyFont="1" applyFill="1" applyBorder="1" applyAlignment="1">
      <alignment horizontal="center"/>
    </xf>
    <xf numFmtId="16" fontId="18" fillId="0" borderId="0" xfId="0" applyNumberFormat="1" applyFont="1" applyFill="1" applyBorder="1"/>
    <xf numFmtId="169" fontId="18" fillId="0" borderId="0" xfId="0" applyNumberFormat="1" applyFont="1" applyFill="1" applyBorder="1" applyAlignment="1">
      <alignment horizontal="center"/>
    </xf>
    <xf numFmtId="164" fontId="17" fillId="0" borderId="0" xfId="0" applyNumberFormat="1" applyFont="1" applyFill="1" applyBorder="1"/>
    <xf numFmtId="9" fontId="17" fillId="0" borderId="0" xfId="0" applyNumberFormat="1" applyFont="1" applyFill="1" applyBorder="1" applyAlignment="1">
      <alignment horizontal="center"/>
    </xf>
    <xf numFmtId="0" fontId="17" fillId="0" borderId="0" xfId="0" applyFont="1" applyFill="1" applyBorder="1" applyAlignment="1">
      <alignment horizontal="center"/>
    </xf>
    <xf numFmtId="0" fontId="17" fillId="0" borderId="0" xfId="0" applyFont="1" applyFill="1" applyBorder="1" applyAlignment="1">
      <alignment horizontal="right"/>
    </xf>
    <xf numFmtId="164" fontId="18" fillId="0" borderId="0" xfId="0" applyNumberFormat="1" applyFont="1" applyFill="1" applyBorder="1"/>
    <xf numFmtId="164" fontId="17" fillId="0" borderId="0" xfId="0" applyNumberFormat="1" applyFont="1" applyFill="1" applyBorder="1" applyAlignment="1">
      <alignment horizontal="center"/>
    </xf>
    <xf numFmtId="0" fontId="18" fillId="0" borderId="0" xfId="0" applyFont="1" applyFill="1" applyBorder="1" applyAlignment="1">
      <alignment horizontal="right"/>
    </xf>
    <xf numFmtId="167" fontId="18" fillId="0" borderId="0" xfId="5" applyNumberFormat="1" applyFont="1" applyFill="1" applyBorder="1"/>
    <xf numFmtId="0" fontId="29" fillId="0" borderId="0" xfId="0" applyFont="1"/>
    <xf numFmtId="0" fontId="29" fillId="0" borderId="0" xfId="0" applyFont="1" applyBorder="1"/>
    <xf numFmtId="0" fontId="29" fillId="0" borderId="0" xfId="0" applyFont="1" applyAlignment="1">
      <alignment vertical="center"/>
    </xf>
    <xf numFmtId="0" fontId="29" fillId="0" borderId="0" xfId="0" applyFont="1" applyFill="1" applyBorder="1"/>
    <xf numFmtId="0" fontId="29" fillId="0" borderId="0"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xf>
    <xf numFmtId="166" fontId="18" fillId="0" borderId="0" xfId="0" applyNumberFormat="1" applyFont="1" applyAlignment="1">
      <alignment vertical="center"/>
    </xf>
    <xf numFmtId="165" fontId="8" fillId="0" borderId="0" xfId="6" applyNumberFormat="1" applyFont="1"/>
    <xf numFmtId="0" fontId="8" fillId="0" borderId="65" xfId="0" applyFont="1" applyBorder="1" applyAlignment="1">
      <alignment vertical="center"/>
    </xf>
    <xf numFmtId="0" fontId="8" fillId="0" borderId="66" xfId="0" applyFont="1" applyBorder="1" applyAlignment="1">
      <alignment vertical="center"/>
    </xf>
    <xf numFmtId="0" fontId="10" fillId="4" borderId="11" xfId="0" applyFont="1" applyFill="1" applyBorder="1" applyAlignment="1">
      <alignment horizontal="left" vertical="center" wrapText="1"/>
    </xf>
    <xf numFmtId="0" fontId="17" fillId="7" borderId="11" xfId="0" applyFont="1" applyFill="1" applyBorder="1" applyAlignment="1">
      <alignment vertical="center" wrapText="1"/>
    </xf>
    <xf numFmtId="0" fontId="17" fillId="8" borderId="11" xfId="0" applyFont="1" applyFill="1" applyBorder="1" applyAlignment="1">
      <alignment vertical="center" wrapText="1"/>
    </xf>
    <xf numFmtId="0" fontId="17" fillId="9" borderId="11" xfId="0" applyFont="1" applyFill="1" applyBorder="1" applyAlignment="1">
      <alignment vertical="center" wrapText="1"/>
    </xf>
    <xf numFmtId="0" fontId="18" fillId="0" borderId="0" xfId="0" applyFont="1" applyFill="1" applyBorder="1" applyAlignment="1">
      <alignment horizontal="center"/>
    </xf>
    <xf numFmtId="0" fontId="18" fillId="0" borderId="0" xfId="0" applyFont="1"/>
    <xf numFmtId="167" fontId="18" fillId="0" borderId="0" xfId="5" applyNumberFormat="1" applyFont="1" applyFill="1" applyBorder="1" applyAlignment="1">
      <alignment horizontal="center"/>
    </xf>
    <xf numFmtId="0" fontId="18" fillId="0" borderId="0" xfId="0" applyFont="1" applyAlignment="1">
      <alignment horizontal="left"/>
    </xf>
    <xf numFmtId="0" fontId="14"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vertical="center"/>
    </xf>
    <xf numFmtId="164" fontId="18" fillId="0" borderId="0" xfId="4" applyNumberFormat="1" applyFont="1" applyFill="1" applyBorder="1"/>
    <xf numFmtId="9" fontId="17" fillId="0" borderId="0" xfId="5" applyFont="1" applyFill="1" applyBorder="1" applyAlignment="1">
      <alignment horizontal="center"/>
    </xf>
    <xf numFmtId="0" fontId="28" fillId="0" borderId="0" xfId="0" applyFont="1" applyFill="1" applyBorder="1" applyAlignment="1">
      <alignment horizontal="center"/>
    </xf>
    <xf numFmtId="0" fontId="28" fillId="0" borderId="0" xfId="0" applyFont="1" applyAlignment="1">
      <alignment horizontal="center"/>
    </xf>
    <xf numFmtId="0" fontId="17" fillId="0" borderId="0" xfId="0" applyFont="1" applyAlignment="1">
      <alignment horizontal="left"/>
    </xf>
    <xf numFmtId="0" fontId="18" fillId="0" borderId="0" xfId="0" applyFont="1" applyAlignment="1">
      <alignment horizontal="center"/>
    </xf>
    <xf numFmtId="0" fontId="18" fillId="0" borderId="0" xfId="0" applyFont="1" applyFill="1" applyBorder="1" applyAlignment="1">
      <alignment wrapText="1"/>
    </xf>
    <xf numFmtId="0" fontId="28" fillId="0" borderId="0" xfId="0" applyFont="1" applyFill="1" applyBorder="1"/>
    <xf numFmtId="0" fontId="17" fillId="0" borderId="0" xfId="0" applyFont="1" applyAlignment="1">
      <alignment horizontal="center"/>
    </xf>
    <xf numFmtId="42" fontId="18" fillId="0" borderId="0" xfId="0" applyNumberFormat="1" applyFont="1" applyFill="1" applyBorder="1" applyAlignment="1">
      <alignment horizontal="center"/>
    </xf>
    <xf numFmtId="164" fontId="18" fillId="0" borderId="0" xfId="4" applyNumberFormat="1" applyFont="1" applyFill="1" applyBorder="1" applyProtection="1">
      <protection locked="0"/>
    </xf>
    <xf numFmtId="0" fontId="18" fillId="0" borderId="0" xfId="0" applyFont="1" applyFill="1" applyBorder="1" applyAlignment="1" applyProtection="1">
      <alignment horizontal="center"/>
      <protection locked="0"/>
    </xf>
    <xf numFmtId="0" fontId="2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pplyProtection="1">
      <alignment horizontal="center"/>
      <protection locked="0"/>
    </xf>
    <xf numFmtId="0" fontId="0" fillId="4" borderId="12" xfId="0" applyFill="1" applyBorder="1" applyAlignment="1" applyProtection="1">
      <alignment horizontal="center"/>
      <protection locked="0"/>
    </xf>
    <xf numFmtId="0" fontId="8" fillId="0" borderId="12" xfId="0" applyFont="1" applyBorder="1" applyAlignment="1" applyProtection="1">
      <alignment horizontal="center"/>
      <protection locked="0"/>
    </xf>
    <xf numFmtId="165" fontId="0" fillId="0" borderId="0" xfId="6" applyNumberFormat="1" applyFont="1" applyBorder="1"/>
    <xf numFmtId="164" fontId="0" fillId="4" borderId="67" xfId="4" applyNumberFormat="1" applyFont="1" applyFill="1" applyBorder="1" applyProtection="1">
      <protection locked="0"/>
    </xf>
    <xf numFmtId="164" fontId="0" fillId="4" borderId="68" xfId="4" applyNumberFormat="1" applyFont="1" applyFill="1" applyBorder="1" applyProtection="1">
      <protection locked="0"/>
    </xf>
    <xf numFmtId="164" fontId="0" fillId="4" borderId="69" xfId="4" applyNumberFormat="1" applyFont="1" applyFill="1" applyBorder="1" applyProtection="1">
      <protection locked="0"/>
    </xf>
    <xf numFmtId="164" fontId="0" fillId="4" borderId="70" xfId="4" applyNumberFormat="1" applyFont="1" applyFill="1" applyBorder="1" applyProtection="1">
      <protection locked="0"/>
    </xf>
    <xf numFmtId="0" fontId="17" fillId="0" borderId="11" xfId="0" applyFont="1" applyBorder="1"/>
    <xf numFmtId="0" fontId="18" fillId="0" borderId="11" xfId="0" applyFont="1" applyBorder="1"/>
    <xf numFmtId="2" fontId="18" fillId="0" borderId="11" xfId="0" applyNumberFormat="1" applyFont="1" applyBorder="1"/>
    <xf numFmtId="0" fontId="17" fillId="0" borderId="46" xfId="0" applyFont="1" applyBorder="1" applyAlignment="1">
      <alignment vertical="center"/>
    </xf>
    <xf numFmtId="0" fontId="17" fillId="0" borderId="11" xfId="0" applyFont="1" applyBorder="1" applyAlignment="1">
      <alignment horizontal="center" vertical="center"/>
    </xf>
    <xf numFmtId="0" fontId="18" fillId="0" borderId="56" xfId="0" applyFont="1" applyBorder="1" applyAlignment="1">
      <alignment vertical="center"/>
    </xf>
    <xf numFmtId="1" fontId="18" fillId="0" borderId="54" xfId="4" applyNumberFormat="1" applyFont="1" applyBorder="1" applyAlignment="1">
      <alignment horizontal="center" vertical="center"/>
    </xf>
    <xf numFmtId="168" fontId="18" fillId="0" borderId="54" xfId="4" applyNumberFormat="1" applyFont="1" applyBorder="1" applyAlignment="1">
      <alignment horizontal="center" vertical="center"/>
    </xf>
    <xf numFmtId="167" fontId="18" fillId="0" borderId="54" xfId="5" applyNumberFormat="1" applyFont="1" applyBorder="1" applyAlignment="1">
      <alignment horizontal="center" vertical="center"/>
    </xf>
    <xf numFmtId="0" fontId="18" fillId="0" borderId="13" xfId="0" applyFont="1" applyBorder="1" applyAlignment="1">
      <alignment vertical="center"/>
    </xf>
    <xf numFmtId="1" fontId="18" fillId="0" borderId="60" xfId="4" applyNumberFormat="1" applyFont="1" applyBorder="1" applyAlignment="1">
      <alignment horizontal="center" vertical="center"/>
    </xf>
    <xf numFmtId="168" fontId="18" fillId="0" borderId="60" xfId="4" applyNumberFormat="1" applyFont="1" applyBorder="1" applyAlignment="1">
      <alignment horizontal="center" vertical="center"/>
    </xf>
    <xf numFmtId="0" fontId="18" fillId="0" borderId="62" xfId="0" applyFont="1" applyBorder="1" applyAlignment="1">
      <alignment vertical="center"/>
    </xf>
    <xf numFmtId="1" fontId="18" fillId="0" borderId="61" xfId="4" applyNumberFormat="1" applyFont="1" applyBorder="1" applyAlignment="1">
      <alignment horizontal="center" vertical="center"/>
    </xf>
    <xf numFmtId="168" fontId="18" fillId="0" borderId="61" xfId="4" applyNumberFormat="1" applyFont="1" applyBorder="1" applyAlignment="1">
      <alignment horizontal="center" vertical="center"/>
    </xf>
    <xf numFmtId="167" fontId="18" fillId="0" borderId="61" xfId="5" applyNumberFormat="1" applyFont="1" applyBorder="1" applyAlignment="1">
      <alignment horizontal="center" vertical="center"/>
    </xf>
    <xf numFmtId="0" fontId="17" fillId="0" borderId="58" xfId="0" applyFont="1" applyBorder="1" applyAlignment="1">
      <alignment vertical="center"/>
    </xf>
    <xf numFmtId="1" fontId="17" fillId="0" borderId="55" xfId="4" applyNumberFormat="1" applyFont="1" applyBorder="1" applyAlignment="1">
      <alignment horizontal="center" vertical="center"/>
    </xf>
    <xf numFmtId="168" fontId="17" fillId="0" borderId="55" xfId="4" applyNumberFormat="1" applyFont="1" applyBorder="1" applyAlignment="1">
      <alignment horizontal="center" vertical="center"/>
    </xf>
    <xf numFmtId="167" fontId="17" fillId="0" borderId="55" xfId="5" applyNumberFormat="1" applyFont="1" applyBorder="1" applyAlignment="1">
      <alignment horizontal="center" vertical="center"/>
    </xf>
    <xf numFmtId="0" fontId="27" fillId="0" borderId="0" xfId="0" applyFont="1"/>
    <xf numFmtId="0" fontId="17" fillId="0" borderId="0" xfId="0" applyFont="1"/>
    <xf numFmtId="0" fontId="18" fillId="0" borderId="0" xfId="0" applyNumberFormat="1" applyFont="1" applyFill="1" applyBorder="1" applyAlignment="1" applyProtection="1">
      <alignment horizontal="center"/>
      <protection locked="0"/>
    </xf>
    <xf numFmtId="0" fontId="18" fillId="0" borderId="0" xfId="0" quotePrefix="1" applyFont="1" applyFill="1" applyBorder="1"/>
    <xf numFmtId="0" fontId="17" fillId="0" borderId="0" xfId="0" applyFont="1" applyFill="1" applyBorder="1" applyAlignment="1">
      <alignment horizontal="center"/>
    </xf>
    <xf numFmtId="0" fontId="12" fillId="0" borderId="0" xfId="0" applyFont="1"/>
    <xf numFmtId="0" fontId="12" fillId="10" borderId="0" xfId="0" applyFont="1" applyFill="1"/>
    <xf numFmtId="0" fontId="31" fillId="0" borderId="0" xfId="0" applyFont="1"/>
    <xf numFmtId="0" fontId="30" fillId="0" borderId="15" xfId="0" applyFont="1" applyBorder="1"/>
    <xf numFmtId="0" fontId="30" fillId="0" borderId="0" xfId="0" applyFont="1"/>
    <xf numFmtId="0" fontId="29" fillId="4" borderId="15" xfId="0" applyFont="1" applyFill="1" applyBorder="1" applyProtection="1">
      <protection locked="0"/>
    </xf>
    <xf numFmtId="42" fontId="29" fillId="4" borderId="44" xfId="0" applyNumberFormat="1" applyFont="1" applyFill="1" applyBorder="1" applyProtection="1">
      <protection locked="0"/>
    </xf>
    <xf numFmtId="42" fontId="29" fillId="0" borderId="0" xfId="0" applyNumberFormat="1" applyFont="1"/>
    <xf numFmtId="0" fontId="31" fillId="0" borderId="0" xfId="0" applyFont="1" applyAlignment="1">
      <alignment horizontal="center"/>
    </xf>
    <xf numFmtId="0" fontId="29" fillId="4" borderId="14" xfId="0" applyFont="1" applyFill="1" applyBorder="1" applyProtection="1">
      <protection locked="0"/>
    </xf>
    <xf numFmtId="0" fontId="12" fillId="0" borderId="4" xfId="0" applyFont="1" applyBorder="1"/>
    <xf numFmtId="42" fontId="12" fillId="4" borderId="4" xfId="0" applyNumberFormat="1" applyFont="1" applyFill="1" applyBorder="1" applyProtection="1">
      <protection locked="0"/>
    </xf>
    <xf numFmtId="0" fontId="30" fillId="0" borderId="0" xfId="0" applyFont="1" applyAlignment="1">
      <alignment horizontal="left"/>
    </xf>
    <xf numFmtId="0" fontId="12" fillId="0" borderId="0" xfId="0" applyFont="1" applyBorder="1"/>
    <xf numFmtId="42" fontId="12" fillId="0" borderId="0" xfId="0" applyNumberFormat="1" applyFont="1" applyFill="1" applyBorder="1" applyProtection="1">
      <protection locked="0"/>
    </xf>
    <xf numFmtId="0" fontId="29" fillId="0" borderId="12" xfId="0" applyFont="1" applyBorder="1"/>
    <xf numFmtId="42" fontId="29" fillId="4" borderId="12" xfId="0" applyNumberFormat="1" applyFont="1" applyFill="1" applyBorder="1" applyProtection="1">
      <protection locked="0"/>
    </xf>
    <xf numFmtId="42" fontId="29" fillId="0" borderId="0" xfId="0" applyNumberFormat="1" applyFont="1" applyFill="1" applyBorder="1" applyProtection="1">
      <protection locked="0"/>
    </xf>
    <xf numFmtId="0" fontId="12" fillId="0" borderId="17" xfId="0" applyFont="1" applyBorder="1"/>
    <xf numFmtId="42" fontId="12" fillId="4" borderId="17" xfId="0" applyNumberFormat="1" applyFont="1" applyFill="1" applyBorder="1" applyProtection="1">
      <protection locked="0"/>
    </xf>
    <xf numFmtId="0" fontId="29" fillId="4" borderId="12" xfId="0" applyFont="1" applyFill="1" applyBorder="1" applyProtection="1">
      <protection locked="0"/>
    </xf>
    <xf numFmtId="42" fontId="29" fillId="4" borderId="53" xfId="0" applyNumberFormat="1" applyFont="1" applyFill="1" applyBorder="1" applyProtection="1">
      <protection locked="0"/>
    </xf>
    <xf numFmtId="42" fontId="29" fillId="0" borderId="3" xfId="0" applyNumberFormat="1" applyFont="1" applyBorder="1"/>
    <xf numFmtId="0" fontId="29" fillId="4" borderId="45" xfId="0" applyFont="1" applyFill="1" applyBorder="1" applyProtection="1">
      <protection locked="0"/>
    </xf>
    <xf numFmtId="0" fontId="12" fillId="0" borderId="0" xfId="0" applyFont="1" applyAlignment="1">
      <alignment horizontal="right"/>
    </xf>
    <xf numFmtId="0" fontId="31" fillId="0" borderId="0" xfId="0" applyFont="1" applyAlignment="1"/>
    <xf numFmtId="165" fontId="12" fillId="0" borderId="0" xfId="6" applyNumberFormat="1" applyFont="1"/>
    <xf numFmtId="0" fontId="32" fillId="0" borderId="0" xfId="0" applyFont="1" applyFill="1" applyBorder="1" applyAlignment="1">
      <alignment horizontal="left"/>
    </xf>
    <xf numFmtId="0" fontId="33" fillId="0" borderId="0" xfId="0" applyFont="1" applyFill="1" applyBorder="1" applyAlignment="1">
      <alignment horizontal="left"/>
    </xf>
    <xf numFmtId="2" fontId="17" fillId="0" borderId="0" xfId="0" applyNumberFormat="1" applyFont="1" applyFill="1" applyBorder="1" applyAlignment="1">
      <alignment horizontal="center"/>
    </xf>
    <xf numFmtId="1" fontId="17" fillId="0" borderId="0" xfId="0" applyNumberFormat="1" applyFont="1" applyFill="1" applyBorder="1" applyAlignment="1">
      <alignment horizontal="center"/>
    </xf>
    <xf numFmtId="167" fontId="17" fillId="0" borderId="0" xfId="5" applyNumberFormat="1" applyFont="1" applyFill="1" applyBorder="1" applyAlignment="1">
      <alignment horizontal="center"/>
    </xf>
    <xf numFmtId="168" fontId="17" fillId="0" borderId="0" xfId="0" applyNumberFormat="1" applyFont="1" applyFill="1" applyBorder="1" applyAlignment="1">
      <alignment horizontal="center"/>
    </xf>
    <xf numFmtId="0" fontId="33" fillId="0" borderId="0" xfId="0" applyFont="1" applyFill="1" applyBorder="1" applyAlignment="1">
      <alignment horizontal="right"/>
    </xf>
    <xf numFmtId="0" fontId="32" fillId="0" borderId="0" xfId="0" applyFont="1" applyFill="1" applyBorder="1" applyAlignment="1">
      <alignment horizontal="center"/>
    </xf>
    <xf numFmtId="0" fontId="33" fillId="0" borderId="0" xfId="0" applyFont="1" applyFill="1" applyBorder="1"/>
    <xf numFmtId="0" fontId="34" fillId="0" borderId="0" xfId="0" applyFont="1" applyFill="1" applyBorder="1"/>
    <xf numFmtId="0" fontId="32" fillId="0" borderId="0" xfId="0" applyFont="1" applyFill="1" applyBorder="1"/>
    <xf numFmtId="0" fontId="35" fillId="0" borderId="0" xfId="0" applyFont="1" applyFill="1" applyBorder="1" applyAlignment="1">
      <alignment horizontal="left"/>
    </xf>
    <xf numFmtId="165" fontId="18" fillId="0" borderId="0" xfId="0" applyNumberFormat="1" applyFont="1" applyFill="1" applyBorder="1" applyAlignment="1">
      <alignment horizontal="right"/>
    </xf>
    <xf numFmtId="0" fontId="34" fillId="0" borderId="0" xfId="0" applyFont="1" applyFill="1" applyBorder="1" applyAlignment="1">
      <alignment horizontal="center"/>
    </xf>
    <xf numFmtId="0" fontId="33" fillId="0" borderId="0" xfId="0" applyFont="1" applyFill="1" applyBorder="1" applyAlignment="1">
      <alignment horizontal="center"/>
    </xf>
    <xf numFmtId="44" fontId="18" fillId="0" borderId="0" xfId="0" applyNumberFormat="1" applyFont="1" applyFill="1" applyBorder="1" applyAlignment="1">
      <alignment horizontal="center"/>
    </xf>
    <xf numFmtId="0" fontId="10" fillId="4" borderId="2" xfId="0" applyFont="1" applyFill="1" applyBorder="1" applyAlignment="1" applyProtection="1">
      <alignment horizontal="left" vertical="center"/>
      <protection locked="0"/>
    </xf>
    <xf numFmtId="0" fontId="17" fillId="0" borderId="0" xfId="0" applyFont="1" applyFill="1" applyBorder="1" applyAlignment="1">
      <alignment horizontal="center"/>
    </xf>
    <xf numFmtId="0" fontId="0" fillId="0" borderId="12" xfId="0" applyBorder="1" applyAlignment="1">
      <alignment vertical="center"/>
    </xf>
    <xf numFmtId="0" fontId="0" fillId="0" borderId="12" xfId="0" applyBorder="1"/>
    <xf numFmtId="0" fontId="0" fillId="0" borderId="15" xfId="0" applyBorder="1"/>
    <xf numFmtId="0" fontId="0" fillId="0" borderId="71" xfId="0" applyBorder="1"/>
    <xf numFmtId="0" fontId="8" fillId="0" borderId="12" xfId="0" applyFont="1" applyBorder="1" applyAlignment="1">
      <alignment horizontal="center"/>
    </xf>
    <xf numFmtId="42" fontId="8" fillId="0" borderId="72" xfId="0" applyNumberFormat="1" applyFont="1" applyBorder="1"/>
    <xf numFmtId="42" fontId="8" fillId="0" borderId="23" xfId="0" applyNumberFormat="1" applyFont="1" applyBorder="1"/>
    <xf numFmtId="42" fontId="8" fillId="0" borderId="15" xfId="0" applyNumberFormat="1" applyFont="1" applyBorder="1"/>
    <xf numFmtId="0" fontId="8" fillId="0" borderId="20" xfId="0" applyFont="1" applyBorder="1" applyAlignment="1">
      <alignment horizontal="center"/>
    </xf>
    <xf numFmtId="165" fontId="8" fillId="0" borderId="15" xfId="6" applyNumberFormat="1" applyFont="1" applyBorder="1"/>
    <xf numFmtId="165" fontId="0" fillId="0" borderId="72" xfId="6" applyNumberFormat="1" applyFont="1" applyBorder="1"/>
    <xf numFmtId="165" fontId="8" fillId="0" borderId="72" xfId="6" applyNumberFormat="1" applyFont="1" applyBorder="1"/>
    <xf numFmtId="42" fontId="8" fillId="0" borderId="32" xfId="0" applyNumberFormat="1" applyFont="1" applyBorder="1"/>
    <xf numFmtId="0" fontId="8" fillId="0" borderId="47" xfId="0" applyFont="1" applyBorder="1" applyAlignment="1">
      <alignment horizontal="center"/>
    </xf>
    <xf numFmtId="0" fontId="33" fillId="0" borderId="0" xfId="0" applyFont="1"/>
    <xf numFmtId="0" fontId="32" fillId="0" borderId="0" xfId="0" applyFont="1"/>
    <xf numFmtId="0" fontId="32" fillId="0" borderId="0" xfId="0" applyFont="1" applyAlignment="1">
      <alignment horizontal="center"/>
    </xf>
    <xf numFmtId="0" fontId="29" fillId="0" borderId="0" xfId="0" quotePrefix="1" applyFont="1"/>
    <xf numFmtId="0" fontId="36" fillId="0" borderId="0" xfId="0" applyFont="1"/>
    <xf numFmtId="44" fontId="36" fillId="0" borderId="0" xfId="0" applyNumberFormat="1" applyFont="1"/>
    <xf numFmtId="0" fontId="8" fillId="0" borderId="58" xfId="0" quotePrefix="1" applyFont="1" applyBorder="1"/>
    <xf numFmtId="0" fontId="0" fillId="0" borderId="59" xfId="0" applyBorder="1"/>
    <xf numFmtId="0" fontId="0" fillId="0" borderId="52" xfId="0" applyBorder="1"/>
    <xf numFmtId="0" fontId="18" fillId="0" borderId="58" xfId="0" applyFont="1" applyBorder="1" applyAlignment="1">
      <alignment vertical="center"/>
    </xf>
    <xf numFmtId="1" fontId="18" fillId="0" borderId="55" xfId="4" applyNumberFormat="1" applyFont="1" applyBorder="1" applyAlignment="1">
      <alignment horizontal="center" vertical="center"/>
    </xf>
    <xf numFmtId="168" fontId="18" fillId="0" borderId="55" xfId="4" applyNumberFormat="1" applyFont="1" applyBorder="1" applyAlignment="1">
      <alignment horizontal="center" vertical="center"/>
    </xf>
    <xf numFmtId="167" fontId="18" fillId="0" borderId="55" xfId="5" applyNumberFormat="1" applyFont="1" applyBorder="1" applyAlignment="1">
      <alignment horizontal="center" vertical="center"/>
    </xf>
    <xf numFmtId="0" fontId="0" fillId="0" borderId="11" xfId="0" applyBorder="1" applyAlignment="1">
      <alignment horizontal="left" vertical="center" wrapText="1"/>
    </xf>
    <xf numFmtId="0" fontId="0" fillId="0" borderId="54" xfId="0" applyBorder="1" applyAlignment="1">
      <alignment horizontal="left" vertical="center" wrapText="1"/>
    </xf>
    <xf numFmtId="0" fontId="0" fillId="0" borderId="55" xfId="0" applyBorder="1" applyAlignment="1">
      <alignment horizontal="left" vertical="center" wrapText="1"/>
    </xf>
    <xf numFmtId="0" fontId="0" fillId="0" borderId="51" xfId="0" applyBorder="1" applyAlignment="1">
      <alignment horizontal="left" vertical="top" wrapText="1"/>
    </xf>
    <xf numFmtId="0" fontId="0" fillId="0" borderId="56" xfId="0" applyBorder="1" applyAlignment="1">
      <alignment horizontal="left" vertical="top"/>
    </xf>
    <xf numFmtId="0" fontId="0" fillId="0" borderId="58" xfId="0" applyBorder="1" applyAlignment="1">
      <alignment horizontal="left" vertical="top"/>
    </xf>
    <xf numFmtId="0" fontId="0" fillId="0" borderId="52" xfId="0" applyBorder="1" applyAlignment="1">
      <alignment horizontal="left" vertical="top" wrapText="1"/>
    </xf>
    <xf numFmtId="0" fontId="0" fillId="0" borderId="57" xfId="0" applyBorder="1" applyAlignment="1">
      <alignment horizontal="left" vertical="top"/>
    </xf>
    <xf numFmtId="0" fontId="0" fillId="0" borderId="59" xfId="0" applyBorder="1" applyAlignment="1">
      <alignment horizontal="left" vertical="top"/>
    </xf>
    <xf numFmtId="0" fontId="1" fillId="0" borderId="11" xfId="0" applyFont="1" applyBorder="1" applyAlignment="1">
      <alignment horizontal="left" vertical="top" wrapText="1"/>
    </xf>
    <xf numFmtId="0" fontId="2" fillId="0" borderId="11" xfId="0" applyFont="1" applyBorder="1" applyAlignment="1">
      <alignment horizontal="left" vertical="top"/>
    </xf>
    <xf numFmtId="164" fontId="8" fillId="0" borderId="0" xfId="4" applyNumberFormat="1" applyFont="1" applyAlignment="1">
      <alignment horizontal="center" wrapText="1"/>
    </xf>
    <xf numFmtId="0" fontId="17" fillId="0" borderId="0" xfId="0" applyFont="1" applyFill="1" applyBorder="1" applyAlignment="1">
      <alignment horizontal="center"/>
    </xf>
    <xf numFmtId="0" fontId="8" fillId="0" borderId="21" xfId="0" applyFont="1" applyBorder="1" applyAlignment="1">
      <alignment horizontal="center"/>
    </xf>
    <xf numFmtId="0" fontId="8" fillId="0" borderId="0" xfId="0" applyFont="1" applyAlignment="1">
      <alignment horizontal="center" vertical="center" wrapText="1"/>
    </xf>
    <xf numFmtId="0" fontId="14" fillId="7" borderId="0" xfId="0" applyFont="1" applyFill="1" applyAlignment="1">
      <alignment horizontal="center"/>
    </xf>
    <xf numFmtId="0" fontId="14" fillId="5" borderId="0" xfId="0" applyFont="1" applyFill="1" applyAlignment="1">
      <alignment horizontal="center"/>
    </xf>
    <xf numFmtId="0" fontId="14" fillId="12" borderId="0" xfId="0" applyFont="1" applyFill="1" applyAlignment="1">
      <alignment horizontal="center"/>
    </xf>
    <xf numFmtId="0" fontId="12" fillId="0" borderId="21" xfId="0" applyFont="1" applyBorder="1" applyAlignment="1">
      <alignment horizontal="center"/>
    </xf>
    <xf numFmtId="0" fontId="29" fillId="4" borderId="44" xfId="0" applyFont="1" applyFill="1" applyBorder="1" applyAlignment="1" applyProtection="1">
      <alignment horizontal="center"/>
      <protection locked="0"/>
    </xf>
    <xf numFmtId="0" fontId="29" fillId="4" borderId="45" xfId="0" applyFont="1" applyFill="1" applyBorder="1" applyAlignment="1" applyProtection="1">
      <alignment horizontal="center"/>
      <protection locked="0"/>
    </xf>
    <xf numFmtId="165" fontId="17" fillId="0" borderId="0" xfId="6" applyNumberFormat="1" applyFont="1" applyFill="1" applyBorder="1" applyAlignment="1">
      <alignment horizontal="center"/>
    </xf>
    <xf numFmtId="44" fontId="0" fillId="0" borderId="0" xfId="0" applyNumberFormat="1" applyProtection="1">
      <protection locked="0"/>
    </xf>
  </cellXfs>
  <cellStyles count="8">
    <cellStyle name="Calculation" xfId="1" builtinId="22"/>
    <cellStyle name="Comma" xfId="4" builtinId="3"/>
    <cellStyle name="Currency" xfId="6" builtinId="4"/>
    <cellStyle name="Followed Hyperlink" xfId="3" builtinId="9" hidden="1"/>
    <cellStyle name="Hyperlink" xfId="2" builtinId="8" hidden="1"/>
    <cellStyle name="Normal" xfId="0" builtinId="0"/>
    <cellStyle name="Normal 2" xfId="7" xr:uid="{545ED3A0-6310-4577-9B76-6238144DCEC9}"/>
    <cellStyle name="Percent" xfId="5" builtinId="5"/>
  </cellStyles>
  <dxfs count="1">
    <dxf>
      <font>
        <color rgb="FF00B050"/>
      </font>
    </dxf>
  </dxfs>
  <tableStyles count="0" defaultTableStyle="TableStyleMedium9" defaultPivotStyle="PivotStyleMedium4"/>
  <colors>
    <mruColors>
      <color rgb="FFCCFFCC"/>
      <color rgb="FF00FF00"/>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69850</xdr:colOff>
      <xdr:row>1</xdr:row>
      <xdr:rowOff>38100</xdr:rowOff>
    </xdr:from>
    <xdr:to>
      <xdr:col>4</xdr:col>
      <xdr:colOff>38100</xdr:colOff>
      <xdr:row>7</xdr:row>
      <xdr:rowOff>127000</xdr:rowOff>
    </xdr:to>
    <xdr:sp macro="" textlink="">
      <xdr:nvSpPr>
        <xdr:cNvPr id="2" name="TextBox 1">
          <a:extLst>
            <a:ext uri="{FF2B5EF4-FFF2-40B4-BE49-F238E27FC236}">
              <a16:creationId xmlns:a16="http://schemas.microsoft.com/office/drawing/2014/main" id="{56FD12FA-FC11-4814-B374-300DDDDD0AD3}"/>
            </a:ext>
          </a:extLst>
        </xdr:cNvPr>
        <xdr:cNvSpPr txBox="1"/>
      </xdr:nvSpPr>
      <xdr:spPr>
        <a:xfrm>
          <a:off x="69850" y="234950"/>
          <a:ext cx="5797550" cy="679450"/>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Track</a:t>
          </a:r>
          <a:r>
            <a:rPr lang="en-US" sz="1100" b="1" baseline="0"/>
            <a:t> </a:t>
          </a:r>
          <a:r>
            <a:rPr lang="en-US" sz="1100" b="1"/>
            <a:t>ALL transactions</a:t>
          </a:r>
          <a:r>
            <a:rPr lang="en-US" sz="1100" b="1" baseline="0"/>
            <a:t> in the</a:t>
          </a:r>
          <a:r>
            <a:rPr lang="en-US" sz="1100" b="1"/>
            <a:t> T-Accounts below. </a:t>
          </a:r>
          <a:r>
            <a:rPr lang="en-US" sz="1100" b="1">
              <a:solidFill>
                <a:schemeClr val="dk1"/>
              </a:solidFill>
              <a:effectLst/>
              <a:latin typeface="+mn-lt"/>
              <a:ea typeface="+mn-ea"/>
              <a:cs typeface="+mn-cs"/>
            </a:rPr>
            <a:t>The</a:t>
          </a:r>
          <a:r>
            <a:rPr lang="en-US" sz="1100" b="1" baseline="0">
              <a:solidFill>
                <a:schemeClr val="dk1"/>
              </a:solidFill>
              <a:effectLst/>
              <a:latin typeface="+mn-lt"/>
              <a:ea typeface="+mn-ea"/>
              <a:cs typeface="+mn-cs"/>
            </a:rPr>
            <a:t> Cash</a:t>
          </a:r>
          <a:r>
            <a:rPr lang="en-US" sz="1100" b="1">
              <a:solidFill>
                <a:schemeClr val="dk1"/>
              </a:solidFill>
              <a:effectLst/>
              <a:latin typeface="+mn-lt"/>
              <a:ea typeface="+mn-ea"/>
              <a:cs typeface="+mn-cs"/>
            </a:rPr>
            <a:t> T-Account has been started for you. </a:t>
          </a:r>
          <a:endParaRPr lang="en-US" sz="1100" b="1" baseline="0"/>
        </a:p>
        <a:p>
          <a:endParaRPr lang="en-US" sz="1100" baseline="0"/>
        </a:p>
        <a:p>
          <a:r>
            <a:rPr lang="en-US" sz="1100" b="1">
              <a:solidFill>
                <a:srgbClr val="FF0000"/>
              </a:solidFill>
            </a:rPr>
            <a:t>IMPORTANT</a:t>
          </a:r>
          <a:r>
            <a:rPr lang="en-US" sz="1100" b="1"/>
            <a:t>:</a:t>
          </a:r>
          <a:r>
            <a:rPr lang="en-US" sz="1100" b="1" baseline="0"/>
            <a:t> </a:t>
          </a:r>
          <a:r>
            <a:rPr lang="en-US" sz="1100" b="1" u="sng" baseline="0"/>
            <a:t>Never</a:t>
          </a:r>
          <a:r>
            <a:rPr lang="en-US" sz="1100" b="1" baseline="0"/>
            <a:t> Cut and Paste or Drag a number from one cell to another!!! This will lead to a point deduction..</a:t>
          </a:r>
        </a:p>
        <a:p>
          <a:endParaRPr lang="en-US" sz="1100" b="1" baseline="0"/>
        </a:p>
        <a:p>
          <a:r>
            <a:rPr lang="en-US" sz="1100" b="1" baseline="0"/>
            <a:t>- Use the first row of an account for beginning balances and use the proper rows for adjusting and closing entries. </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2</xdr:row>
      <xdr:rowOff>12700</xdr:rowOff>
    </xdr:from>
    <xdr:to>
      <xdr:col>4</xdr:col>
      <xdr:colOff>50800</xdr:colOff>
      <xdr:row>4</xdr:row>
      <xdr:rowOff>179293</xdr:rowOff>
    </xdr:to>
    <xdr:sp macro="" textlink="">
      <xdr:nvSpPr>
        <xdr:cNvPr id="2" name="TextBox 1">
          <a:extLst>
            <a:ext uri="{FF2B5EF4-FFF2-40B4-BE49-F238E27FC236}">
              <a16:creationId xmlns:a16="http://schemas.microsoft.com/office/drawing/2014/main" id="{162EB160-2601-4875-8DE0-DAB2F7C05A8D}"/>
            </a:ext>
          </a:extLst>
        </xdr:cNvPr>
        <xdr:cNvSpPr txBox="1"/>
      </xdr:nvSpPr>
      <xdr:spPr>
        <a:xfrm>
          <a:off x="50800" y="401171"/>
          <a:ext cx="5670176" cy="555063"/>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Instructions: In shaded cells,</a:t>
          </a:r>
          <a:r>
            <a:rPr lang="en-US" sz="1200" b="1" baseline="0"/>
            <a:t> fill in amounts and use drop downs to enter accounts.</a:t>
          </a:r>
        </a:p>
        <a:p>
          <a:r>
            <a:rPr lang="en-US" sz="1200" b="1" baseline="0"/>
            <a:t>Add formulas to calculate totals.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2</xdr:row>
      <xdr:rowOff>64998</xdr:rowOff>
    </xdr:from>
    <xdr:to>
      <xdr:col>4</xdr:col>
      <xdr:colOff>82177</xdr:colOff>
      <xdr:row>5</xdr:row>
      <xdr:rowOff>179295</xdr:rowOff>
    </xdr:to>
    <xdr:sp macro="" textlink="">
      <xdr:nvSpPr>
        <xdr:cNvPr id="2" name="TextBox 1">
          <a:extLst>
            <a:ext uri="{FF2B5EF4-FFF2-40B4-BE49-F238E27FC236}">
              <a16:creationId xmlns:a16="http://schemas.microsoft.com/office/drawing/2014/main" id="{10A56ED3-A4F1-470D-B22B-C8E1266CB72E}"/>
            </a:ext>
          </a:extLst>
        </xdr:cNvPr>
        <xdr:cNvSpPr txBox="1"/>
      </xdr:nvSpPr>
      <xdr:spPr>
        <a:xfrm>
          <a:off x="25400" y="453469"/>
          <a:ext cx="6107953" cy="697002"/>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1" u="sng"/>
            <a:t>Instructions</a:t>
          </a:r>
          <a:r>
            <a:rPr lang="en-US" sz="1200" b="1"/>
            <a:t>: Use the drop downs in Column A to select</a:t>
          </a:r>
          <a:r>
            <a:rPr lang="en-US" sz="1200" b="1" baseline="0"/>
            <a:t> the account and enter amounts in Column B.</a:t>
          </a:r>
        </a:p>
        <a:p>
          <a:r>
            <a:rPr lang="en-US" sz="1200" b="1" baseline="0"/>
            <a:t>Add formulas in Column C to calculate totals. Your formula will show to the right for grading.</a:t>
          </a:r>
        </a:p>
        <a:p>
          <a:endParaRPr lang="en-US"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E95CD-917E-418C-85A4-68AC38D1460D}">
  <sheetPr codeName="Sheet1">
    <tabColor rgb="FF00FF00"/>
    <pageSetUpPr fitToPage="1"/>
  </sheetPr>
  <dimension ref="A1:AZ40"/>
  <sheetViews>
    <sheetView showGridLines="0" zoomScaleNormal="100" workbookViewId="0">
      <selection activeCell="C4" sqref="C4"/>
    </sheetView>
  </sheetViews>
  <sheetFormatPr baseColWidth="10" defaultColWidth="8.6640625" defaultRowHeight="16" x14ac:dyDescent="0.2"/>
  <cols>
    <col min="1" max="1" width="42" style="4" customWidth="1"/>
    <col min="2" max="2" width="0.6640625" style="4" customWidth="1"/>
    <col min="3" max="3" width="34" style="4" customWidth="1"/>
    <col min="4" max="4" width="4" style="4" customWidth="1"/>
    <col min="5" max="5" width="1.1640625" style="4" customWidth="1"/>
    <col min="6" max="6" width="1.33203125" style="4" customWidth="1"/>
    <col min="7" max="7" width="12.6640625" style="4" bestFit="1" customWidth="1"/>
    <col min="8" max="10" width="8.6640625" style="4"/>
    <col min="11" max="11" width="9.6640625" style="4" bestFit="1" customWidth="1"/>
    <col min="12" max="38" width="8.6640625" style="4"/>
    <col min="39" max="39" width="13.83203125" style="183" hidden="1" customWidth="1"/>
    <col min="40" max="52" width="0" style="183" hidden="1" customWidth="1"/>
    <col min="53" max="64" width="0" style="4" hidden="1" customWidth="1"/>
    <col min="65" max="16384" width="8.6640625" style="4"/>
  </cols>
  <sheetData>
    <row r="1" spans="1:51" ht="17" thickBot="1" x14ac:dyDescent="0.25">
      <c r="A1" s="109" t="s">
        <v>69</v>
      </c>
      <c r="B1" s="110"/>
      <c r="C1" s="58"/>
      <c r="D1" s="103"/>
      <c r="AM1" s="183">
        <v>7</v>
      </c>
      <c r="AN1" s="183">
        <v>4</v>
      </c>
      <c r="AO1" s="183">
        <v>9</v>
      </c>
      <c r="AP1" s="183">
        <v>3</v>
      </c>
      <c r="AQ1" s="183">
        <v>5</v>
      </c>
      <c r="AR1" s="183">
        <v>2</v>
      </c>
      <c r="AS1" s="183">
        <v>1</v>
      </c>
      <c r="AT1" s="183">
        <v>5</v>
      </c>
      <c r="AU1" s="183">
        <v>8</v>
      </c>
      <c r="AV1" s="183">
        <v>8</v>
      </c>
      <c r="AW1" s="183">
        <v>4</v>
      </c>
      <c r="AX1" s="183">
        <v>9</v>
      </c>
      <c r="AY1" s="183">
        <v>3</v>
      </c>
    </row>
    <row r="2" spans="1:51" ht="17" thickBot="1" x14ac:dyDescent="0.25">
      <c r="A2" s="111" t="s">
        <v>23</v>
      </c>
      <c r="B2" s="61"/>
      <c r="C2" s="74" t="s">
        <v>330</v>
      </c>
      <c r="AM2" s="184">
        <v>1</v>
      </c>
      <c r="AN2" s="184">
        <v>2</v>
      </c>
      <c r="AO2" s="184">
        <v>3</v>
      </c>
      <c r="AP2" s="184">
        <v>4</v>
      </c>
      <c r="AQ2" s="184">
        <v>5</v>
      </c>
      <c r="AR2" s="184">
        <v>6</v>
      </c>
      <c r="AS2" s="184">
        <v>7</v>
      </c>
      <c r="AT2" s="184">
        <v>8</v>
      </c>
      <c r="AU2" s="184">
        <v>9</v>
      </c>
      <c r="AV2" s="184">
        <v>10</v>
      </c>
      <c r="AW2" s="184">
        <v>11</v>
      </c>
      <c r="AX2" s="184">
        <v>12</v>
      </c>
      <c r="AY2" s="184">
        <v>13</v>
      </c>
    </row>
    <row r="3" spans="1:51" ht="17" thickBot="1" x14ac:dyDescent="0.25">
      <c r="A3" s="187" t="s">
        <v>17</v>
      </c>
      <c r="B3" s="188"/>
      <c r="C3" s="290">
        <v>109495372</v>
      </c>
      <c r="AM3" s="184">
        <f t="shared" ref="AM3:AY3" si="0">IFERROR(MID(ID,AM2,1)*1,MID(ID,AM2,1))</f>
        <v>1</v>
      </c>
      <c r="AN3" s="184">
        <f t="shared" si="0"/>
        <v>0</v>
      </c>
      <c r="AO3" s="184">
        <f t="shared" si="0"/>
        <v>9</v>
      </c>
      <c r="AP3" s="184">
        <f t="shared" si="0"/>
        <v>4</v>
      </c>
      <c r="AQ3" s="184">
        <f t="shared" si="0"/>
        <v>9</v>
      </c>
      <c r="AR3" s="184">
        <f t="shared" si="0"/>
        <v>5</v>
      </c>
      <c r="AS3" s="184">
        <f t="shared" si="0"/>
        <v>3</v>
      </c>
      <c r="AT3" s="184">
        <f t="shared" si="0"/>
        <v>7</v>
      </c>
      <c r="AU3" s="184">
        <f t="shared" si="0"/>
        <v>2</v>
      </c>
      <c r="AV3" s="184" t="str">
        <f t="shared" si="0"/>
        <v/>
      </c>
      <c r="AW3" s="184" t="str">
        <f t="shared" si="0"/>
        <v/>
      </c>
      <c r="AX3" s="184" t="str">
        <f t="shared" si="0"/>
        <v/>
      </c>
      <c r="AY3" s="184" t="str">
        <f t="shared" si="0"/>
        <v/>
      </c>
    </row>
    <row r="4" spans="1:51" ht="17" thickBot="1" x14ac:dyDescent="0.25">
      <c r="A4" s="58" t="s">
        <v>70</v>
      </c>
      <c r="B4" s="108"/>
      <c r="C4" s="74" t="s">
        <v>331</v>
      </c>
      <c r="AM4" s="184">
        <f t="shared" ref="AM4:AY4" si="1">IF(AM3=0,1,IFERROR(AM3*1,IFERROR(VLOOKUP(AM3,$AM$7:$AN$30,2,0),AM1)))</f>
        <v>1</v>
      </c>
      <c r="AN4" s="184">
        <f t="shared" si="1"/>
        <v>1</v>
      </c>
      <c r="AO4" s="184">
        <f t="shared" si="1"/>
        <v>9</v>
      </c>
      <c r="AP4" s="184">
        <f t="shared" si="1"/>
        <v>4</v>
      </c>
      <c r="AQ4" s="184">
        <f t="shared" si="1"/>
        <v>9</v>
      </c>
      <c r="AR4" s="184">
        <f t="shared" si="1"/>
        <v>5</v>
      </c>
      <c r="AS4" s="184">
        <f t="shared" si="1"/>
        <v>3</v>
      </c>
      <c r="AT4" s="184">
        <f t="shared" si="1"/>
        <v>7</v>
      </c>
      <c r="AU4" s="184">
        <f t="shared" si="1"/>
        <v>2</v>
      </c>
      <c r="AV4" s="184">
        <f t="shared" si="1"/>
        <v>8</v>
      </c>
      <c r="AW4" s="184">
        <f t="shared" si="1"/>
        <v>4</v>
      </c>
      <c r="AX4" s="184">
        <f t="shared" si="1"/>
        <v>9</v>
      </c>
      <c r="AY4" s="184">
        <f t="shared" si="1"/>
        <v>3</v>
      </c>
    </row>
    <row r="5" spans="1:51" x14ac:dyDescent="0.2">
      <c r="A5" s="57" t="s">
        <v>77</v>
      </c>
      <c r="B5" s="57"/>
      <c r="C5" s="57"/>
      <c r="AM5" s="185" t="str">
        <f>IF(ID="","",AM4&amp;AN4&amp;AO4&amp;AP4&amp;AQ4&amp;AR4&amp;AS4&amp;AT4&amp;AU4&amp;AV4&amp;AW4&amp;AX4&amp;AY4)</f>
        <v>1194953728493</v>
      </c>
    </row>
    <row r="6" spans="1:51" ht="4.5" customHeight="1" x14ac:dyDescent="0.2"/>
    <row r="7" spans="1:51" x14ac:dyDescent="0.2">
      <c r="A7" s="25" t="s">
        <v>71</v>
      </c>
      <c r="B7" s="25"/>
      <c r="AM7" s="183" t="s">
        <v>168</v>
      </c>
      <c r="AN7" s="183">
        <v>1</v>
      </c>
    </row>
    <row r="8" spans="1:51" x14ac:dyDescent="0.2">
      <c r="A8" s="4" t="s">
        <v>313</v>
      </c>
      <c r="AM8" s="183" t="s">
        <v>169</v>
      </c>
      <c r="AN8" s="183">
        <v>2</v>
      </c>
    </row>
    <row r="9" spans="1:51" x14ac:dyDescent="0.2">
      <c r="A9" s="4" t="s">
        <v>314</v>
      </c>
      <c r="AM9" s="183" t="s">
        <v>170</v>
      </c>
      <c r="AN9" s="183">
        <v>3</v>
      </c>
    </row>
    <row r="10" spans="1:51" ht="20" x14ac:dyDescent="0.2">
      <c r="C10" s="62" t="s">
        <v>72</v>
      </c>
      <c r="AM10" s="183" t="s">
        <v>171</v>
      </c>
      <c r="AN10" s="183">
        <v>4</v>
      </c>
    </row>
    <row r="11" spans="1:51" ht="46.5" customHeight="1" x14ac:dyDescent="0.2">
      <c r="A11" s="319" t="s">
        <v>329</v>
      </c>
      <c r="B11" s="107"/>
      <c r="C11" s="189" t="s">
        <v>67</v>
      </c>
      <c r="AM11" s="183" t="s">
        <v>172</v>
      </c>
      <c r="AN11" s="183">
        <v>2</v>
      </c>
    </row>
    <row r="12" spans="1:51" ht="20" x14ac:dyDescent="0.2">
      <c r="A12" s="319"/>
      <c r="B12" s="107"/>
      <c r="C12" s="62" t="s">
        <v>68</v>
      </c>
      <c r="AM12" s="183" t="s">
        <v>173</v>
      </c>
      <c r="AN12" s="183">
        <v>5</v>
      </c>
    </row>
    <row r="13" spans="1:51" ht="50.75" customHeight="1" x14ac:dyDescent="0.2">
      <c r="A13" s="319"/>
      <c r="B13" s="107"/>
      <c r="C13" s="190" t="s">
        <v>315</v>
      </c>
      <c r="AM13" s="183" t="s">
        <v>174</v>
      </c>
      <c r="AN13" s="183">
        <v>6</v>
      </c>
    </row>
    <row r="14" spans="1:51" ht="67.5" customHeight="1" x14ac:dyDescent="0.2">
      <c r="A14" s="319"/>
      <c r="B14" s="107"/>
      <c r="C14" s="191" t="s">
        <v>246</v>
      </c>
      <c r="AM14" s="183" t="s">
        <v>175</v>
      </c>
      <c r="AN14" s="183">
        <v>7</v>
      </c>
    </row>
    <row r="15" spans="1:51" ht="36.5" customHeight="1" x14ac:dyDescent="0.2">
      <c r="A15" s="319"/>
      <c r="B15" s="107"/>
      <c r="C15" s="192" t="s">
        <v>226</v>
      </c>
      <c r="AM15" s="183" t="s">
        <v>176</v>
      </c>
      <c r="AN15" s="183">
        <v>3</v>
      </c>
    </row>
    <row r="16" spans="1:51" x14ac:dyDescent="0.2">
      <c r="A16" s="319"/>
      <c r="B16" s="107"/>
      <c r="C16" s="320" t="s">
        <v>225</v>
      </c>
      <c r="AM16" s="183" t="s">
        <v>177</v>
      </c>
      <c r="AN16" s="183">
        <v>8</v>
      </c>
    </row>
    <row r="17" spans="1:40" x14ac:dyDescent="0.2">
      <c r="A17" s="319"/>
      <c r="B17" s="107"/>
      <c r="C17" s="320"/>
      <c r="AM17" s="183" t="s">
        <v>178</v>
      </c>
      <c r="AN17" s="183">
        <v>9</v>
      </c>
    </row>
    <row r="18" spans="1:40" ht="10" customHeight="1" x14ac:dyDescent="0.2">
      <c r="A18" s="319"/>
      <c r="B18" s="107"/>
      <c r="C18" s="320"/>
      <c r="AM18" s="183" t="s">
        <v>179</v>
      </c>
      <c r="AN18" s="183">
        <v>1</v>
      </c>
    </row>
    <row r="19" spans="1:40" ht="11.5" customHeight="1" x14ac:dyDescent="0.2">
      <c r="A19" s="319"/>
      <c r="B19" s="107"/>
      <c r="C19" s="321"/>
      <c r="AM19" s="183" t="s">
        <v>180</v>
      </c>
      <c r="AN19" s="183">
        <v>2</v>
      </c>
    </row>
    <row r="20" spans="1:40" ht="5" customHeight="1" x14ac:dyDescent="0.2">
      <c r="A20" s="319"/>
      <c r="B20" s="107"/>
      <c r="AM20" s="183" t="s">
        <v>181</v>
      </c>
      <c r="AN20" s="183">
        <v>3</v>
      </c>
    </row>
    <row r="21" spans="1:40" ht="9" customHeight="1" x14ac:dyDescent="0.2">
      <c r="AM21" s="183" t="s">
        <v>182</v>
      </c>
      <c r="AN21" s="183">
        <v>4</v>
      </c>
    </row>
    <row r="22" spans="1:40" x14ac:dyDescent="0.2">
      <c r="A22" s="322" t="s">
        <v>223</v>
      </c>
      <c r="B22" s="123"/>
      <c r="C22" s="325" t="s">
        <v>224</v>
      </c>
      <c r="AM22" s="183" t="s">
        <v>183</v>
      </c>
      <c r="AN22" s="183">
        <v>4</v>
      </c>
    </row>
    <row r="23" spans="1:40" x14ac:dyDescent="0.2">
      <c r="A23" s="323"/>
      <c r="B23" s="103"/>
      <c r="C23" s="326"/>
      <c r="AM23" s="183" t="s">
        <v>184</v>
      </c>
      <c r="AN23" s="183">
        <v>5</v>
      </c>
    </row>
    <row r="24" spans="1:40" x14ac:dyDescent="0.2">
      <c r="A24" s="323"/>
      <c r="B24" s="103"/>
      <c r="C24" s="326"/>
      <c r="AM24" s="183" t="s">
        <v>185</v>
      </c>
      <c r="AN24" s="183">
        <v>6</v>
      </c>
    </row>
    <row r="25" spans="1:40" x14ac:dyDescent="0.2">
      <c r="A25" s="323"/>
      <c r="B25" s="103"/>
      <c r="C25" s="326"/>
      <c r="AM25" s="183" t="s">
        <v>186</v>
      </c>
      <c r="AN25" s="183">
        <v>7</v>
      </c>
    </row>
    <row r="26" spans="1:40" x14ac:dyDescent="0.2">
      <c r="A26" s="323"/>
      <c r="B26" s="103"/>
      <c r="C26" s="326"/>
      <c r="AM26" s="183" t="s">
        <v>187</v>
      </c>
      <c r="AN26" s="183">
        <v>8</v>
      </c>
    </row>
    <row r="27" spans="1:40" x14ac:dyDescent="0.2">
      <c r="A27" s="323"/>
      <c r="B27" s="103"/>
      <c r="C27" s="326"/>
      <c r="AM27" s="183" t="s">
        <v>188</v>
      </c>
      <c r="AN27" s="183">
        <v>5</v>
      </c>
    </row>
    <row r="28" spans="1:40" x14ac:dyDescent="0.2">
      <c r="A28" s="324"/>
      <c r="B28" s="124"/>
      <c r="C28" s="327"/>
      <c r="AM28" s="183" t="s">
        <v>189</v>
      </c>
      <c r="AN28" s="183">
        <v>9</v>
      </c>
    </row>
    <row r="29" spans="1:40" ht="9" customHeight="1" x14ac:dyDescent="0.2">
      <c r="AM29" s="183" t="s">
        <v>190</v>
      </c>
      <c r="AN29" s="183">
        <v>6</v>
      </c>
    </row>
    <row r="30" spans="1:40" x14ac:dyDescent="0.2">
      <c r="AM30" s="183" t="s">
        <v>191</v>
      </c>
      <c r="AN30" s="183">
        <v>3</v>
      </c>
    </row>
    <row r="40" ht="7.5" customHeight="1" x14ac:dyDescent="0.2"/>
  </sheetData>
  <sheetProtection algorithmName="SHA-512" hashValue="joOWS/22+Cl/qDRoU9QS7fkFCFOmDhpf20IbmNe0SQ4wiQKIsPAImdLKfx/2dTtlIUuOwNTF1+xloAGgiuB+lw==" saltValue="Wcel8W/1xdBG5LryPplHWQ==" spinCount="100000" sheet="1" selectLockedCells="1"/>
  <mergeCells count="4">
    <mergeCell ref="A11:A20"/>
    <mergeCell ref="C16:C19"/>
    <mergeCell ref="A22:A28"/>
    <mergeCell ref="C22:C28"/>
  </mergeCells>
  <dataValidations count="2">
    <dataValidation type="textLength" allowBlank="1" showInputMessage="1" showErrorMessage="1" sqref="C4" xr:uid="{B3D8D98D-44D6-435A-B2F9-BC2C427EECC6}">
      <formula1>0</formula1>
      <formula2>15</formula2>
    </dataValidation>
    <dataValidation type="textLength" allowBlank="1" showInputMessage="1" showErrorMessage="1" sqref="C2" xr:uid="{7C91A615-F6E9-4696-9847-3DA7278244DA}">
      <formula1>1</formula1>
      <formula2>25</formula2>
    </dataValidation>
  </dataValidations>
  <pageMargins left="0.7" right="0.7" top="0.75" bottom="0.75" header="0.3" footer="0.3"/>
  <pageSetup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7D4F1-94D7-417F-B8BE-8CD7266632F3}">
  <sheetPr codeName="Sheet10">
    <tabColor rgb="FF7030A0"/>
  </sheetPr>
  <dimension ref="A1:G28"/>
  <sheetViews>
    <sheetView zoomScaleNormal="100" workbookViewId="0">
      <selection activeCell="D20" sqref="D20"/>
    </sheetView>
  </sheetViews>
  <sheetFormatPr baseColWidth="10" defaultColWidth="8.6640625" defaultRowHeight="16" x14ac:dyDescent="0.2"/>
  <cols>
    <col min="1" max="1" width="8.6640625" style="21"/>
    <col min="2" max="2" width="11.5" style="21" bestFit="1" customWidth="1"/>
    <col min="3" max="3" width="26.1640625" style="21" customWidth="1"/>
    <col min="4" max="4" width="13.83203125" style="21" customWidth="1"/>
    <col min="5" max="5" width="11.5" style="21" customWidth="1"/>
    <col min="6" max="16384" width="8.6640625" style="21"/>
  </cols>
  <sheetData>
    <row r="1" spans="1:7" x14ac:dyDescent="0.2">
      <c r="A1" s="21" t="s">
        <v>152</v>
      </c>
    </row>
    <row r="3" spans="1:7" x14ac:dyDescent="0.2">
      <c r="A3" s="21" t="s">
        <v>334</v>
      </c>
    </row>
    <row r="4" spans="1:7" x14ac:dyDescent="0.2">
      <c r="A4" s="22"/>
      <c r="B4" s="79">
        <v>15060</v>
      </c>
    </row>
    <row r="5" spans="1:7" x14ac:dyDescent="0.2">
      <c r="A5" s="22"/>
      <c r="B5" s="21">
        <v>2530</v>
      </c>
      <c r="C5" s="79"/>
    </row>
    <row r="6" spans="1:7" x14ac:dyDescent="0.2">
      <c r="B6" s="79">
        <f>B4-B5</f>
        <v>12530</v>
      </c>
    </row>
    <row r="7" spans="1:7" x14ac:dyDescent="0.2">
      <c r="A7" s="21" t="s">
        <v>335</v>
      </c>
    </row>
    <row r="8" spans="1:7" x14ac:dyDescent="0.2">
      <c r="B8" s="79">
        <f>'Beg TB'!B11</f>
        <v>432300</v>
      </c>
      <c r="C8" s="21" t="s">
        <v>336</v>
      </c>
      <c r="D8" s="21" t="s">
        <v>337</v>
      </c>
    </row>
    <row r="9" spans="1:7" x14ac:dyDescent="0.2">
      <c r="B9" s="79">
        <f>B8/10</f>
        <v>43230</v>
      </c>
      <c r="C9" s="21" t="s">
        <v>339</v>
      </c>
    </row>
    <row r="10" spans="1:7" x14ac:dyDescent="0.2">
      <c r="B10" s="341">
        <f>B9/12</f>
        <v>3602.5</v>
      </c>
      <c r="C10" s="21" t="s">
        <v>338</v>
      </c>
      <c r="D10" s="21" t="s">
        <v>340</v>
      </c>
      <c r="G10" s="21" t="s">
        <v>342</v>
      </c>
    </row>
    <row r="11" spans="1:7" x14ac:dyDescent="0.2">
      <c r="D11" s="21" t="s">
        <v>341</v>
      </c>
    </row>
    <row r="12" spans="1:7" x14ac:dyDescent="0.2">
      <c r="B12" s="341">
        <f>B10*12</f>
        <v>43230</v>
      </c>
      <c r="C12" s="21" t="s">
        <v>343</v>
      </c>
    </row>
    <row r="15" spans="1:7" x14ac:dyDescent="0.2">
      <c r="A15" s="21" t="s">
        <v>344</v>
      </c>
    </row>
    <row r="16" spans="1:7" x14ac:dyDescent="0.2">
      <c r="B16" s="21" t="s">
        <v>345</v>
      </c>
      <c r="D16" s="79">
        <f>'Beg TB'!C16</f>
        <v>271625</v>
      </c>
    </row>
    <row r="17" spans="2:4" x14ac:dyDescent="0.2">
      <c r="B17" s="21" t="s">
        <v>346</v>
      </c>
      <c r="D17" s="79">
        <f>IS!C28</f>
        <v>276001</v>
      </c>
    </row>
    <row r="18" spans="2:4" x14ac:dyDescent="0.2">
      <c r="B18" s="21" t="s">
        <v>347</v>
      </c>
      <c r="D18" s="79">
        <f>-'Adj TB'!B17</f>
        <v>-177200</v>
      </c>
    </row>
    <row r="19" spans="2:4" x14ac:dyDescent="0.2">
      <c r="B19" s="21" t="s">
        <v>348</v>
      </c>
      <c r="D19" s="79">
        <f>SUM(D16:D18)</f>
        <v>370426</v>
      </c>
    </row>
    <row r="23" spans="2:4" x14ac:dyDescent="0.2">
      <c r="C23" s="79"/>
    </row>
    <row r="24" spans="2:4" x14ac:dyDescent="0.2">
      <c r="C24" s="79"/>
    </row>
    <row r="26" spans="2:4" x14ac:dyDescent="0.2">
      <c r="C26" s="79"/>
    </row>
    <row r="27" spans="2:4" x14ac:dyDescent="0.2">
      <c r="C27" s="79"/>
    </row>
    <row r="28" spans="2:4" x14ac:dyDescent="0.2">
      <c r="C28" s="79"/>
    </row>
  </sheetData>
  <sheetProtection algorithmName="SHA-512" hashValue="Fk9bDbXFU4fbLVNR/DkdAUmLatcxttE1hWgJNt81QKASI0pnBZ19sfqU4ZeKwc1ODpReP4CH18jzYeTsSC0nEQ==" saltValue="88tw8lsEMJcZjLdaOd0eww==" spinCount="100000" sheet="1" objects="1" scenarios="1"/>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2BA5B-FC6B-4FDE-88AD-CA6ED33EAAA4}">
  <sheetPr codeName="Sheet11">
    <pageSetUpPr fitToPage="1"/>
  </sheetPr>
  <dimension ref="A1:E50"/>
  <sheetViews>
    <sheetView workbookViewId="0">
      <selection activeCell="G5" sqref="G5"/>
    </sheetView>
  </sheetViews>
  <sheetFormatPr baseColWidth="10" defaultColWidth="9" defaultRowHeight="16" x14ac:dyDescent="0.2"/>
  <cols>
    <col min="1" max="1" width="43.5" style="194" customWidth="1"/>
    <col min="2" max="2" width="13" style="194" customWidth="1"/>
    <col min="3" max="3" width="13.1640625" style="194" customWidth="1"/>
    <col min="4" max="4" width="8.6640625" style="194" customWidth="1"/>
    <col min="5" max="5" width="1.1640625" style="178" customWidth="1"/>
    <col min="6" max="6" width="9" style="178" customWidth="1"/>
    <col min="7" max="7" width="8.6640625" style="178"/>
    <col min="8" max="16384" width="9" style="178"/>
  </cols>
  <sheetData>
    <row r="1" spans="1:5" x14ac:dyDescent="0.2">
      <c r="A1" s="222" t="s">
        <v>85</v>
      </c>
      <c r="B1" s="222" t="s">
        <v>86</v>
      </c>
      <c r="C1" s="222" t="s">
        <v>201</v>
      </c>
      <c r="E1" s="247"/>
    </row>
    <row r="2" spans="1:5" x14ac:dyDescent="0.2">
      <c r="A2" s="223" t="str">
        <f>Name</f>
        <v>Ishika Patel</v>
      </c>
      <c r="B2" s="223">
        <f>ID</f>
        <v>109495372</v>
      </c>
      <c r="C2" s="224">
        <f ca="1">ROUND(C12,2)</f>
        <v>100</v>
      </c>
    </row>
    <row r="4" spans="1:5" x14ac:dyDescent="0.2">
      <c r="A4" s="225" t="s">
        <v>131</v>
      </c>
      <c r="B4" s="226" t="s">
        <v>228</v>
      </c>
      <c r="C4" s="226" t="s">
        <v>243</v>
      </c>
      <c r="D4" s="226" t="s">
        <v>244</v>
      </c>
    </row>
    <row r="5" spans="1:5" x14ac:dyDescent="0.2">
      <c r="A5" s="227" t="s">
        <v>303</v>
      </c>
      <c r="B5" s="228">
        <f>'Steps &amp; Rubric'!B13</f>
        <v>2</v>
      </c>
      <c r="C5" s="229">
        <f>JEs!AO2</f>
        <v>2</v>
      </c>
      <c r="D5" s="230">
        <f>C5/B5</f>
        <v>1</v>
      </c>
    </row>
    <row r="6" spans="1:5" x14ac:dyDescent="0.2">
      <c r="A6" s="231" t="s">
        <v>304</v>
      </c>
      <c r="B6" s="232">
        <f>'Steps &amp; Rubric'!B14</f>
        <v>2</v>
      </c>
      <c r="C6" s="233">
        <f>Ledger!AS13</f>
        <v>2</v>
      </c>
      <c r="D6" s="230">
        <f t="shared" ref="D6:D10" si="0">C6/B6</f>
        <v>1</v>
      </c>
    </row>
    <row r="7" spans="1:5" x14ac:dyDescent="0.2">
      <c r="A7" s="231" t="s">
        <v>305</v>
      </c>
      <c r="B7" s="232">
        <f>'Steps &amp; Rubric'!B15</f>
        <v>3</v>
      </c>
      <c r="C7" s="233">
        <f>Ledger!AT16</f>
        <v>3</v>
      </c>
      <c r="D7" s="230">
        <f t="shared" si="0"/>
        <v>1</v>
      </c>
    </row>
    <row r="8" spans="1:5" x14ac:dyDescent="0.2">
      <c r="A8" s="231" t="s">
        <v>306</v>
      </c>
      <c r="B8" s="232">
        <f>'Steps &amp; Rubric'!B16</f>
        <v>3</v>
      </c>
      <c r="C8" s="233">
        <f>Ledger!AU22</f>
        <v>3</v>
      </c>
      <c r="D8" s="230">
        <f t="shared" si="0"/>
        <v>1</v>
      </c>
    </row>
    <row r="9" spans="1:5" x14ac:dyDescent="0.2">
      <c r="A9" s="231" t="s">
        <v>307</v>
      </c>
      <c r="B9" s="232">
        <f>'Steps &amp; Rubric'!B17</f>
        <v>45</v>
      </c>
      <c r="C9" s="233">
        <f ca="1">IS!AX2</f>
        <v>45</v>
      </c>
      <c r="D9" s="230">
        <f t="shared" ca="1" si="0"/>
        <v>1</v>
      </c>
    </row>
    <row r="10" spans="1:5" x14ac:dyDescent="0.2">
      <c r="A10" s="234" t="s">
        <v>308</v>
      </c>
      <c r="B10" s="235">
        <f>'Steps &amp; Rubric'!B18</f>
        <v>45</v>
      </c>
      <c r="C10" s="236">
        <f ca="1">BS!AX2</f>
        <v>45</v>
      </c>
      <c r="D10" s="237">
        <f t="shared" ca="1" si="0"/>
        <v>1</v>
      </c>
    </row>
    <row r="11" spans="1:5" x14ac:dyDescent="0.2">
      <c r="A11" s="315" t="s">
        <v>328</v>
      </c>
      <c r="B11" s="316"/>
      <c r="C11" s="317">
        <f>IF(OR(Name="",Company=""),-2,0)</f>
        <v>0</v>
      </c>
      <c r="D11" s="318"/>
    </row>
    <row r="12" spans="1:5" x14ac:dyDescent="0.2">
      <c r="A12" s="238" t="s">
        <v>227</v>
      </c>
      <c r="B12" s="239">
        <f>SUM(B5:B10)</f>
        <v>100</v>
      </c>
      <c r="C12" s="240">
        <f ca="1">IFERROR(SUM(C5:C11),"CHECK SPREADSHEET")</f>
        <v>100</v>
      </c>
      <c r="D12" s="241">
        <f ca="1">C12/B12</f>
        <v>1</v>
      </c>
    </row>
    <row r="14" spans="1:5" x14ac:dyDescent="0.2">
      <c r="A14" s="242" t="s">
        <v>148</v>
      </c>
    </row>
    <row r="15" spans="1:5" x14ac:dyDescent="0.2">
      <c r="A15" s="194" t="str">
        <f>JEs!AQ2</f>
        <v>1) Journal Entries are in balance!</v>
      </c>
    </row>
    <row r="16" spans="1:5" x14ac:dyDescent="0.2">
      <c r="A16" s="194" t="str">
        <f>Ledger!AR2</f>
        <v>2) LEDGER: All beginning balances were entered correctly!</v>
      </c>
    </row>
    <row r="17" spans="1:1" x14ac:dyDescent="0.2">
      <c r="A17" s="194" t="str">
        <f>Ledger!AR3</f>
        <v>3) LEDGER: The T-Accounts were all used correctly.</v>
      </c>
    </row>
    <row r="18" spans="1:1" x14ac:dyDescent="0.2">
      <c r="A18" s="194" t="str">
        <f>Ledger!AR4</f>
        <v>4) LEDGER: All closing entries were performed correctly.</v>
      </c>
    </row>
    <row r="19" spans="1:1" x14ac:dyDescent="0.2">
      <c r="A19" s="194" t="str">
        <f>IS!BB11</f>
        <v>5) Income Statement:</v>
      </c>
    </row>
    <row r="20" spans="1:1" x14ac:dyDescent="0.2">
      <c r="A20" s="194" t="str">
        <f ca="1">IS!BB12</f>
        <v xml:space="preserve">   a. Sales revenue is accurately presented.</v>
      </c>
    </row>
    <row r="21" spans="1:1" x14ac:dyDescent="0.2">
      <c r="A21" s="194" t="str">
        <f ca="1">IS!BB13</f>
        <v xml:space="preserve">   b. Cost of Goods Sold is accurately presented.</v>
      </c>
    </row>
    <row r="22" spans="1:1" x14ac:dyDescent="0.2">
      <c r="A22" s="194" t="str">
        <f>IS!BB14</f>
        <v xml:space="preserve">   c. Grs Prft was correctly calculated with a formula.</v>
      </c>
    </row>
    <row r="23" spans="1:1" x14ac:dyDescent="0.2">
      <c r="A23" s="194" t="str">
        <f ca="1">IS!BB15</f>
        <v xml:space="preserve">   d. Rent expense is accurately presented.</v>
      </c>
    </row>
    <row r="24" spans="1:1" x14ac:dyDescent="0.2">
      <c r="A24" s="194" t="str">
        <f ca="1">IS!BB16</f>
        <v xml:space="preserve">   e. Depreciation expense is accurately presented.</v>
      </c>
    </row>
    <row r="25" spans="1:1" x14ac:dyDescent="0.2">
      <c r="A25" s="194" t="str">
        <f ca="1">IS!BB17</f>
        <v xml:space="preserve">   f. Supplies Expense is accurately presented.</v>
      </c>
    </row>
    <row r="26" spans="1:1" x14ac:dyDescent="0.2">
      <c r="A26" s="194" t="str">
        <f>IS!BB18</f>
        <v xml:space="preserve">   g. Tot OpEx was correctly calculated with a formula.</v>
      </c>
    </row>
    <row r="27" spans="1:1" x14ac:dyDescent="0.2">
      <c r="A27" s="194" t="str">
        <f>IS!BB19</f>
        <v xml:space="preserve">   h. Inc. preTx was correctly calculated with a formula.</v>
      </c>
    </row>
    <row r="28" spans="1:1" x14ac:dyDescent="0.2">
      <c r="A28" s="194" t="str">
        <f ca="1">IS!BB20</f>
        <v xml:space="preserve">   i. Tax Expense is accurately presented.</v>
      </c>
    </row>
    <row r="29" spans="1:1" x14ac:dyDescent="0.2">
      <c r="A29" s="194" t="str">
        <f>IS!BB21</f>
        <v xml:space="preserve">   j. Net Inc. was correctly calculated with a formula.</v>
      </c>
    </row>
    <row r="30" spans="1:1" x14ac:dyDescent="0.2">
      <c r="A30" s="194" t="str">
        <f>IS!BB22</f>
        <v xml:space="preserve">   k. All income statement accounts were properly classified.</v>
      </c>
    </row>
    <row r="31" spans="1:1" x14ac:dyDescent="0.2">
      <c r="A31" s="194" t="str">
        <f>IS!BB23</f>
        <v xml:space="preserve">   l. All accounts presented were income statement accounts.</v>
      </c>
    </row>
    <row r="32" spans="1:1" x14ac:dyDescent="0.2">
      <c r="A32" s="194" t="str">
        <f>BS!BB12</f>
        <v>6) Balance Sheet:</v>
      </c>
    </row>
    <row r="33" spans="1:1" x14ac:dyDescent="0.2">
      <c r="A33" s="194" t="str">
        <f ca="1">BS!BB13</f>
        <v xml:space="preserve">   a. Cash is accurately presented.</v>
      </c>
    </row>
    <row r="34" spans="1:1" x14ac:dyDescent="0.2">
      <c r="A34" s="194" t="str">
        <f ca="1">BS!BB14</f>
        <v xml:space="preserve">   b. Accounts receivable is accurately presented.</v>
      </c>
    </row>
    <row r="35" spans="1:1" x14ac:dyDescent="0.2">
      <c r="A35" s="194" t="str">
        <f ca="1">BS!BB15</f>
        <v xml:space="preserve">   c. Supplies is accurately presented.</v>
      </c>
    </row>
    <row r="36" spans="1:1" x14ac:dyDescent="0.2">
      <c r="A36" s="194" t="str">
        <f ca="1">BS!BB16</f>
        <v xml:space="preserve">   d. Prepaid rent is accurately presented.</v>
      </c>
    </row>
    <row r="37" spans="1:1" x14ac:dyDescent="0.2">
      <c r="A37" s="194" t="str">
        <f ca="1">BS!BB17</f>
        <v xml:space="preserve">   e. Inventory is accurately presented.</v>
      </c>
    </row>
    <row r="38" spans="1:1" x14ac:dyDescent="0.2">
      <c r="A38" s="194" t="str">
        <f>BS!BB18</f>
        <v xml:space="preserve">   f. Tot Cur A was correctly calculated with a formula.</v>
      </c>
    </row>
    <row r="39" spans="1:1" x14ac:dyDescent="0.2">
      <c r="A39" s="194" t="str">
        <f>BS!BB19</f>
        <v xml:space="preserve">   g. Net Equipment is accurately presented.</v>
      </c>
    </row>
    <row r="40" spans="1:1" x14ac:dyDescent="0.2">
      <c r="A40" s="194" t="str">
        <f>BS!BB20</f>
        <v xml:space="preserve">   h. Tot Asset was correctly calculated with a formula.</v>
      </c>
    </row>
    <row r="41" spans="1:1" x14ac:dyDescent="0.2">
      <c r="A41" s="194" t="str">
        <f ca="1">BS!BB21</f>
        <v xml:space="preserve">   i. Accounts payable is accurately presented.</v>
      </c>
    </row>
    <row r="42" spans="1:1" x14ac:dyDescent="0.2">
      <c r="A42" s="194" t="str">
        <f ca="1">BS!BB22</f>
        <v xml:space="preserve">   j. Taxes payable is accurately presented.</v>
      </c>
    </row>
    <row r="43" spans="1:1" x14ac:dyDescent="0.2">
      <c r="A43" s="194" t="str">
        <f>BS!BB23</f>
        <v xml:space="preserve">   k. Tot Liab was correctly calculated with a formula.</v>
      </c>
    </row>
    <row r="44" spans="1:1" x14ac:dyDescent="0.2">
      <c r="A44" s="194" t="str">
        <f ca="1">BS!BB24</f>
        <v xml:space="preserve">   l. Common stock is accurately presented.</v>
      </c>
    </row>
    <row r="45" spans="1:1" x14ac:dyDescent="0.2">
      <c r="A45" s="194" t="str">
        <f ca="1">BS!BB25</f>
        <v xml:space="preserve">   m. Retained earnings is accurately presented.</v>
      </c>
    </row>
    <row r="46" spans="1:1" x14ac:dyDescent="0.2">
      <c r="A46" s="194" t="str">
        <f>BS!BB26</f>
        <v xml:space="preserve">   n. Tot SE was correctly calculated with a formula.</v>
      </c>
    </row>
    <row r="47" spans="1:1" x14ac:dyDescent="0.2">
      <c r="A47" s="194" t="str">
        <f ca="1">BS!BB27</f>
        <v xml:space="preserve">   o. An If/Then statement was used to check the balance sheet.</v>
      </c>
    </row>
    <row r="48" spans="1:1" x14ac:dyDescent="0.2">
      <c r="A48" s="194" t="str">
        <f>BS!BB28</f>
        <v xml:space="preserve">   p. The balance sheet is in balance!</v>
      </c>
    </row>
    <row r="49" spans="1:1" x14ac:dyDescent="0.2">
      <c r="A49" s="243"/>
    </row>
    <row r="50" spans="1:1" x14ac:dyDescent="0.2">
      <c r="A50" s="194" t="s">
        <v>309</v>
      </c>
    </row>
  </sheetData>
  <sheetProtection algorithmName="SHA-512" hashValue="8/RuMFypk23qjrrXriawHtsS7SIUWBi/LBK7N7+O21/lBYSr1POiOJGTb3E5HCSy/Iza5b+yl6lvLhmp8RLY7A==" saltValue="9rpcN2fER4yisOWRX0x4+A==" spinCount="100000" sheet="1" selectLockedCells="1" selectUnlockedCells="1"/>
  <pageMargins left="0.7" right="0.7" top="0.75" bottom="0.75" header="0.3" footer="0.3"/>
  <pageSetup scale="93"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76A7-DF67-4DF3-AFE1-62D94223E7D9}">
  <sheetPr codeName="Sheet12"/>
  <dimension ref="A1:I21"/>
  <sheetViews>
    <sheetView topLeftCell="I1" workbookViewId="0">
      <selection activeCell="P4" sqref="P4"/>
    </sheetView>
  </sheetViews>
  <sheetFormatPr baseColWidth="10" defaultColWidth="8.83203125" defaultRowHeight="16" outlineLevelCol="1" x14ac:dyDescent="0.2"/>
  <cols>
    <col min="1" max="1" width="31.33203125" style="148" hidden="1" customWidth="1" outlineLevel="1"/>
    <col min="2" max="2" width="8.6640625" style="148" hidden="1" customWidth="1" outlineLevel="1"/>
    <col min="3" max="3" width="13.5" style="148" hidden="1" customWidth="1" outlineLevel="1"/>
    <col min="4" max="4" width="11.5" style="148" hidden="1" customWidth="1" outlineLevel="1"/>
    <col min="5" max="7" width="8.6640625" style="148" hidden="1" customWidth="1" outlineLevel="1"/>
    <col min="8" max="8" width="13.6640625" style="148" hidden="1" customWidth="1" outlineLevel="1"/>
    <col min="9" max="9" width="8.6640625" style="148" collapsed="1"/>
  </cols>
  <sheetData>
    <row r="1" spans="1:9" x14ac:dyDescent="0.2">
      <c r="A1" s="149" t="s">
        <v>54</v>
      </c>
      <c r="D1" s="157" t="s">
        <v>149</v>
      </c>
      <c r="H1" s="149" t="s">
        <v>145</v>
      </c>
      <c r="I1" s="153" t="s">
        <v>151</v>
      </c>
    </row>
    <row r="2" spans="1:9" x14ac:dyDescent="0.2">
      <c r="A2" s="148" t="s">
        <v>9</v>
      </c>
      <c r="C2" s="176" t="s">
        <v>96</v>
      </c>
      <c r="D2" s="211" t="s">
        <v>98</v>
      </c>
      <c r="E2" s="148" t="s">
        <v>97</v>
      </c>
      <c r="H2" s="148" t="s">
        <v>98</v>
      </c>
    </row>
    <row r="3" spans="1:9" x14ac:dyDescent="0.2">
      <c r="A3" s="148" t="s">
        <v>4</v>
      </c>
      <c r="C3" s="176" t="s">
        <v>100</v>
      </c>
      <c r="D3" s="244">
        <f ca="1">YEAR(TODAY())</f>
        <v>2021</v>
      </c>
      <c r="H3" s="148" t="s">
        <v>99</v>
      </c>
    </row>
    <row r="4" spans="1:9" x14ac:dyDescent="0.2">
      <c r="A4" s="148" t="s">
        <v>8</v>
      </c>
    </row>
    <row r="5" spans="1:9" x14ac:dyDescent="0.2">
      <c r="A5" s="148" t="s">
        <v>3</v>
      </c>
      <c r="C5" s="149" t="s">
        <v>153</v>
      </c>
    </row>
    <row r="6" spans="1:9" x14ac:dyDescent="0.2">
      <c r="A6" s="148" t="s">
        <v>10</v>
      </c>
      <c r="C6" s="245" t="s">
        <v>154</v>
      </c>
    </row>
    <row r="7" spans="1:9" x14ac:dyDescent="0.2">
      <c r="A7" s="148" t="s">
        <v>32</v>
      </c>
      <c r="C7" s="148" t="s">
        <v>155</v>
      </c>
    </row>
    <row r="8" spans="1:9" x14ac:dyDescent="0.2">
      <c r="A8" s="148" t="s">
        <v>13</v>
      </c>
      <c r="C8" s="148" t="s">
        <v>267</v>
      </c>
    </row>
    <row r="9" spans="1:9" x14ac:dyDescent="0.2">
      <c r="A9" s="148" t="s">
        <v>95</v>
      </c>
    </row>
    <row r="10" spans="1:9" x14ac:dyDescent="0.2">
      <c r="A10" s="148" t="s">
        <v>7</v>
      </c>
      <c r="C10" s="149" t="s">
        <v>291</v>
      </c>
    </row>
    <row r="11" spans="1:9" x14ac:dyDescent="0.2">
      <c r="A11" s="148" t="s">
        <v>18</v>
      </c>
      <c r="C11" s="148" t="s">
        <v>292</v>
      </c>
    </row>
    <row r="12" spans="1:9" x14ac:dyDescent="0.2">
      <c r="A12" s="148" t="s">
        <v>6</v>
      </c>
      <c r="C12" s="148" t="s">
        <v>293</v>
      </c>
    </row>
    <row r="13" spans="1:9" x14ac:dyDescent="0.2">
      <c r="A13" s="148" t="s">
        <v>12</v>
      </c>
      <c r="C13" s="148" t="s">
        <v>294</v>
      </c>
    </row>
    <row r="14" spans="1:9" x14ac:dyDescent="0.2">
      <c r="A14" s="148" t="s">
        <v>11</v>
      </c>
      <c r="C14" s="148" t="s">
        <v>299</v>
      </c>
    </row>
    <row r="15" spans="1:9" x14ac:dyDescent="0.2">
      <c r="A15" s="148" t="s">
        <v>31</v>
      </c>
      <c r="C15" s="149" t="s">
        <v>295</v>
      </c>
    </row>
    <row r="16" spans="1:9" x14ac:dyDescent="0.2">
      <c r="A16" s="148" t="s">
        <v>5</v>
      </c>
      <c r="C16" s="148" t="s">
        <v>296</v>
      </c>
    </row>
    <row r="17" spans="1:3" x14ac:dyDescent="0.2">
      <c r="A17" s="148" t="s">
        <v>33</v>
      </c>
      <c r="C17" s="148" t="s">
        <v>297</v>
      </c>
    </row>
    <row r="18" spans="1:3" x14ac:dyDescent="0.2">
      <c r="A18" s="148" t="s">
        <v>200</v>
      </c>
      <c r="C18" s="149" t="s">
        <v>298</v>
      </c>
    </row>
    <row r="19" spans="1:3" x14ac:dyDescent="0.2">
      <c r="A19" s="148" t="s">
        <v>80</v>
      </c>
      <c r="C19" s="148" t="s">
        <v>300</v>
      </c>
    </row>
    <row r="20" spans="1:3" x14ac:dyDescent="0.2">
      <c r="C20" s="148" t="s">
        <v>301</v>
      </c>
    </row>
    <row r="21" spans="1:3" x14ac:dyDescent="0.2">
      <c r="C21" s="148" t="s">
        <v>302</v>
      </c>
    </row>
  </sheetData>
  <sheetProtection selectLockedCells="1" selectUnlockedCells="1"/>
  <sortState xmlns:xlrd2="http://schemas.microsoft.com/office/spreadsheetml/2017/richdata2" ref="A2:A19">
    <sortCondition ref="A1"/>
  </sortState>
  <dataValidations count="1">
    <dataValidation type="list" allowBlank="1" showInputMessage="1" showErrorMessage="1" sqref="D2" xr:uid="{8706FE93-8CE3-40DA-98C0-AED1891A67F2}">
      <formula1>$H$2:$H$3</formula1>
    </dataValidation>
  </dataValidations>
  <pageMargins left="0.7" right="0.7" top="0.75" bottom="0.75" header="0.3" footer="0.3"/>
  <pageSetup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E8CF5-C412-42CC-8183-0B7F8FBEB264}">
  <sheetPr codeName="Sheet13"/>
  <dimension ref="A1:M19"/>
  <sheetViews>
    <sheetView workbookViewId="0">
      <selection activeCell="A6" sqref="A6"/>
    </sheetView>
  </sheetViews>
  <sheetFormatPr baseColWidth="10" defaultColWidth="8.6640625" defaultRowHeight="15" outlineLevelCol="1" x14ac:dyDescent="0.2"/>
  <cols>
    <col min="1" max="1" width="7.5" style="86" customWidth="1" outlineLevel="1"/>
    <col min="2" max="2" width="14.5" style="86" customWidth="1" outlineLevel="1"/>
    <col min="3" max="3" width="7.1640625" style="87" customWidth="1" outlineLevel="1"/>
    <col min="4" max="4" width="7.6640625" style="87" customWidth="1" outlineLevel="1"/>
    <col min="5" max="5" width="6.5" style="86" customWidth="1" outlineLevel="1"/>
    <col min="6" max="6" width="8.6640625" style="87" customWidth="1" outlineLevel="1"/>
    <col min="7" max="7" width="9.83203125" style="88" customWidth="1" outlineLevel="1"/>
    <col min="8" max="8" width="15.5" style="87" customWidth="1" outlineLevel="1"/>
    <col min="9" max="9" width="8.6640625" style="91" customWidth="1" outlineLevel="1"/>
    <col min="10" max="10" width="8.6640625" style="86" customWidth="1" outlineLevel="1"/>
    <col min="11" max="11" width="16.6640625" style="86" customWidth="1" outlineLevel="1"/>
    <col min="12" max="12" width="8.6640625" style="86" customWidth="1" outlineLevel="1"/>
    <col min="13" max="16384" width="8.6640625" style="86"/>
  </cols>
  <sheetData>
    <row r="1" spans="1:13" x14ac:dyDescent="0.2">
      <c r="A1" s="91" t="s">
        <v>131</v>
      </c>
      <c r="D1" s="95" t="s">
        <v>130</v>
      </c>
      <c r="E1" s="92"/>
      <c r="G1" s="88">
        <f>SUM(G3:G28)</f>
        <v>100</v>
      </c>
      <c r="H1" s="88">
        <f>SUM(H3:H28)</f>
        <v>-112</v>
      </c>
      <c r="K1" s="91" t="s">
        <v>137</v>
      </c>
      <c r="M1" s="98" t="s">
        <v>150</v>
      </c>
    </row>
    <row r="2" spans="1:13" ht="16" x14ac:dyDescent="0.2">
      <c r="A2" s="91" t="s">
        <v>129</v>
      </c>
      <c r="B2" s="91" t="s">
        <v>132</v>
      </c>
      <c r="C2" s="88" t="s">
        <v>128</v>
      </c>
      <c r="D2" s="88" t="s">
        <v>127</v>
      </c>
      <c r="E2" s="91" t="s">
        <v>126</v>
      </c>
      <c r="F2" s="88" t="s">
        <v>125</v>
      </c>
      <c r="G2" s="88" t="s">
        <v>138</v>
      </c>
      <c r="H2" s="88" t="s">
        <v>124</v>
      </c>
      <c r="I2" s="91" t="s">
        <v>56</v>
      </c>
      <c r="K2" t="s">
        <v>133</v>
      </c>
      <c r="L2" s="97">
        <v>10</v>
      </c>
    </row>
    <row r="3" spans="1:13" ht="16" x14ac:dyDescent="0.2">
      <c r="A3" s="94" t="s">
        <v>123</v>
      </c>
      <c r="C3" s="96">
        <v>3</v>
      </c>
      <c r="D3" s="96"/>
      <c r="E3" s="96">
        <v>-10</v>
      </c>
      <c r="F3" s="87">
        <v>1</v>
      </c>
      <c r="G3" s="88">
        <f t="shared" ref="G3:G19" si="0">C3*F3</f>
        <v>3</v>
      </c>
      <c r="H3" s="87">
        <f t="shared" ref="H3:H19" si="1">F3*E3+D3*F3</f>
        <v>-10</v>
      </c>
      <c r="I3" s="91">
        <f>G3</f>
        <v>3</v>
      </c>
      <c r="K3" t="s">
        <v>134</v>
      </c>
      <c r="L3" s="97">
        <v>100</v>
      </c>
    </row>
    <row r="4" spans="1:13" ht="16" x14ac:dyDescent="0.2">
      <c r="A4" s="90" t="s">
        <v>121</v>
      </c>
      <c r="B4" s="86" t="s">
        <v>122</v>
      </c>
      <c r="C4" s="96">
        <v>0.25</v>
      </c>
      <c r="D4" s="96">
        <v>-0.25</v>
      </c>
      <c r="E4" s="96">
        <v>-0.5</v>
      </c>
      <c r="F4" s="87">
        <v>12</v>
      </c>
      <c r="G4" s="88">
        <f t="shared" si="0"/>
        <v>3</v>
      </c>
      <c r="H4" s="87">
        <f t="shared" si="1"/>
        <v>-9</v>
      </c>
      <c r="I4" s="91" t="s">
        <v>121</v>
      </c>
      <c r="K4" t="s">
        <v>135</v>
      </c>
      <c r="L4" s="97">
        <v>1000</v>
      </c>
    </row>
    <row r="5" spans="1:13" ht="16" x14ac:dyDescent="0.2">
      <c r="A5" s="90" t="s">
        <v>121</v>
      </c>
      <c r="B5" s="86" t="s">
        <v>120</v>
      </c>
      <c r="C5" s="96">
        <v>2</v>
      </c>
      <c r="D5" s="96">
        <v>0</v>
      </c>
      <c r="E5" s="96">
        <v>-1</v>
      </c>
      <c r="F5" s="87">
        <v>3</v>
      </c>
      <c r="G5" s="88">
        <f t="shared" si="0"/>
        <v>6</v>
      </c>
      <c r="H5" s="87">
        <f t="shared" si="1"/>
        <v>-3</v>
      </c>
      <c r="I5" s="91">
        <f>SUM(G4:G5)</f>
        <v>9</v>
      </c>
      <c r="K5"/>
      <c r="L5"/>
    </row>
    <row r="6" spans="1:13" ht="16" x14ac:dyDescent="0.2">
      <c r="A6" s="93" t="s">
        <v>119</v>
      </c>
      <c r="B6" s="86" t="s">
        <v>118</v>
      </c>
      <c r="C6" s="96">
        <v>5</v>
      </c>
      <c r="D6" s="96"/>
      <c r="E6" s="96"/>
      <c r="F6" s="87">
        <v>1</v>
      </c>
      <c r="G6" s="88">
        <f t="shared" si="0"/>
        <v>5</v>
      </c>
      <c r="H6" s="87">
        <f t="shared" si="1"/>
        <v>0</v>
      </c>
      <c r="I6" s="91">
        <f>G6</f>
        <v>5</v>
      </c>
      <c r="K6" t="s">
        <v>107</v>
      </c>
      <c r="L6"/>
    </row>
    <row r="7" spans="1:13" ht="16" x14ac:dyDescent="0.2">
      <c r="A7" s="90" t="s">
        <v>116</v>
      </c>
      <c r="B7" s="86" t="s">
        <v>115</v>
      </c>
      <c r="C7" s="96">
        <v>1</v>
      </c>
      <c r="D7" s="96">
        <v>-0.5</v>
      </c>
      <c r="E7" s="96">
        <v>-1</v>
      </c>
      <c r="F7" s="87">
        <v>8</v>
      </c>
      <c r="G7" s="88">
        <f t="shared" si="0"/>
        <v>8</v>
      </c>
      <c r="H7" s="87">
        <f t="shared" si="1"/>
        <v>-12</v>
      </c>
      <c r="K7" t="s">
        <v>108</v>
      </c>
      <c r="L7"/>
    </row>
    <row r="8" spans="1:13" ht="16" x14ac:dyDescent="0.2">
      <c r="A8" s="90" t="s">
        <v>116</v>
      </c>
      <c r="B8" s="86" t="s">
        <v>140</v>
      </c>
      <c r="C8" s="96"/>
      <c r="D8" s="96">
        <v>-2</v>
      </c>
      <c r="E8" s="96"/>
      <c r="F8" s="87">
        <v>8</v>
      </c>
      <c r="G8" s="88">
        <f t="shared" si="0"/>
        <v>0</v>
      </c>
      <c r="H8" s="87">
        <f t="shared" si="1"/>
        <v>-16</v>
      </c>
      <c r="I8" s="91" t="s">
        <v>143</v>
      </c>
      <c r="K8"/>
      <c r="L8"/>
    </row>
    <row r="9" spans="1:13" x14ac:dyDescent="0.2">
      <c r="A9" s="90" t="s">
        <v>116</v>
      </c>
      <c r="B9" s="86" t="s">
        <v>117</v>
      </c>
      <c r="C9" s="96">
        <v>3.25</v>
      </c>
      <c r="D9" s="96"/>
      <c r="E9" s="96"/>
      <c r="F9" s="87">
        <v>8</v>
      </c>
      <c r="G9" s="88">
        <f t="shared" si="0"/>
        <v>26</v>
      </c>
      <c r="H9" s="87">
        <f t="shared" si="1"/>
        <v>0</v>
      </c>
      <c r="I9" s="91">
        <f>SUM(G7:G12)</f>
        <v>45</v>
      </c>
    </row>
    <row r="10" spans="1:13" x14ac:dyDescent="0.2">
      <c r="A10" s="90" t="s">
        <v>116</v>
      </c>
      <c r="B10" s="86" t="s">
        <v>113</v>
      </c>
      <c r="C10" s="96">
        <v>1</v>
      </c>
      <c r="D10" s="96">
        <v>-1</v>
      </c>
      <c r="E10" s="96"/>
      <c r="F10" s="87">
        <v>5</v>
      </c>
      <c r="G10" s="88">
        <f t="shared" si="0"/>
        <v>5</v>
      </c>
      <c r="H10" s="87">
        <f t="shared" si="1"/>
        <v>-5</v>
      </c>
    </row>
    <row r="11" spans="1:13" x14ac:dyDescent="0.2">
      <c r="A11" s="90" t="s">
        <v>116</v>
      </c>
      <c r="B11" s="86" t="s">
        <v>147</v>
      </c>
      <c r="C11" s="96">
        <v>1</v>
      </c>
      <c r="D11" s="96">
        <v>-2</v>
      </c>
      <c r="E11" s="96"/>
      <c r="F11" s="87">
        <v>1</v>
      </c>
      <c r="G11" s="88">
        <f t="shared" si="0"/>
        <v>1</v>
      </c>
      <c r="H11" s="87">
        <f t="shared" si="1"/>
        <v>-2</v>
      </c>
    </row>
    <row r="12" spans="1:13" x14ac:dyDescent="0.2">
      <c r="A12" s="90" t="s">
        <v>116</v>
      </c>
      <c r="B12" s="86" t="s">
        <v>112</v>
      </c>
      <c r="C12" s="96">
        <v>1</v>
      </c>
      <c r="D12" s="96"/>
      <c r="E12" s="96"/>
      <c r="F12" s="87">
        <v>5</v>
      </c>
      <c r="G12" s="88">
        <f t="shared" si="0"/>
        <v>5</v>
      </c>
      <c r="H12" s="87">
        <f t="shared" si="1"/>
        <v>0</v>
      </c>
    </row>
    <row r="13" spans="1:13" x14ac:dyDescent="0.2">
      <c r="A13" s="89" t="s">
        <v>110</v>
      </c>
      <c r="B13" s="86" t="s">
        <v>115</v>
      </c>
      <c r="C13" s="96">
        <v>1</v>
      </c>
      <c r="D13" s="96">
        <v>-0.5</v>
      </c>
      <c r="E13" s="96">
        <v>-2</v>
      </c>
      <c r="F13" s="87">
        <v>11</v>
      </c>
      <c r="G13" s="88">
        <f t="shared" si="0"/>
        <v>11</v>
      </c>
      <c r="H13" s="87">
        <f t="shared" si="1"/>
        <v>-27.5</v>
      </c>
    </row>
    <row r="14" spans="1:13" x14ac:dyDescent="0.2">
      <c r="A14" s="89" t="s">
        <v>110</v>
      </c>
      <c r="B14" s="86" t="s">
        <v>140</v>
      </c>
      <c r="C14" s="96"/>
      <c r="D14" s="96">
        <v>-2</v>
      </c>
      <c r="E14" s="96"/>
      <c r="F14" s="87">
        <v>11</v>
      </c>
      <c r="G14" s="88">
        <f t="shared" si="0"/>
        <v>0</v>
      </c>
      <c r="H14" s="87">
        <f t="shared" si="1"/>
        <v>-22</v>
      </c>
      <c r="I14" s="91" t="s">
        <v>144</v>
      </c>
    </row>
    <row r="15" spans="1:13" x14ac:dyDescent="0.2">
      <c r="A15" s="89" t="s">
        <v>110</v>
      </c>
      <c r="B15" s="86" t="s">
        <v>114</v>
      </c>
      <c r="C15" s="96">
        <v>1</v>
      </c>
      <c r="D15" s="96">
        <v>-0.5</v>
      </c>
      <c r="E15" s="96"/>
      <c r="F15" s="87">
        <v>11</v>
      </c>
      <c r="G15" s="88">
        <f t="shared" si="0"/>
        <v>11</v>
      </c>
      <c r="H15" s="87">
        <f t="shared" si="1"/>
        <v>-5.5</v>
      </c>
      <c r="I15" s="91">
        <f>SUM(G13:G19)</f>
        <v>38</v>
      </c>
    </row>
    <row r="16" spans="1:13" x14ac:dyDescent="0.2">
      <c r="A16" s="89" t="s">
        <v>110</v>
      </c>
      <c r="B16" s="86" t="s">
        <v>113</v>
      </c>
      <c r="C16" s="96">
        <v>1</v>
      </c>
      <c r="D16" s="96"/>
      <c r="E16" s="96"/>
      <c r="F16" s="87">
        <v>5</v>
      </c>
      <c r="G16" s="88">
        <f t="shared" si="0"/>
        <v>5</v>
      </c>
      <c r="H16" s="87">
        <f t="shared" si="1"/>
        <v>0</v>
      </c>
    </row>
    <row r="17" spans="1:8" x14ac:dyDescent="0.2">
      <c r="A17" s="89" t="s">
        <v>110</v>
      </c>
      <c r="B17" s="86" t="s">
        <v>112</v>
      </c>
      <c r="C17" s="96">
        <v>1</v>
      </c>
      <c r="D17" s="96"/>
      <c r="E17" s="96"/>
      <c r="F17" s="87">
        <v>6</v>
      </c>
      <c r="G17" s="88">
        <f t="shared" si="0"/>
        <v>6</v>
      </c>
      <c r="H17" s="87">
        <f t="shared" si="1"/>
        <v>0</v>
      </c>
    </row>
    <row r="18" spans="1:8" x14ac:dyDescent="0.2">
      <c r="A18" s="89" t="s">
        <v>110</v>
      </c>
      <c r="B18" s="86" t="s">
        <v>111</v>
      </c>
      <c r="C18" s="96">
        <v>3</v>
      </c>
      <c r="D18" s="96"/>
      <c r="E18" s="96"/>
      <c r="F18" s="87">
        <v>1</v>
      </c>
      <c r="G18" s="88">
        <f t="shared" si="0"/>
        <v>3</v>
      </c>
      <c r="H18" s="87">
        <f t="shared" si="1"/>
        <v>0</v>
      </c>
    </row>
    <row r="19" spans="1:8" x14ac:dyDescent="0.2">
      <c r="A19" s="89" t="s">
        <v>110</v>
      </c>
      <c r="B19" s="86" t="s">
        <v>109</v>
      </c>
      <c r="C19" s="96">
        <v>2</v>
      </c>
      <c r="D19" s="96"/>
      <c r="E19" s="96"/>
      <c r="F19" s="87">
        <v>1</v>
      </c>
      <c r="G19" s="88">
        <f t="shared" si="0"/>
        <v>2</v>
      </c>
      <c r="H19" s="87">
        <f t="shared" si="1"/>
        <v>0</v>
      </c>
    </row>
  </sheetData>
  <sheetProtection selectLockedCells="1" selectUnlockedCells="1"/>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9BE4-3D0C-4B1E-962C-4261A1FE5E96}">
  <sheetPr codeName="Sheet2">
    <tabColor rgb="FF0000FF"/>
  </sheetPr>
  <dimension ref="A1:BL22"/>
  <sheetViews>
    <sheetView showGridLines="0" topLeftCell="A5" zoomScaleNormal="100" workbookViewId="0"/>
  </sheetViews>
  <sheetFormatPr baseColWidth="10" defaultColWidth="8.6640625" defaultRowHeight="16" x14ac:dyDescent="0.2"/>
  <cols>
    <col min="1" max="1" width="42" style="4" customWidth="1"/>
    <col min="2" max="2" width="34" style="4" customWidth="1"/>
    <col min="3" max="3" width="4.83203125" style="4" customWidth="1"/>
    <col min="4" max="4" width="1.1640625" style="4" customWidth="1"/>
    <col min="5" max="5" width="1.33203125" style="4" customWidth="1"/>
    <col min="6" max="6" width="32.5" style="4" bestFit="1" customWidth="1"/>
    <col min="7" max="7" width="12.6640625" style="4" bestFit="1" customWidth="1"/>
    <col min="8" max="10" width="8.6640625" style="4"/>
    <col min="11" max="11" width="9.6640625" style="4" bestFit="1" customWidth="1"/>
    <col min="12" max="16384" width="8.6640625" style="4"/>
  </cols>
  <sheetData>
    <row r="1" spans="1:64" ht="17" thickBot="1" x14ac:dyDescent="0.25">
      <c r="A1" s="105" t="s">
        <v>245</v>
      </c>
      <c r="B1" s="104"/>
      <c r="C1" s="103"/>
      <c r="AZ1" s="4">
        <v>7</v>
      </c>
      <c r="BA1" s="4">
        <v>4</v>
      </c>
      <c r="BB1" s="4">
        <v>9</v>
      </c>
      <c r="BC1" s="4">
        <v>3</v>
      </c>
      <c r="BD1" s="4">
        <v>5</v>
      </c>
      <c r="BE1" s="4">
        <v>2</v>
      </c>
      <c r="BF1" s="4">
        <v>1</v>
      </c>
      <c r="BG1" s="4">
        <v>5</v>
      </c>
      <c r="BH1" s="4">
        <v>8</v>
      </c>
      <c r="BI1" s="4">
        <v>8</v>
      </c>
      <c r="BJ1" s="4">
        <v>4</v>
      </c>
      <c r="BK1" s="4">
        <v>9</v>
      </c>
      <c r="BL1" s="4">
        <v>3</v>
      </c>
    </row>
    <row r="2" spans="1:64" ht="5.5" customHeight="1" x14ac:dyDescent="0.2">
      <c r="AZ2" s="4" t="s">
        <v>179</v>
      </c>
      <c r="BA2" s="4">
        <v>1</v>
      </c>
    </row>
    <row r="3" spans="1:64" x14ac:dyDescent="0.2">
      <c r="A3" s="328" t="s">
        <v>318</v>
      </c>
      <c r="B3" s="329"/>
      <c r="C3" s="329"/>
    </row>
    <row r="4" spans="1:64" x14ac:dyDescent="0.2">
      <c r="A4" s="329"/>
      <c r="B4" s="329"/>
      <c r="C4" s="329"/>
    </row>
    <row r="5" spans="1:64" x14ac:dyDescent="0.2">
      <c r="A5" s="329"/>
      <c r="B5" s="329"/>
      <c r="C5" s="329"/>
    </row>
    <row r="6" spans="1:64" ht="49.25" customHeight="1" x14ac:dyDescent="0.2">
      <c r="A6" s="329"/>
      <c r="B6" s="329"/>
      <c r="C6" s="329"/>
    </row>
    <row r="7" spans="1:64" ht="99" customHeight="1" x14ac:dyDescent="0.2">
      <c r="A7" s="329"/>
      <c r="B7" s="329"/>
      <c r="C7" s="329"/>
    </row>
    <row r="8" spans="1:64" ht="71" customHeight="1" x14ac:dyDescent="0.2">
      <c r="A8" s="329"/>
      <c r="B8" s="329"/>
      <c r="C8" s="329"/>
    </row>
    <row r="9" spans="1:64" ht="61.5" customHeight="1" x14ac:dyDescent="0.2">
      <c r="A9" s="329"/>
      <c r="B9" s="329"/>
      <c r="C9" s="329"/>
    </row>
    <row r="10" spans="1:64" ht="51.5" customHeight="1" x14ac:dyDescent="0.2">
      <c r="A10" s="329"/>
      <c r="B10" s="329"/>
      <c r="C10" s="329"/>
    </row>
    <row r="11" spans="1:64" ht="21" customHeight="1" x14ac:dyDescent="0.2"/>
    <row r="12" spans="1:64" x14ac:dyDescent="0.2">
      <c r="A12" s="126" t="s">
        <v>131</v>
      </c>
      <c r="B12" s="127" t="s">
        <v>228</v>
      </c>
    </row>
    <row r="13" spans="1:64" x14ac:dyDescent="0.2">
      <c r="A13" s="125" t="s">
        <v>303</v>
      </c>
      <c r="B13" s="131">
        <v>2</v>
      </c>
    </row>
    <row r="14" spans="1:64" x14ac:dyDescent="0.2">
      <c r="A14" s="128" t="s">
        <v>304</v>
      </c>
      <c r="B14" s="132">
        <v>2</v>
      </c>
    </row>
    <row r="15" spans="1:64" x14ac:dyDescent="0.2">
      <c r="A15" s="128" t="s">
        <v>305</v>
      </c>
      <c r="B15" s="132">
        <v>3</v>
      </c>
    </row>
    <row r="16" spans="1:64" x14ac:dyDescent="0.2">
      <c r="A16" s="128" t="s">
        <v>306</v>
      </c>
      <c r="B16" s="132">
        <v>3</v>
      </c>
    </row>
    <row r="17" spans="1:2" x14ac:dyDescent="0.2">
      <c r="A17" s="128" t="s">
        <v>307</v>
      </c>
      <c r="B17" s="132">
        <v>45</v>
      </c>
    </row>
    <row r="18" spans="1:2" x14ac:dyDescent="0.2">
      <c r="A18" s="130" t="s">
        <v>308</v>
      </c>
      <c r="B18" s="133">
        <v>45</v>
      </c>
    </row>
    <row r="19" spans="1:2" x14ac:dyDescent="0.2">
      <c r="A19" s="129" t="s">
        <v>227</v>
      </c>
      <c r="B19" s="134">
        <f>SUM(B13:B18)</f>
        <v>100</v>
      </c>
    </row>
    <row r="21" spans="1:2" x14ac:dyDescent="0.2">
      <c r="A21" s="4" t="s">
        <v>326</v>
      </c>
    </row>
    <row r="22" spans="1:2" x14ac:dyDescent="0.2">
      <c r="A22" s="4" t="s">
        <v>327</v>
      </c>
    </row>
  </sheetData>
  <sheetProtection algorithmName="SHA-512" hashValue="FkPLMSHFm6xQ5SaqUE9ItyOsbBCOnV1zYGKycK/x8bUsLqHbOu9jbG9zyCjpFXIVojzttqmlM4q5ub0nNsVfHw==" saltValue="/7eciABrcRHOIhXLnd9THg==" spinCount="100000" sheet="1" formatCells="0" formatColumns="0" formatRows="0" selectLockedCells="1"/>
  <mergeCells count="1">
    <mergeCell ref="A3:C10"/>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00FF"/>
  </sheetPr>
  <dimension ref="A1:BM25"/>
  <sheetViews>
    <sheetView showGridLines="0" zoomScaleNormal="100" workbookViewId="0">
      <selection activeCell="C16" sqref="C16"/>
    </sheetView>
  </sheetViews>
  <sheetFormatPr baseColWidth="10" defaultColWidth="10.6640625" defaultRowHeight="16" x14ac:dyDescent="0.2"/>
  <cols>
    <col min="1" max="1" width="25.5" customWidth="1"/>
    <col min="2" max="3" width="15.6640625" customWidth="1"/>
    <col min="4" max="4" width="34.1640625" customWidth="1"/>
    <col min="5" max="5" width="14" customWidth="1"/>
    <col min="6" max="6" width="2.6640625" customWidth="1"/>
    <col min="7" max="37" width="10.5" customWidth="1"/>
    <col min="38" max="38" width="10.5" style="310" customWidth="1"/>
    <col min="39" max="43" width="10.5" style="148" hidden="1" customWidth="1"/>
    <col min="44" max="44" width="10.5" style="194" hidden="1" customWidth="1"/>
    <col min="45" max="64" width="10.6640625" style="194" hidden="1" customWidth="1"/>
    <col min="65" max="65" width="10.6640625" style="310"/>
  </cols>
  <sheetData>
    <row r="1" spans="1:43" x14ac:dyDescent="0.2">
      <c r="A1" s="55" t="s">
        <v>73</v>
      </c>
      <c r="B1" s="56"/>
      <c r="C1" s="56"/>
      <c r="D1" s="56"/>
      <c r="AM1" s="148" t="s">
        <v>247</v>
      </c>
      <c r="AQ1" s="148" t="s">
        <v>248</v>
      </c>
    </row>
    <row r="2" spans="1:43" x14ac:dyDescent="0.2">
      <c r="A2" s="3" t="s">
        <v>214</v>
      </c>
    </row>
    <row r="4" spans="1:43" x14ac:dyDescent="0.2">
      <c r="A4" s="3" t="str">
        <f ca="1">AM4</f>
        <v>Beginning Trial Balance for Accounting101 as of January 1, 2021</v>
      </c>
      <c r="AM4" s="149" t="str">
        <f ca="1">"Beginning Trial Balance for "&amp;Start!C4&amp;" as of January 1, "&amp;Data!D3</f>
        <v>Beginning Trial Balance for Accounting101 as of January 1, 2021</v>
      </c>
    </row>
    <row r="5" spans="1:43" x14ac:dyDescent="0.2">
      <c r="A5" s="12"/>
      <c r="B5" s="13" t="s">
        <v>1</v>
      </c>
      <c r="C5" s="14" t="s">
        <v>2</v>
      </c>
      <c r="D5" s="27" t="s">
        <v>22</v>
      </c>
      <c r="AN5" s="149" t="s">
        <v>1</v>
      </c>
      <c r="AO5" s="149" t="s">
        <v>2</v>
      </c>
      <c r="AP5" s="150" t="s">
        <v>22</v>
      </c>
    </row>
    <row r="6" spans="1:43" x14ac:dyDescent="0.2">
      <c r="A6" s="18" t="s">
        <v>3</v>
      </c>
      <c r="B6" s="15">
        <f>Beg_Cash</f>
        <v>189100</v>
      </c>
      <c r="C6" s="16"/>
      <c r="AM6" s="148" t="s">
        <v>3</v>
      </c>
      <c r="AN6" s="151">
        <f>ROUND(AO13+Trx!AN4/2,0)</f>
        <v>189100</v>
      </c>
      <c r="AO6" s="151"/>
    </row>
    <row r="7" spans="1:43" x14ac:dyDescent="0.2">
      <c r="A7" s="17" t="s">
        <v>4</v>
      </c>
      <c r="B7" s="15">
        <f>Beg_AR</f>
        <v>64900</v>
      </c>
      <c r="C7" s="16"/>
      <c r="D7" s="10"/>
      <c r="AM7" s="148" t="s">
        <v>4</v>
      </c>
      <c r="AN7" s="151">
        <f>ROUNDUP(0.15*AN11,-2)</f>
        <v>64900</v>
      </c>
      <c r="AO7" s="151"/>
      <c r="AP7" s="152"/>
    </row>
    <row r="8" spans="1:43" x14ac:dyDescent="0.2">
      <c r="A8" s="17" t="s">
        <v>5</v>
      </c>
      <c r="B8" s="15">
        <f>Beg_Supp</f>
        <v>7140</v>
      </c>
      <c r="C8" s="16"/>
      <c r="AM8" s="148" t="s">
        <v>5</v>
      </c>
      <c r="AN8" s="151">
        <f>ROUNDUP(0.11*AN7,-1)</f>
        <v>7140</v>
      </c>
      <c r="AO8" s="151"/>
    </row>
    <row r="9" spans="1:43" x14ac:dyDescent="0.2">
      <c r="A9" s="17" t="s">
        <v>6</v>
      </c>
      <c r="B9" s="15">
        <f>Beg_PPd</f>
        <v>47680</v>
      </c>
      <c r="C9" s="16"/>
      <c r="D9" s="114" t="s">
        <v>102</v>
      </c>
      <c r="E9" s="115">
        <f>NewRent</f>
        <v>11920</v>
      </c>
      <c r="AM9" s="148" t="s">
        <v>6</v>
      </c>
      <c r="AN9" s="151">
        <f>ROUND(AQ9*4,0)</f>
        <v>47680</v>
      </c>
      <c r="AO9" s="151"/>
      <c r="AP9" s="153" t="s">
        <v>102</v>
      </c>
      <c r="AQ9" s="154">
        <f>Trx!AQ9*2</f>
        <v>11920</v>
      </c>
    </row>
    <row r="10" spans="1:43" x14ac:dyDescent="0.2">
      <c r="A10" s="17" t="s">
        <v>18</v>
      </c>
      <c r="B10" s="15">
        <f>Beg_Inv</f>
        <v>2440</v>
      </c>
      <c r="C10" s="16"/>
      <c r="D10" s="106" t="s">
        <v>240</v>
      </c>
      <c r="E10" s="116"/>
      <c r="AM10" s="148" t="s">
        <v>18</v>
      </c>
      <c r="AN10" s="151">
        <f>Trx!AP4</f>
        <v>2440</v>
      </c>
      <c r="AO10" s="151"/>
      <c r="AP10" s="153" t="s">
        <v>241</v>
      </c>
    </row>
    <row r="11" spans="1:43" x14ac:dyDescent="0.2">
      <c r="A11" s="17" t="s">
        <v>7</v>
      </c>
      <c r="B11" s="15">
        <f>Beg_Equip</f>
        <v>432300</v>
      </c>
      <c r="C11" s="16"/>
      <c r="D11" s="114" t="str">
        <f ca="1">AP11</f>
        <v>* All equipment was purchased July 1, 2020 (Last Year)</v>
      </c>
      <c r="E11" s="314"/>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311"/>
      <c r="AM11" s="148" t="s">
        <v>7</v>
      </c>
      <c r="AN11" s="151">
        <f>ROUNDUP((Trx!AN9/2+MID(ID_2,2,3)),-2)</f>
        <v>432300</v>
      </c>
      <c r="AO11" s="151"/>
      <c r="AP11" s="153" t="str">
        <f ca="1">"* All equipment was purchased July 1, "&amp;Data!D3-1&amp;" (Last Year)"</f>
        <v>* All equipment was purchased July 1, 2020 (Last Year)</v>
      </c>
    </row>
    <row r="12" spans="1:43" x14ac:dyDescent="0.2">
      <c r="A12" s="17" t="s">
        <v>8</v>
      </c>
      <c r="B12" s="15"/>
      <c r="C12" s="16">
        <f>Beg_AccumDep</f>
        <v>21615</v>
      </c>
      <c r="D12" s="312" t="s">
        <v>325</v>
      </c>
      <c r="E12" s="313"/>
      <c r="AM12" s="148" t="s">
        <v>8</v>
      </c>
      <c r="AN12" s="151"/>
      <c r="AO12" s="151">
        <f>ROUNDUP((AN11/10)/2,0)</f>
        <v>21615</v>
      </c>
      <c r="AP12" s="153" t="s">
        <v>242</v>
      </c>
    </row>
    <row r="13" spans="1:43" x14ac:dyDescent="0.2">
      <c r="A13" s="17" t="s">
        <v>9</v>
      </c>
      <c r="B13" s="15"/>
      <c r="C13" s="16">
        <f>Beg_AP</f>
        <v>7320</v>
      </c>
      <c r="AM13" s="148" t="s">
        <v>9</v>
      </c>
      <c r="AN13" s="151"/>
      <c r="AO13" s="151">
        <f>ROUND(AN10*3,0)</f>
        <v>7320</v>
      </c>
    </row>
    <row r="14" spans="1:43" x14ac:dyDescent="0.2">
      <c r="A14" s="17" t="s">
        <v>80</v>
      </c>
      <c r="B14" s="15"/>
      <c r="C14" s="16">
        <f>Beg_TaxPay</f>
        <v>0</v>
      </c>
      <c r="D14" s="10"/>
      <c r="AM14" s="148" t="s">
        <v>80</v>
      </c>
      <c r="AN14" s="151"/>
      <c r="AO14" s="151">
        <v>0</v>
      </c>
      <c r="AP14" s="152"/>
    </row>
    <row r="15" spans="1:43" x14ac:dyDescent="0.2">
      <c r="A15" s="17" t="s">
        <v>10</v>
      </c>
      <c r="B15" s="15"/>
      <c r="C15" s="16">
        <f>Beg_CS</f>
        <v>443000</v>
      </c>
      <c r="D15" s="10"/>
      <c r="AM15" s="148" t="s">
        <v>10</v>
      </c>
      <c r="AN15" s="151"/>
      <c r="AO15" s="151">
        <f>ROUNDUP(AN11+MID(ID_2,2,5)/2,-3)</f>
        <v>443000</v>
      </c>
      <c r="AP15" s="152"/>
    </row>
    <row r="16" spans="1:43" x14ac:dyDescent="0.2">
      <c r="A16" s="17" t="s">
        <v>11</v>
      </c>
      <c r="B16" s="15"/>
      <c r="C16" s="16">
        <f>Beg_RE</f>
        <v>271625</v>
      </c>
      <c r="AM16" s="148" t="s">
        <v>11</v>
      </c>
      <c r="AN16" s="151"/>
      <c r="AO16" s="151">
        <f>ROUND(SUM(AN6:AN11)-SUM(AO12:AO15),0)</f>
        <v>271625</v>
      </c>
    </row>
    <row r="17" spans="1:42" x14ac:dyDescent="0.2">
      <c r="A17" s="17" t="s">
        <v>95</v>
      </c>
      <c r="B17" s="15">
        <v>0</v>
      </c>
      <c r="C17" s="16"/>
      <c r="AM17" s="148" t="s">
        <v>95</v>
      </c>
      <c r="AN17" s="151">
        <v>0</v>
      </c>
      <c r="AO17" s="151"/>
    </row>
    <row r="18" spans="1:42" x14ac:dyDescent="0.2">
      <c r="A18" s="17" t="s">
        <v>31</v>
      </c>
      <c r="B18" s="15"/>
      <c r="C18" s="16">
        <v>0</v>
      </c>
      <c r="AM18" s="148" t="s">
        <v>31</v>
      </c>
      <c r="AN18" s="151"/>
      <c r="AO18" s="151">
        <v>0</v>
      </c>
    </row>
    <row r="19" spans="1:42" x14ac:dyDescent="0.2">
      <c r="A19" s="17" t="s">
        <v>32</v>
      </c>
      <c r="B19" s="15">
        <v>0</v>
      </c>
      <c r="C19" s="16"/>
      <c r="AM19" s="148" t="s">
        <v>32</v>
      </c>
      <c r="AN19" s="151">
        <v>0</v>
      </c>
      <c r="AO19" s="151"/>
    </row>
    <row r="20" spans="1:42" x14ac:dyDescent="0.2">
      <c r="A20" s="17" t="s">
        <v>33</v>
      </c>
      <c r="B20" s="15">
        <v>0</v>
      </c>
      <c r="C20" s="16"/>
      <c r="AM20" s="148" t="s">
        <v>33</v>
      </c>
      <c r="AN20" s="151">
        <v>0</v>
      </c>
      <c r="AO20" s="151"/>
    </row>
    <row r="21" spans="1:42" x14ac:dyDescent="0.2">
      <c r="A21" s="17" t="s">
        <v>12</v>
      </c>
      <c r="B21" s="15">
        <v>0</v>
      </c>
      <c r="C21" s="16"/>
      <c r="AM21" s="148" t="s">
        <v>12</v>
      </c>
      <c r="AN21" s="151">
        <v>0</v>
      </c>
      <c r="AO21" s="151"/>
    </row>
    <row r="22" spans="1:42" x14ac:dyDescent="0.2">
      <c r="A22" s="17" t="s">
        <v>13</v>
      </c>
      <c r="B22" s="15">
        <v>0</v>
      </c>
      <c r="C22" s="16"/>
      <c r="AM22" s="148" t="s">
        <v>13</v>
      </c>
      <c r="AN22" s="151">
        <v>0</v>
      </c>
      <c r="AO22" s="151"/>
    </row>
    <row r="23" spans="1:42" x14ac:dyDescent="0.2">
      <c r="A23" s="1" t="s">
        <v>0</v>
      </c>
      <c r="B23" s="9">
        <f>SUM(B6:B22)</f>
        <v>743560</v>
      </c>
      <c r="C23" s="9">
        <f>SUM(C6:C22)</f>
        <v>743560</v>
      </c>
      <c r="D23" s="2"/>
      <c r="AM23" s="155" t="s">
        <v>0</v>
      </c>
      <c r="AN23" s="156">
        <f>SUM(AN6:AN22)</f>
        <v>743560</v>
      </c>
      <c r="AO23" s="156">
        <f>SUM(AO6:AO22)</f>
        <v>743560</v>
      </c>
      <c r="AP23" s="151"/>
    </row>
    <row r="25" spans="1:42" ht="4" customHeight="1" x14ac:dyDescent="0.2"/>
  </sheetData>
  <sheetProtection algorithmName="SHA-512" hashValue="7XrQGPz22VK9iJ8dDUa61fz7abpo8rQV7LIuaOPC00NYR98EbzTEvaiw5T3jeRMOfnZIFr8Bt5VOkRrmF9S9CQ==" saltValue="ef9mU6PVlgbuN0gpoKyQ2A==" spinCount="100000" sheet="1" formatCells="0"/>
  <phoneticPr fontId="5" type="noConversion"/>
  <pageMargins left="0.75" right="0.75" top="1" bottom="1" header="0.5" footer="0.5"/>
  <pageSetup orientation="landscape" horizontalDpi="1200" verticalDpi="12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7688-BBBD-437C-863F-DB1244D3DC22}">
  <sheetPr codeName="Sheet4">
    <tabColor rgb="FF0000FF"/>
  </sheetPr>
  <dimension ref="A1:BL22"/>
  <sheetViews>
    <sheetView showGridLines="0" zoomScaleNormal="100" workbookViewId="0">
      <selection activeCell="C24" sqref="C24"/>
    </sheetView>
  </sheetViews>
  <sheetFormatPr baseColWidth="10" defaultColWidth="8.83203125" defaultRowHeight="16" x14ac:dyDescent="0.2"/>
  <cols>
    <col min="1" max="1" width="5.1640625" customWidth="1"/>
    <col min="3" max="3" width="15.33203125" bestFit="1" customWidth="1"/>
    <col min="4" max="4" width="11.6640625" bestFit="1" customWidth="1"/>
    <col min="12" max="12" width="8.83203125" customWidth="1"/>
    <col min="13" max="13" width="1.5" customWidth="1"/>
    <col min="14" max="38" width="9.5" customWidth="1"/>
    <col min="39" max="39" width="9.5" style="148" hidden="1" customWidth="1"/>
    <col min="40" max="41" width="9.5" style="158" hidden="1" customWidth="1"/>
    <col min="42" max="43" width="9.5" style="159" hidden="1" customWidth="1"/>
    <col min="44" max="44" width="9.5" hidden="1" customWidth="1"/>
    <col min="45" max="64" width="9" hidden="1" customWidth="1"/>
  </cols>
  <sheetData>
    <row r="1" spans="1:43" x14ac:dyDescent="0.2">
      <c r="A1" s="11" t="s">
        <v>317</v>
      </c>
      <c r="B1" s="112" t="str">
        <f ca="1">E_Trx</f>
        <v>Accounting101's transactions during 2021:</v>
      </c>
      <c r="D1" s="2"/>
      <c r="AM1" s="157" t="str">
        <f ca="1">Company&amp;"'s transactions during "&amp;Data!D3&amp;":"</f>
        <v>Accounting101's transactions during 2021:</v>
      </c>
    </row>
    <row r="2" spans="1:43" x14ac:dyDescent="0.2">
      <c r="A2" t="s">
        <v>38</v>
      </c>
      <c r="B2" t="str">
        <f>E_1</f>
        <v>On Jan 1, Accounting101 pays cash of $3,660 towards their Accounts Payable.</v>
      </c>
      <c r="AM2" s="148" t="str">
        <f>"On Jan 1, "&amp;Company&amp;" pays cash of "&amp;DOLLAR(AN2,0)&amp;" towards their Accounts Payable."</f>
        <v>On Jan 1, Accounting101 pays cash of $3,660 towards their Accounts Payable.</v>
      </c>
      <c r="AN2" s="160">
        <f>ROUND(0.5*'Beg TB'!AO13,0)</f>
        <v>3660</v>
      </c>
      <c r="AO2" s="149" t="s">
        <v>215</v>
      </c>
    </row>
    <row r="3" spans="1:43" x14ac:dyDescent="0.2">
      <c r="A3" s="292" t="s">
        <v>39</v>
      </c>
      <c r="B3" s="293" t="str">
        <f>E_2</f>
        <v>On Jan 15, Accounting101 purchases $7,920 in supplies, on account.</v>
      </c>
      <c r="C3" s="293"/>
      <c r="D3" s="293"/>
      <c r="E3" s="293"/>
      <c r="F3" s="293"/>
      <c r="G3" s="293"/>
      <c r="H3" s="293"/>
      <c r="I3" s="293"/>
      <c r="J3" s="293"/>
      <c r="K3" s="293"/>
      <c r="L3" s="293"/>
      <c r="AM3" s="148" t="str">
        <f>"On Jan 15, "&amp;Company&amp;" purchases "&amp;DOLLAR(AN3,0)&amp;" in supplies, on account."</f>
        <v>On Jan 15, Accounting101 purchases $7,920 in supplies, on account.</v>
      </c>
      <c r="AN3" s="160">
        <f>ROUND((MID(ID_2,7,1)*100+AN2)*2,0)</f>
        <v>7920</v>
      </c>
      <c r="AO3" s="161" t="s">
        <v>210</v>
      </c>
    </row>
    <row r="4" spans="1:43" x14ac:dyDescent="0.2">
      <c r="A4" s="293" t="s">
        <v>40</v>
      </c>
      <c r="B4" s="293" t="str">
        <f>E_3</f>
        <v>On Feb 15, the company purchases 149 units of inventory for $2,440 each, half with accounts payable and the rest with cash.</v>
      </c>
      <c r="C4" s="293"/>
      <c r="D4" s="293"/>
      <c r="E4" s="293"/>
      <c r="F4" s="293"/>
      <c r="G4" s="293"/>
      <c r="H4" s="293"/>
      <c r="I4" s="293"/>
      <c r="J4" s="293"/>
      <c r="K4" s="293"/>
      <c r="L4" s="293"/>
      <c r="AM4" s="148" t="str">
        <f>"On Feb 15, the company purchases 149 units of inventory for "&amp;DOLLAR(AP4,0)&amp;" each, half with accounts payable and the rest with cash."</f>
        <v>On Feb 15, the company purchases 149 units of inventory for $2,440 each, half with accounts payable and the rest with cash.</v>
      </c>
      <c r="AN4" s="160">
        <f>ROUND(AP4*149,0)</f>
        <v>363560</v>
      </c>
      <c r="AO4" s="161" t="s">
        <v>211</v>
      </c>
      <c r="AP4" s="162">
        <f>ROUNDUP(AN9*0.42/149,-1)</f>
        <v>2440</v>
      </c>
      <c r="AQ4" s="159" t="s">
        <v>212</v>
      </c>
    </row>
    <row r="5" spans="1:43" x14ac:dyDescent="0.2">
      <c r="A5" s="295"/>
      <c r="B5" s="295"/>
      <c r="C5" s="293" t="str">
        <f>E_3a</f>
        <v>Note: Accounting101 had 1 unit of inventory on hand at the beginning of the year.</v>
      </c>
      <c r="D5" s="293"/>
      <c r="E5" s="293"/>
      <c r="F5" s="293"/>
      <c r="G5" s="293"/>
      <c r="H5" s="293"/>
      <c r="I5" s="293"/>
      <c r="J5" s="293"/>
      <c r="K5" s="293"/>
      <c r="L5" s="293"/>
      <c r="AM5" s="148" t="str">
        <f>"Note: "&amp;Company&amp;" had 1 unit of inventory on hand at the beginning of the year."</f>
        <v>Note: Accounting101 had 1 unit of inventory on hand at the beginning of the year.</v>
      </c>
      <c r="AN5" s="163"/>
    </row>
    <row r="6" spans="1:43" x14ac:dyDescent="0.2">
      <c r="A6" s="294" t="s">
        <v>159</v>
      </c>
      <c r="B6" s="294" t="str">
        <f>E_4</f>
        <v>On Apr 15, Accounting101 sells all but 5 units of inventory at a price of $5,960 each. Half are sold on account, the rest for cash.</v>
      </c>
      <c r="C6" s="293"/>
      <c r="D6" s="293"/>
      <c r="E6" s="293"/>
      <c r="F6" s="293"/>
      <c r="G6" s="293"/>
      <c r="H6" s="293"/>
      <c r="I6" s="293"/>
      <c r="J6" s="293"/>
      <c r="K6" s="293"/>
      <c r="L6" s="293"/>
      <c r="AM6" s="148" t="str">
        <f>"On Apr 15, "&amp;Company&amp;" sells all but 5 units of inventory at a price of "&amp;DOLLAR(AQ9,0)&amp;" each. Half are sold on account, the rest for cash."</f>
        <v>On Apr 15, Accounting101 sells all but 5 units of inventory at a price of $5,960 each. Half are sold on account, the rest for cash.</v>
      </c>
      <c r="AN6" s="160">
        <f>'Beg TB'!AN9</f>
        <v>47680</v>
      </c>
      <c r="AO6" s="161" t="s">
        <v>192</v>
      </c>
    </row>
    <row r="7" spans="1:43" x14ac:dyDescent="0.2">
      <c r="A7" s="293" t="s">
        <v>160</v>
      </c>
      <c r="B7" s="293" t="str">
        <f>E_5</f>
        <v>On Apr 30, you record the 4 month's of rent used - this amount is shown in your prepaid rent beginning balance.</v>
      </c>
      <c r="C7" s="293"/>
      <c r="D7" s="293"/>
      <c r="E7" s="293"/>
      <c r="F7" s="293"/>
      <c r="G7" s="293"/>
      <c r="H7" s="293"/>
      <c r="I7" s="293"/>
      <c r="J7" s="293"/>
      <c r="K7" s="293"/>
      <c r="L7" s="293"/>
      <c r="AM7" s="148" t="s">
        <v>316</v>
      </c>
      <c r="AN7" s="160">
        <f>ROUND(AO7/12,0)</f>
        <v>12520</v>
      </c>
      <c r="AO7" s="160">
        <f>ROUND(12*('Beg TB'!AQ9+(MID(ID_2,6,1)+1)*100),0)</f>
        <v>150240</v>
      </c>
      <c r="AP7" s="164" t="s">
        <v>193</v>
      </c>
      <c r="AQ7" s="164"/>
    </row>
    <row r="8" spans="1:43" x14ac:dyDescent="0.2">
      <c r="A8" s="293" t="s">
        <v>41</v>
      </c>
      <c r="B8" s="293" t="str">
        <f>E_6</f>
        <v>On May 1, you pre-pay 12 months of rent. Your rent has increased $600 per month over your initial monthly payment of $11,920.</v>
      </c>
      <c r="C8" s="293"/>
      <c r="D8" s="293"/>
      <c r="E8" s="293"/>
      <c r="F8" s="293"/>
      <c r="G8" s="293"/>
      <c r="H8" s="293"/>
      <c r="I8" s="293"/>
      <c r="J8" s="293"/>
      <c r="K8" s="293"/>
      <c r="L8" s="293"/>
      <c r="AM8" s="148" t="str">
        <f>"On May 1, you pre-pay 12 months of rent. Your rent has increased "&amp;DOLLAR(AN7-'Beg TB'!AQ9,0)&amp;" per month over your initial monthly payment of $"&amp;TEXT(NewRent,"##,###")&amp;"."</f>
        <v>On May 1, you pre-pay 12 months of rent. Your rent has increased $600 per month over your initial monthly payment of $11,920.</v>
      </c>
      <c r="AN8" s="165" t="s">
        <v>209</v>
      </c>
      <c r="AO8" s="165" t="s">
        <v>27</v>
      </c>
      <c r="AP8" s="166" t="s">
        <v>26</v>
      </c>
      <c r="AQ8" s="167" t="s">
        <v>213</v>
      </c>
    </row>
    <row r="9" spans="1:43" x14ac:dyDescent="0.2">
      <c r="A9" s="293" t="s">
        <v>161</v>
      </c>
      <c r="B9" s="293" t="str">
        <f>E_7</f>
        <v>On Dec 1, you collect $302,470 from customers related to previous sales.</v>
      </c>
      <c r="C9" s="293"/>
      <c r="D9" s="293"/>
      <c r="E9" s="293"/>
      <c r="F9" s="293"/>
      <c r="G9" s="293"/>
      <c r="H9" s="293"/>
      <c r="I9" s="293"/>
      <c r="J9" s="293"/>
      <c r="K9" s="293"/>
      <c r="L9" s="293"/>
      <c r="AM9" s="168" t="str">
        <f>"On Dec 1, you collect "&amp;DOLLAR(AN10,0)&amp;" from customers related to previous sales."</f>
        <v>On Dec 1, you collect $302,470 from customers related to previous sales.</v>
      </c>
      <c r="AN9" s="160">
        <f>ROUND(AQ9*145,0)</f>
        <v>864200</v>
      </c>
      <c r="AO9" s="160">
        <f>ROUND(AN9*0.5,0)</f>
        <v>432100</v>
      </c>
      <c r="AP9" s="160">
        <f>ROUND(145*AP4,0)</f>
        <v>353800</v>
      </c>
      <c r="AQ9" s="160">
        <f>ROUNDUP(ABS((MID(ID_2,4,5)+8))/10+1000,-1)</f>
        <v>5960</v>
      </c>
    </row>
    <row r="10" spans="1:43" x14ac:dyDescent="0.2">
      <c r="A10" s="293" t="s">
        <v>42</v>
      </c>
      <c r="B10" s="293" t="str">
        <f>E_8</f>
        <v>On Dec 31, you declare and pay dividends equal to 40% of the outstanding common stock value.</v>
      </c>
      <c r="C10" s="293"/>
      <c r="D10" s="293"/>
      <c r="E10" s="293"/>
      <c r="F10" s="293"/>
      <c r="G10" s="293"/>
      <c r="H10" s="293"/>
      <c r="I10" s="293"/>
      <c r="J10" s="293"/>
      <c r="K10" s="293"/>
      <c r="L10" s="293"/>
      <c r="AM10" s="148" t="s">
        <v>204</v>
      </c>
      <c r="AN10" s="160">
        <f>ROUND(AN9/4+0.1*AN9,0)</f>
        <v>302470</v>
      </c>
      <c r="AO10" s="161" t="s">
        <v>92</v>
      </c>
    </row>
    <row r="11" spans="1:43" ht="10" customHeight="1" x14ac:dyDescent="0.2">
      <c r="AN11" s="160"/>
    </row>
    <row r="12" spans="1:43" x14ac:dyDescent="0.2">
      <c r="B12" s="11" t="str">
        <f ca="1">E_Adj</f>
        <v>Accounting101's adjusting entries at December 31, 2021:</v>
      </c>
      <c r="AM12" s="157" t="str">
        <f ca="1">Company&amp;"'s adjusting entries at December 31, "&amp;Data!D3&amp;":"</f>
        <v>Accounting101's adjusting entries at December 31, 2021:</v>
      </c>
      <c r="AN12" s="160">
        <f>ROUND(0.4*'Beg TB'!AO15,0)</f>
        <v>177200</v>
      </c>
      <c r="AO12" s="161" t="s">
        <v>95</v>
      </c>
    </row>
    <row r="13" spans="1:43" x14ac:dyDescent="0.2">
      <c r="A13" t="s">
        <v>162</v>
      </c>
      <c r="B13" t="str">
        <f>E_A1</f>
        <v>A count of supplies shows you have $2,530 supplies on hand at the end of the year.</v>
      </c>
      <c r="AM13" s="148" t="str">
        <f>"A count of supplies shows you have "&amp;DOLLAR(AN14,0)&amp;" supplies on hand at the end of the year."</f>
        <v>A count of supplies shows you have $2,530 supplies on hand at the end of the year.</v>
      </c>
      <c r="AN13" s="165"/>
      <c r="AO13" s="165"/>
      <c r="AP13" s="169">
        <f>'Beg TB'!AN8</f>
        <v>7140</v>
      </c>
      <c r="AQ13" s="159" t="s">
        <v>207</v>
      </c>
    </row>
    <row r="14" spans="1:43" x14ac:dyDescent="0.2">
      <c r="A14" s="293" t="s">
        <v>163</v>
      </c>
      <c r="B14" s="293" t="str">
        <f>E_A2</f>
        <v>Perform an adjusting entry to account for any additional rent from May until year end.</v>
      </c>
      <c r="C14" s="293"/>
      <c r="D14" s="293"/>
      <c r="E14" s="293"/>
      <c r="F14" s="293"/>
      <c r="G14" s="293"/>
      <c r="H14" s="293"/>
      <c r="I14" s="293"/>
      <c r="J14" s="293"/>
      <c r="K14" s="293"/>
      <c r="L14" s="293"/>
      <c r="AM14" s="148" t="s">
        <v>220</v>
      </c>
      <c r="AN14" s="160">
        <f>ROUND(MID(ID_2,6,2)*10+2000,0)</f>
        <v>2530</v>
      </c>
      <c r="AO14" s="161" t="s">
        <v>205</v>
      </c>
      <c r="AP14" s="169">
        <f>ROUND(AP13+AN3-AN14,0)</f>
        <v>12530</v>
      </c>
      <c r="AQ14" s="164" t="s">
        <v>206</v>
      </c>
    </row>
    <row r="15" spans="1:43" x14ac:dyDescent="0.2">
      <c r="A15" s="293" t="s">
        <v>164</v>
      </c>
      <c r="B15" s="293" t="str">
        <f>E_A3</f>
        <v>Record depreciation on equipment, based on the original value. The expected life is 10 years, with no salvage value.</v>
      </c>
      <c r="C15" s="293"/>
      <c r="D15" s="293"/>
      <c r="E15" s="293"/>
      <c r="F15" s="293"/>
      <c r="G15" s="293"/>
      <c r="H15" s="293"/>
      <c r="I15" s="293"/>
      <c r="J15" s="293"/>
      <c r="K15" s="293"/>
      <c r="L15" s="293"/>
      <c r="AM15" s="148" t="s">
        <v>47</v>
      </c>
      <c r="AN15" s="160">
        <f>ROUND(AN7*8,0)</f>
        <v>100160</v>
      </c>
      <c r="AO15" s="161" t="s">
        <v>208</v>
      </c>
    </row>
    <row r="16" spans="1:43" x14ac:dyDescent="0.2">
      <c r="A16" s="293" t="s">
        <v>196</v>
      </c>
      <c r="B16" s="293" t="str">
        <f>E_A4</f>
        <v>Record tax expense of $30,799, to be paid next April.</v>
      </c>
      <c r="C16" s="293"/>
      <c r="D16" s="293"/>
      <c r="E16" s="293"/>
      <c r="F16" s="293"/>
      <c r="G16" s="293"/>
      <c r="H16" s="293"/>
      <c r="I16" s="293"/>
      <c r="J16" s="293"/>
      <c r="K16" s="293"/>
      <c r="L16" s="293"/>
      <c r="AM16" s="148" t="str">
        <f>"Record tax expense of "&amp;DOLLAR(AN17,0)&amp;", to be paid next April."</f>
        <v>Record tax expense of $30,799, to be paid next April.</v>
      </c>
      <c r="AN16" s="160">
        <f>ROUND('Beg TB'!AN11/10,0)</f>
        <v>43230</v>
      </c>
      <c r="AO16" s="161" t="s">
        <v>101</v>
      </c>
    </row>
    <row r="17" spans="1:41" x14ac:dyDescent="0.2">
      <c r="A17" s="81" t="s">
        <v>48</v>
      </c>
      <c r="B17" t="s">
        <v>46</v>
      </c>
      <c r="AN17" s="160">
        <f>ROUND(ROUNDUP(IS!AP24*0.1,-1)+MID(ID_2,1,3),0)</f>
        <v>30799</v>
      </c>
      <c r="AO17" s="161" t="s">
        <v>195</v>
      </c>
    </row>
    <row r="18" spans="1:41" ht="10" customHeight="1" x14ac:dyDescent="0.2"/>
    <row r="19" spans="1:41" x14ac:dyDescent="0.2">
      <c r="B19" s="11" t="str">
        <f>E_Close</f>
        <v>Once the financial statements are prepared, perform closing entries.</v>
      </c>
      <c r="AM19" s="157" t="s">
        <v>81</v>
      </c>
    </row>
    <row r="20" spans="1:41" x14ac:dyDescent="0.2">
      <c r="A20" t="s">
        <v>165</v>
      </c>
      <c r="B20" t="str">
        <f>E_C1</f>
        <v>Close all revenue accounts to retained earnings.</v>
      </c>
      <c r="AM20" s="148" t="s">
        <v>43</v>
      </c>
    </row>
    <row r="21" spans="1:41" x14ac:dyDescent="0.2">
      <c r="A21" s="293" t="s">
        <v>166</v>
      </c>
      <c r="B21" s="293" t="str">
        <f>E_C2</f>
        <v>Close all expense accounts to retained earnings.</v>
      </c>
      <c r="C21" s="293"/>
      <c r="D21" s="293"/>
      <c r="E21" s="293"/>
      <c r="F21" s="293"/>
      <c r="G21" s="293"/>
      <c r="H21" s="293"/>
      <c r="I21" s="293"/>
      <c r="J21" s="293"/>
      <c r="K21" s="293"/>
      <c r="L21" s="293"/>
      <c r="AM21" s="148" t="s">
        <v>44</v>
      </c>
    </row>
    <row r="22" spans="1:41" x14ac:dyDescent="0.2">
      <c r="A22" t="s">
        <v>167</v>
      </c>
      <c r="B22" t="str">
        <f>E_C3</f>
        <v>Close all dividend accounts to retained earnings.</v>
      </c>
      <c r="AM22" s="148" t="s">
        <v>45</v>
      </c>
    </row>
  </sheetData>
  <sheetProtection algorithmName="SHA-512" hashValue="A3QJFH8PtEfHM4Bd5zBTQ0zi2TX42k1ecAc/vX0pZtN9Hw+eSE/Z8O+lTiF6/riDoLofbfOB+SzaowwZE+ZM4Q==" saltValue="4iGwwd9t0Wa/taueXRrtSg==" spinCount="100000" sheet="1" formatCells="0" formatColumns="0" formatRows="0" selectLockedCells="1"/>
  <pageMargins left="0.7" right="0.7" top="0.75" bottom="0.75" header="0.3" footer="0.3"/>
  <pageSetup orientation="landscape"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1BA8-0DF2-472F-A2E2-13C854AA40EF}">
  <sheetPr codeName="Sheet5">
    <tabColor rgb="FF00B050"/>
  </sheetPr>
  <dimension ref="A1:AW419"/>
  <sheetViews>
    <sheetView topLeftCell="A13" zoomScaleNormal="100" workbookViewId="0">
      <selection activeCell="C50" sqref="C50"/>
    </sheetView>
  </sheetViews>
  <sheetFormatPr baseColWidth="10" defaultColWidth="8.83203125" defaultRowHeight="16" x14ac:dyDescent="0.2"/>
  <cols>
    <col min="1" max="1" width="6.5" style="20" customWidth="1"/>
    <col min="2" max="2" width="8.6640625" style="119"/>
    <col min="3" max="3" width="38.6640625" style="7" customWidth="1"/>
    <col min="4" max="5" width="13" style="8" customWidth="1"/>
    <col min="6" max="6" width="3.6640625" customWidth="1"/>
    <col min="7" max="38" width="7" customWidth="1"/>
    <col min="39" max="39" width="12.83203125" style="148" hidden="1" customWidth="1"/>
    <col min="40" max="40" width="12" style="148" hidden="1" customWidth="1"/>
    <col min="41" max="41" width="9.1640625" style="148" hidden="1" customWidth="1"/>
    <col min="42" max="42" width="16.1640625" style="148" hidden="1" customWidth="1"/>
    <col min="43" max="46" width="8.6640625" style="148" hidden="1" customWidth="1"/>
    <col min="47" max="47" width="0" style="181" hidden="1" customWidth="1"/>
    <col min="48" max="49" width="0" style="178" hidden="1" customWidth="1"/>
    <col min="50" max="64" width="0" hidden="1" customWidth="1"/>
  </cols>
  <sheetData>
    <row r="1" spans="1:43" x14ac:dyDescent="0.2">
      <c r="A1" s="55" t="s">
        <v>93</v>
      </c>
      <c r="B1" s="120"/>
      <c r="C1" s="121"/>
      <c r="D1" s="122"/>
      <c r="E1" s="122"/>
      <c r="AM1" s="157" t="s">
        <v>106</v>
      </c>
      <c r="AN1" s="157" t="s">
        <v>131</v>
      </c>
      <c r="AO1" s="157" t="s">
        <v>229</v>
      </c>
      <c r="AP1" s="150" t="s">
        <v>235</v>
      </c>
      <c r="AQ1" s="149" t="s">
        <v>22</v>
      </c>
    </row>
    <row r="2" spans="1:43" ht="20" customHeight="1" x14ac:dyDescent="0.2">
      <c r="A2" s="56" t="s">
        <v>157</v>
      </c>
      <c r="B2" s="120"/>
      <c r="C2" s="121"/>
      <c r="D2" s="122"/>
      <c r="E2" s="122"/>
      <c r="AM2" s="170">
        <f>SUM(AO7:AP7)</f>
        <v>100</v>
      </c>
      <c r="AN2" s="171">
        <f>'Steps &amp; Rubric'!B13/100</f>
        <v>0.02</v>
      </c>
      <c r="AO2" s="175">
        <f>AN2*AM2</f>
        <v>2</v>
      </c>
      <c r="AP2" s="149">
        <f>AN2*100</f>
        <v>2</v>
      </c>
      <c r="AQ2" s="149" t="str">
        <f>"1) "&amp;AQ7</f>
        <v>1) Journal Entries are in balance!</v>
      </c>
    </row>
    <row r="3" spans="1:43" ht="21.5" customHeight="1" x14ac:dyDescent="0.2">
      <c r="A3" s="56" t="s">
        <v>319</v>
      </c>
      <c r="B3" s="120"/>
      <c r="C3" s="121"/>
      <c r="D3" s="122"/>
      <c r="E3" s="122"/>
    </row>
    <row r="4" spans="1:43" ht="46.5" customHeight="1" x14ac:dyDescent="0.2">
      <c r="A4"/>
      <c r="B4" s="117"/>
      <c r="D4" s="330" t="s">
        <v>158</v>
      </c>
      <c r="E4" s="330"/>
      <c r="AM4" s="157" t="s">
        <v>136</v>
      </c>
      <c r="AN4" s="172">
        <v>10</v>
      </c>
    </row>
    <row r="5" spans="1:43" ht="17" x14ac:dyDescent="0.2">
      <c r="A5"/>
      <c r="B5" s="117"/>
      <c r="C5" s="100" t="str">
        <f>IF(D5&lt;&gt;E5,"Not In Balance!","Balanced")</f>
        <v>Balanced</v>
      </c>
      <c r="D5" s="99">
        <f>SUM(D7:D84)</f>
        <v>4087048</v>
      </c>
      <c r="E5" s="99">
        <f>SUM(E7:E84)</f>
        <v>4087048</v>
      </c>
      <c r="AO5" s="148">
        <v>50</v>
      </c>
      <c r="AP5" s="148">
        <v>50</v>
      </c>
    </row>
    <row r="6" spans="1:43" ht="17" x14ac:dyDescent="0.2">
      <c r="A6" s="27" t="s">
        <v>37</v>
      </c>
      <c r="B6" s="145" t="s">
        <v>74</v>
      </c>
      <c r="C6" s="146" t="s">
        <v>216</v>
      </c>
      <c r="D6" s="147" t="s">
        <v>65</v>
      </c>
      <c r="E6" s="147" t="s">
        <v>66</v>
      </c>
      <c r="AM6" s="149" t="s">
        <v>89</v>
      </c>
      <c r="AN6" s="149" t="s">
        <v>90</v>
      </c>
      <c r="AO6" s="172" t="s">
        <v>109</v>
      </c>
      <c r="AP6" s="173" t="s">
        <v>221</v>
      </c>
    </row>
    <row r="7" spans="1:43" ht="17" x14ac:dyDescent="0.2">
      <c r="A7" s="140" t="s">
        <v>75</v>
      </c>
      <c r="B7" s="141">
        <v>43861</v>
      </c>
      <c r="C7" s="142" t="s">
        <v>236</v>
      </c>
      <c r="D7" s="143" t="s">
        <v>76</v>
      </c>
      <c r="E7" s="143"/>
      <c r="AM7" s="174">
        <f>SUM(D:D)/2</f>
        <v>4087048</v>
      </c>
      <c r="AN7" s="174">
        <f>SUM(E:E)/2</f>
        <v>4087048</v>
      </c>
      <c r="AO7" s="175">
        <f>IF(AND(ABS(AM7)-ABS(AN7)&lt;=AN4,ABS(AM7)-ABS(AN7)&gt;=-AN4,AP7&lt;&gt;0),AO5,0)</f>
        <v>50</v>
      </c>
      <c r="AP7" s="149">
        <f>IF(ABS(SUM(D10:E32))+ABS(SUM(D10:D29))=0,0,AP5)</f>
        <v>50</v>
      </c>
      <c r="AQ7" s="148" t="str">
        <f>IF(AND(AO7&lt;&gt;0,AP7&lt;&gt;0),"Journal Entries are in balance!",IF(AND(AO7=0,AP7=0),"Journal Entries were not attempted.","Journal entries are not in balance."))</f>
        <v>Journal Entries are in balance!</v>
      </c>
    </row>
    <row r="8" spans="1:43" ht="17" x14ac:dyDescent="0.2">
      <c r="A8" s="140"/>
      <c r="B8" s="144"/>
      <c r="C8" s="142" t="s">
        <v>237</v>
      </c>
      <c r="D8" s="143"/>
      <c r="E8" s="143" t="s">
        <v>76</v>
      </c>
    </row>
    <row r="9" spans="1:43" ht="17" x14ac:dyDescent="0.2">
      <c r="A9" s="78" t="s">
        <v>38</v>
      </c>
      <c r="B9" s="118">
        <v>44197</v>
      </c>
      <c r="C9" s="76" t="s">
        <v>9</v>
      </c>
      <c r="D9" s="77">
        <v>3660</v>
      </c>
      <c r="E9" s="77"/>
    </row>
    <row r="10" spans="1:43" ht="17" x14ac:dyDescent="0.2">
      <c r="A10" s="78"/>
      <c r="B10" s="118"/>
      <c r="C10" s="76" t="s">
        <v>3</v>
      </c>
      <c r="D10" s="77"/>
      <c r="E10" s="77">
        <v>3660</v>
      </c>
    </row>
    <row r="11" spans="1:43" ht="17" x14ac:dyDescent="0.2">
      <c r="A11" s="78" t="s">
        <v>39</v>
      </c>
      <c r="B11" s="118">
        <v>44211</v>
      </c>
      <c r="C11" s="76" t="s">
        <v>5</v>
      </c>
      <c r="D11" s="77">
        <v>7920</v>
      </c>
      <c r="E11" s="77"/>
    </row>
    <row r="12" spans="1:43" ht="17" x14ac:dyDescent="0.2">
      <c r="A12" s="78"/>
      <c r="B12" s="118"/>
      <c r="C12" s="76" t="s">
        <v>9</v>
      </c>
      <c r="D12" s="77"/>
      <c r="E12" s="77">
        <v>7920</v>
      </c>
    </row>
    <row r="13" spans="1:43" ht="17" x14ac:dyDescent="0.2">
      <c r="A13" s="78" t="s">
        <v>40</v>
      </c>
      <c r="B13" s="118">
        <v>44242</v>
      </c>
      <c r="C13" s="76" t="s">
        <v>18</v>
      </c>
      <c r="D13" s="77">
        <f>149*2440</f>
        <v>363560</v>
      </c>
      <c r="E13" s="77"/>
    </row>
    <row r="14" spans="1:43" ht="17" x14ac:dyDescent="0.2">
      <c r="A14" s="78"/>
      <c r="B14" s="118"/>
      <c r="C14" s="76" t="s">
        <v>9</v>
      </c>
      <c r="D14" s="77"/>
      <c r="E14" s="77">
        <f>D13/2</f>
        <v>181780</v>
      </c>
    </row>
    <row r="15" spans="1:43" ht="17" x14ac:dyDescent="0.2">
      <c r="A15" s="78"/>
      <c r="B15" s="118"/>
      <c r="C15" s="76" t="s">
        <v>3</v>
      </c>
      <c r="D15" s="77"/>
      <c r="E15" s="77">
        <f>D13/2</f>
        <v>181780</v>
      </c>
    </row>
    <row r="16" spans="1:43" ht="17" x14ac:dyDescent="0.2">
      <c r="A16" s="78" t="s">
        <v>159</v>
      </c>
      <c r="B16" s="118">
        <v>44301</v>
      </c>
      <c r="C16" s="76" t="s">
        <v>32</v>
      </c>
      <c r="D16" s="77">
        <f>145*2440</f>
        <v>353800</v>
      </c>
      <c r="E16" s="77"/>
    </row>
    <row r="17" spans="1:5" ht="17" x14ac:dyDescent="0.2">
      <c r="A17" s="78"/>
      <c r="B17" s="118"/>
      <c r="C17" s="76" t="s">
        <v>18</v>
      </c>
      <c r="D17" s="77"/>
      <c r="E17" s="77">
        <f>145*2440</f>
        <v>353800</v>
      </c>
    </row>
    <row r="18" spans="1:5" ht="17" x14ac:dyDescent="0.2">
      <c r="A18" s="78"/>
      <c r="B18" s="118"/>
      <c r="C18" s="76" t="s">
        <v>4</v>
      </c>
      <c r="D18" s="77">
        <f>E20/2</f>
        <v>432100</v>
      </c>
      <c r="E18" s="77"/>
    </row>
    <row r="19" spans="1:5" ht="17" x14ac:dyDescent="0.2">
      <c r="A19" s="78"/>
      <c r="B19" s="118"/>
      <c r="C19" s="76" t="s">
        <v>3</v>
      </c>
      <c r="D19" s="77">
        <f>E20/2</f>
        <v>432100</v>
      </c>
      <c r="E19" s="77"/>
    </row>
    <row r="20" spans="1:5" ht="17" x14ac:dyDescent="0.2">
      <c r="A20" s="78"/>
      <c r="B20" s="118"/>
      <c r="C20" s="76" t="s">
        <v>31</v>
      </c>
      <c r="D20" s="77"/>
      <c r="E20" s="77">
        <f>145*5960</f>
        <v>864200</v>
      </c>
    </row>
    <row r="21" spans="1:5" ht="17" x14ac:dyDescent="0.2">
      <c r="A21" s="78" t="s">
        <v>160</v>
      </c>
      <c r="B21" s="118">
        <v>44316</v>
      </c>
      <c r="C21" s="76" t="s">
        <v>12</v>
      </c>
      <c r="D21" s="77">
        <f>4*'Beg TB'!E9</f>
        <v>47680</v>
      </c>
      <c r="E21" s="77"/>
    </row>
    <row r="22" spans="1:5" ht="17" x14ac:dyDescent="0.2">
      <c r="A22" s="78"/>
      <c r="B22" s="118"/>
      <c r="C22" s="76" t="s">
        <v>6</v>
      </c>
      <c r="D22" s="77"/>
      <c r="E22" s="77">
        <f>4*'Beg TB'!E9</f>
        <v>47680</v>
      </c>
    </row>
    <row r="23" spans="1:5" ht="17" x14ac:dyDescent="0.2">
      <c r="A23" s="78" t="s">
        <v>41</v>
      </c>
      <c r="B23" s="118">
        <v>44317</v>
      </c>
      <c r="C23" s="76" t="s">
        <v>6</v>
      </c>
      <c r="D23" s="77">
        <f>12*('Beg TB'!E9+600)</f>
        <v>150240</v>
      </c>
      <c r="E23" s="77"/>
    </row>
    <row r="24" spans="1:5" ht="17" x14ac:dyDescent="0.2">
      <c r="A24" s="78"/>
      <c r="B24" s="118"/>
      <c r="C24" s="76" t="s">
        <v>3</v>
      </c>
      <c r="D24" s="77"/>
      <c r="E24" s="77">
        <f>12*(600+'Beg TB'!E9)</f>
        <v>150240</v>
      </c>
    </row>
    <row r="25" spans="1:5" ht="17" x14ac:dyDescent="0.2">
      <c r="A25" s="78" t="s">
        <v>161</v>
      </c>
      <c r="B25" s="118">
        <v>44531</v>
      </c>
      <c r="C25" s="76" t="s">
        <v>3</v>
      </c>
      <c r="D25" s="77">
        <v>302470</v>
      </c>
      <c r="E25" s="77"/>
    </row>
    <row r="26" spans="1:5" ht="17" x14ac:dyDescent="0.2">
      <c r="A26" s="78"/>
      <c r="B26" s="118"/>
      <c r="C26" s="76" t="s">
        <v>4</v>
      </c>
      <c r="D26" s="77"/>
      <c r="E26" s="77">
        <v>302470</v>
      </c>
    </row>
    <row r="27" spans="1:5" ht="17" x14ac:dyDescent="0.2">
      <c r="A27" s="78" t="s">
        <v>42</v>
      </c>
      <c r="B27" s="118">
        <v>44561</v>
      </c>
      <c r="C27" s="76" t="s">
        <v>95</v>
      </c>
      <c r="D27" s="77">
        <f>0.4*'Beg TB'!C15</f>
        <v>177200</v>
      </c>
      <c r="E27" s="77"/>
    </row>
    <row r="28" spans="1:5" ht="17" x14ac:dyDescent="0.2">
      <c r="A28" s="78"/>
      <c r="B28" s="118"/>
      <c r="C28" s="76" t="s">
        <v>3</v>
      </c>
      <c r="D28" s="77"/>
      <c r="E28" s="77">
        <f>0.4*'Beg TB'!C15</f>
        <v>177200</v>
      </c>
    </row>
    <row r="29" spans="1:5" ht="17" x14ac:dyDescent="0.2">
      <c r="A29" s="78" t="s">
        <v>162</v>
      </c>
      <c r="B29" s="118">
        <v>44561</v>
      </c>
      <c r="C29" s="76" t="s">
        <v>33</v>
      </c>
      <c r="D29" s="77">
        <f>'Scratch Paper'!B6</f>
        <v>12530</v>
      </c>
      <c r="E29" s="77"/>
    </row>
    <row r="30" spans="1:5" ht="17" x14ac:dyDescent="0.2">
      <c r="A30" s="78"/>
      <c r="B30" s="118"/>
      <c r="C30" s="76" t="s">
        <v>5</v>
      </c>
      <c r="D30" s="77"/>
      <c r="E30" s="77">
        <f>D29</f>
        <v>12530</v>
      </c>
    </row>
    <row r="31" spans="1:5" ht="17" x14ac:dyDescent="0.2">
      <c r="A31" s="78" t="s">
        <v>163</v>
      </c>
      <c r="B31" s="118">
        <v>44561</v>
      </c>
      <c r="C31" s="76" t="s">
        <v>12</v>
      </c>
      <c r="D31" s="77">
        <f>8*(600+'Beg TB'!E9)</f>
        <v>100160</v>
      </c>
      <c r="E31" s="77"/>
    </row>
    <row r="32" spans="1:5" ht="17" x14ac:dyDescent="0.2">
      <c r="A32" s="78"/>
      <c r="B32" s="118"/>
      <c r="C32" s="76" t="s">
        <v>6</v>
      </c>
      <c r="D32" s="77"/>
      <c r="E32" s="77">
        <f>8*(600+'Beg TB'!E9)</f>
        <v>100160</v>
      </c>
    </row>
    <row r="33" spans="1:5" ht="17" x14ac:dyDescent="0.2">
      <c r="A33" s="78" t="s">
        <v>164</v>
      </c>
      <c r="B33" s="118">
        <v>44561</v>
      </c>
      <c r="C33" s="76" t="s">
        <v>13</v>
      </c>
      <c r="D33" s="77">
        <f>'Scratch Paper'!B12</f>
        <v>43230</v>
      </c>
      <c r="E33" s="77"/>
    </row>
    <row r="34" spans="1:5" ht="17" x14ac:dyDescent="0.2">
      <c r="A34" s="78"/>
      <c r="B34" s="118"/>
      <c r="C34" s="76" t="s">
        <v>8</v>
      </c>
      <c r="D34" s="77"/>
      <c r="E34" s="77">
        <f>'Scratch Paper'!B12</f>
        <v>43230</v>
      </c>
    </row>
    <row r="35" spans="1:5" ht="17" x14ac:dyDescent="0.2">
      <c r="A35" s="78" t="s">
        <v>196</v>
      </c>
      <c r="B35" s="118">
        <v>44561</v>
      </c>
      <c r="C35" s="76" t="s">
        <v>200</v>
      </c>
      <c r="D35" s="77">
        <v>30799</v>
      </c>
      <c r="E35" s="77"/>
    </row>
    <row r="36" spans="1:5" ht="17" x14ac:dyDescent="0.2">
      <c r="A36" s="78"/>
      <c r="B36" s="118"/>
      <c r="C36" s="76" t="s">
        <v>80</v>
      </c>
      <c r="D36" s="77"/>
      <c r="E36" s="77">
        <v>30799</v>
      </c>
    </row>
    <row r="37" spans="1:5" ht="17" x14ac:dyDescent="0.2">
      <c r="A37" s="78" t="s">
        <v>165</v>
      </c>
      <c r="B37" s="118">
        <v>44561</v>
      </c>
      <c r="C37" s="76" t="s">
        <v>31</v>
      </c>
      <c r="D37" s="77">
        <f>Ledger!C98</f>
        <v>864200</v>
      </c>
      <c r="E37" s="77"/>
    </row>
    <row r="38" spans="1:5" ht="17" x14ac:dyDescent="0.2">
      <c r="A38" s="78"/>
      <c r="B38" s="118"/>
      <c r="C38" s="76" t="s">
        <v>11</v>
      </c>
      <c r="D38" s="77"/>
      <c r="E38" s="77">
        <f>D37</f>
        <v>864200</v>
      </c>
    </row>
    <row r="39" spans="1:5" ht="17" x14ac:dyDescent="0.2">
      <c r="A39" s="78" t="s">
        <v>166</v>
      </c>
      <c r="B39" s="118">
        <v>44561</v>
      </c>
      <c r="C39" s="76" t="s">
        <v>11</v>
      </c>
      <c r="D39" s="77">
        <f>E40</f>
        <v>353800</v>
      </c>
      <c r="E39" s="77"/>
    </row>
    <row r="40" spans="1:5" ht="17" x14ac:dyDescent="0.2">
      <c r="A40" s="78"/>
      <c r="B40" s="118"/>
      <c r="C40" s="76" t="s">
        <v>32</v>
      </c>
      <c r="D40" s="77"/>
      <c r="E40" s="77">
        <f>Ledger!B106</f>
        <v>353800</v>
      </c>
    </row>
    <row r="41" spans="1:5" ht="17" x14ac:dyDescent="0.2">
      <c r="A41" s="78" t="s">
        <v>166</v>
      </c>
      <c r="B41" s="118">
        <v>44561</v>
      </c>
      <c r="C41" s="76" t="s">
        <v>11</v>
      </c>
      <c r="D41" s="77">
        <f>E42</f>
        <v>12530</v>
      </c>
      <c r="E41" s="77"/>
    </row>
    <row r="42" spans="1:5" ht="17" x14ac:dyDescent="0.2">
      <c r="A42" s="78"/>
      <c r="B42" s="118"/>
      <c r="C42" s="76" t="s">
        <v>33</v>
      </c>
      <c r="D42" s="77"/>
      <c r="E42" s="77">
        <f>Ledger!B116</f>
        <v>12530</v>
      </c>
    </row>
    <row r="43" spans="1:5" ht="17" x14ac:dyDescent="0.2">
      <c r="A43" s="78" t="s">
        <v>166</v>
      </c>
      <c r="B43" s="118">
        <v>44561</v>
      </c>
      <c r="C43" s="76" t="s">
        <v>11</v>
      </c>
      <c r="D43" s="77">
        <f>E44</f>
        <v>147840</v>
      </c>
      <c r="E43" s="77"/>
    </row>
    <row r="44" spans="1:5" ht="17" x14ac:dyDescent="0.2">
      <c r="A44" s="78"/>
      <c r="B44" s="118"/>
      <c r="C44" s="76" t="s">
        <v>12</v>
      </c>
      <c r="D44" s="77"/>
      <c r="E44" s="77">
        <f>Ledger!B126</f>
        <v>147840</v>
      </c>
    </row>
    <row r="45" spans="1:5" ht="17" x14ac:dyDescent="0.2">
      <c r="A45" s="78" t="s">
        <v>166</v>
      </c>
      <c r="B45" s="118">
        <v>44561</v>
      </c>
      <c r="C45" s="76" t="s">
        <v>11</v>
      </c>
      <c r="D45" s="77">
        <f>E46</f>
        <v>43230</v>
      </c>
      <c r="E45" s="77"/>
    </row>
    <row r="46" spans="1:5" ht="17" x14ac:dyDescent="0.2">
      <c r="A46" s="78"/>
      <c r="B46" s="118"/>
      <c r="C46" s="76" t="s">
        <v>13</v>
      </c>
      <c r="D46" s="77"/>
      <c r="E46" s="77">
        <f>Ledger!B136</f>
        <v>43230</v>
      </c>
    </row>
    <row r="47" spans="1:5" ht="17" x14ac:dyDescent="0.2">
      <c r="A47" s="78" t="s">
        <v>166</v>
      </c>
      <c r="B47" s="118">
        <v>44561</v>
      </c>
      <c r="C47" s="76" t="s">
        <v>11</v>
      </c>
      <c r="D47" s="77">
        <f>E48</f>
        <v>30799</v>
      </c>
      <c r="E47" s="77"/>
    </row>
    <row r="48" spans="1:5" ht="17" x14ac:dyDescent="0.2">
      <c r="A48" s="78"/>
      <c r="B48" s="118"/>
      <c r="C48" s="76" t="s">
        <v>200</v>
      </c>
      <c r="D48" s="77"/>
      <c r="E48" s="77">
        <f>Ledger!B146</f>
        <v>30799</v>
      </c>
    </row>
    <row r="49" spans="1:5" ht="17" x14ac:dyDescent="0.2">
      <c r="A49" s="78" t="s">
        <v>167</v>
      </c>
      <c r="B49" s="118">
        <v>44561</v>
      </c>
      <c r="C49" s="76" t="s">
        <v>11</v>
      </c>
      <c r="D49" s="77">
        <f>E50</f>
        <v>177200</v>
      </c>
      <c r="E49" s="77"/>
    </row>
    <row r="50" spans="1:5" ht="17" x14ac:dyDescent="0.2">
      <c r="A50" s="78"/>
      <c r="B50" s="118"/>
      <c r="C50" s="76" t="s">
        <v>95</v>
      </c>
      <c r="D50" s="77"/>
      <c r="E50" s="77">
        <f>Ledger!B154</f>
        <v>177200</v>
      </c>
    </row>
    <row r="51" spans="1:5" x14ac:dyDescent="0.2">
      <c r="A51" s="78"/>
      <c r="B51" s="118"/>
      <c r="C51" s="76"/>
      <c r="D51" s="77"/>
      <c r="E51" s="77"/>
    </row>
    <row r="52" spans="1:5" x14ac:dyDescent="0.2">
      <c r="A52" s="78"/>
      <c r="B52" s="118"/>
      <c r="C52" s="76"/>
      <c r="D52" s="77"/>
      <c r="E52" s="77"/>
    </row>
    <row r="53" spans="1:5" x14ac:dyDescent="0.2">
      <c r="A53" s="78"/>
      <c r="B53" s="118"/>
      <c r="C53" s="76"/>
      <c r="D53" s="77"/>
      <c r="E53" s="77"/>
    </row>
    <row r="54" spans="1:5" x14ac:dyDescent="0.2">
      <c r="A54" s="78"/>
      <c r="B54" s="118"/>
      <c r="C54" s="76"/>
      <c r="D54" s="77"/>
      <c r="E54" s="77"/>
    </row>
    <row r="55" spans="1:5" x14ac:dyDescent="0.2">
      <c r="A55" s="78"/>
      <c r="B55" s="118"/>
      <c r="C55" s="76"/>
      <c r="D55" s="77"/>
      <c r="E55" s="77"/>
    </row>
    <row r="56" spans="1:5" x14ac:dyDescent="0.2">
      <c r="A56" s="78"/>
      <c r="B56" s="118"/>
      <c r="C56" s="76"/>
      <c r="D56" s="77"/>
      <c r="E56" s="77"/>
    </row>
    <row r="57" spans="1:5" x14ac:dyDescent="0.2">
      <c r="A57" s="78"/>
      <c r="B57" s="118"/>
      <c r="C57" s="76"/>
      <c r="D57" s="77"/>
      <c r="E57" s="77"/>
    </row>
    <row r="58" spans="1:5" x14ac:dyDescent="0.2">
      <c r="A58" s="78"/>
      <c r="B58" s="118"/>
      <c r="C58" s="76"/>
      <c r="D58" s="77"/>
      <c r="E58" s="77"/>
    </row>
    <row r="59" spans="1:5" x14ac:dyDescent="0.2">
      <c r="A59" s="78"/>
      <c r="B59" s="118"/>
      <c r="C59" s="76"/>
      <c r="D59" s="77"/>
      <c r="E59" s="77"/>
    </row>
    <row r="60" spans="1:5" x14ac:dyDescent="0.2">
      <c r="A60" s="78"/>
      <c r="B60" s="118"/>
      <c r="C60" s="76"/>
      <c r="D60" s="77"/>
      <c r="E60" s="77"/>
    </row>
    <row r="61" spans="1:5" x14ac:dyDescent="0.2">
      <c r="A61" s="78"/>
      <c r="B61" s="118"/>
      <c r="C61" s="76"/>
      <c r="D61" s="77"/>
      <c r="E61" s="77"/>
    </row>
    <row r="62" spans="1:5" x14ac:dyDescent="0.2">
      <c r="A62" s="78"/>
      <c r="B62" s="118"/>
      <c r="C62" s="76"/>
      <c r="D62" s="77"/>
      <c r="E62" s="77"/>
    </row>
    <row r="63" spans="1:5" x14ac:dyDescent="0.2">
      <c r="A63" s="78"/>
      <c r="B63" s="118"/>
      <c r="C63" s="76"/>
      <c r="D63" s="77"/>
      <c r="E63" s="77"/>
    </row>
    <row r="64" spans="1:5" x14ac:dyDescent="0.2">
      <c r="A64" s="78"/>
      <c r="B64" s="118"/>
      <c r="C64" s="76"/>
      <c r="D64" s="77"/>
      <c r="E64" s="77"/>
    </row>
    <row r="65" spans="1:5" x14ac:dyDescent="0.2">
      <c r="A65" s="78"/>
      <c r="B65" s="118"/>
      <c r="C65" s="76"/>
      <c r="D65" s="77"/>
      <c r="E65" s="77"/>
    </row>
    <row r="66" spans="1:5" x14ac:dyDescent="0.2">
      <c r="A66" s="78"/>
      <c r="B66" s="118"/>
      <c r="C66" s="76"/>
      <c r="D66" s="77"/>
      <c r="E66" s="77"/>
    </row>
    <row r="67" spans="1:5" x14ac:dyDescent="0.2">
      <c r="A67" s="78"/>
      <c r="B67" s="118"/>
      <c r="C67" s="76"/>
      <c r="D67" s="77"/>
      <c r="E67" s="77"/>
    </row>
    <row r="68" spans="1:5" x14ac:dyDescent="0.2">
      <c r="A68" s="78"/>
      <c r="B68" s="118"/>
      <c r="C68" s="76"/>
      <c r="D68" s="77"/>
      <c r="E68" s="77"/>
    </row>
    <row r="69" spans="1:5" x14ac:dyDescent="0.2">
      <c r="A69" s="78"/>
      <c r="B69" s="118"/>
      <c r="C69" s="76"/>
      <c r="D69" s="77"/>
      <c r="E69" s="77"/>
    </row>
    <row r="70" spans="1:5" x14ac:dyDescent="0.2">
      <c r="A70" s="78"/>
      <c r="B70" s="118"/>
      <c r="C70" s="76"/>
      <c r="D70" s="77"/>
      <c r="E70" s="77"/>
    </row>
    <row r="71" spans="1:5" x14ac:dyDescent="0.2">
      <c r="A71" s="78"/>
      <c r="B71" s="118"/>
      <c r="C71" s="76"/>
      <c r="D71" s="77"/>
      <c r="E71" s="77"/>
    </row>
    <row r="72" spans="1:5" x14ac:dyDescent="0.2">
      <c r="A72" s="78"/>
      <c r="B72" s="118"/>
      <c r="C72" s="76"/>
      <c r="D72" s="77"/>
      <c r="E72" s="77"/>
    </row>
    <row r="73" spans="1:5" x14ac:dyDescent="0.2">
      <c r="A73" s="78"/>
      <c r="B73" s="118"/>
      <c r="C73" s="76"/>
      <c r="D73" s="77"/>
      <c r="E73" s="77"/>
    </row>
    <row r="74" spans="1:5" x14ac:dyDescent="0.2">
      <c r="A74" s="78"/>
      <c r="B74" s="118"/>
      <c r="C74" s="76"/>
      <c r="D74" s="77"/>
      <c r="E74" s="77"/>
    </row>
    <row r="75" spans="1:5" x14ac:dyDescent="0.2">
      <c r="A75" s="78"/>
      <c r="B75" s="118"/>
      <c r="C75" s="76"/>
      <c r="D75" s="77"/>
      <c r="E75" s="77"/>
    </row>
    <row r="76" spans="1:5" x14ac:dyDescent="0.2">
      <c r="A76" s="78"/>
      <c r="B76" s="118"/>
      <c r="C76" s="76"/>
      <c r="D76" s="77"/>
      <c r="E76" s="77"/>
    </row>
    <row r="77" spans="1:5" x14ac:dyDescent="0.2">
      <c r="A77" s="78"/>
      <c r="B77" s="118"/>
      <c r="C77" s="76"/>
      <c r="D77" s="77"/>
      <c r="E77" s="77"/>
    </row>
    <row r="78" spans="1:5" x14ac:dyDescent="0.2">
      <c r="A78" s="78"/>
      <c r="B78" s="118"/>
      <c r="C78" s="76"/>
      <c r="D78" s="77"/>
      <c r="E78" s="77"/>
    </row>
    <row r="79" spans="1:5" x14ac:dyDescent="0.2">
      <c r="A79" s="78"/>
      <c r="B79" s="118"/>
      <c r="C79" s="76"/>
      <c r="D79" s="77"/>
      <c r="E79" s="77"/>
    </row>
    <row r="80" spans="1:5" x14ac:dyDescent="0.2">
      <c r="A80" s="78"/>
      <c r="B80" s="118"/>
      <c r="C80" s="76"/>
      <c r="D80" s="77"/>
      <c r="E80" s="77"/>
    </row>
    <row r="81" spans="1:5" x14ac:dyDescent="0.2">
      <c r="A81" s="78"/>
      <c r="B81" s="118"/>
      <c r="C81" s="76"/>
      <c r="D81" s="77"/>
      <c r="E81" s="77"/>
    </row>
    <row r="82" spans="1:5" x14ac:dyDescent="0.2">
      <c r="A82" s="78"/>
      <c r="B82" s="118"/>
      <c r="C82" s="76"/>
      <c r="D82" s="77"/>
      <c r="E82" s="77"/>
    </row>
    <row r="83" spans="1:5" x14ac:dyDescent="0.2">
      <c r="A83" s="78"/>
      <c r="B83" s="118"/>
      <c r="C83" s="76"/>
      <c r="D83" s="77"/>
      <c r="E83" s="77"/>
    </row>
    <row r="84" spans="1:5" x14ac:dyDescent="0.2">
      <c r="A84" s="78"/>
      <c r="B84" s="118"/>
      <c r="C84" s="76"/>
      <c r="D84" s="77"/>
      <c r="E84" s="77"/>
    </row>
    <row r="85" spans="1:5" x14ac:dyDescent="0.2">
      <c r="A85" s="140"/>
      <c r="B85" s="144"/>
      <c r="C85" s="142"/>
      <c r="D85" s="143"/>
      <c r="E85" s="143"/>
    </row>
    <row r="86" spans="1:5" x14ac:dyDescent="0.2">
      <c r="A86" s="140"/>
      <c r="B86" s="144"/>
      <c r="C86" s="142"/>
      <c r="D86" s="143"/>
      <c r="E86" s="143"/>
    </row>
    <row r="87" spans="1:5" x14ac:dyDescent="0.2">
      <c r="A87" s="140"/>
      <c r="B87" s="144"/>
      <c r="C87" s="142"/>
      <c r="D87" s="143"/>
      <c r="E87" s="143"/>
    </row>
    <row r="88" spans="1:5" x14ac:dyDescent="0.2">
      <c r="A88" s="140"/>
      <c r="B88" s="144"/>
      <c r="C88" s="142"/>
      <c r="D88" s="143"/>
      <c r="E88" s="143"/>
    </row>
    <row r="89" spans="1:5" x14ac:dyDescent="0.2">
      <c r="A89" s="140"/>
      <c r="B89" s="144"/>
      <c r="C89" s="142"/>
      <c r="D89" s="143"/>
      <c r="E89" s="143"/>
    </row>
    <row r="90" spans="1:5" x14ac:dyDescent="0.2">
      <c r="A90" s="140"/>
      <c r="B90" s="144"/>
      <c r="C90" s="142"/>
      <c r="D90" s="143"/>
      <c r="E90" s="143"/>
    </row>
    <row r="91" spans="1:5" x14ac:dyDescent="0.2">
      <c r="A91" s="140"/>
      <c r="B91" s="144"/>
      <c r="C91" s="142"/>
      <c r="D91" s="143"/>
      <c r="E91" s="143"/>
    </row>
    <row r="92" spans="1:5" x14ac:dyDescent="0.2">
      <c r="A92" s="140"/>
      <c r="B92" s="144"/>
      <c r="C92" s="142"/>
      <c r="D92" s="143"/>
      <c r="E92" s="143"/>
    </row>
    <row r="93" spans="1:5" x14ac:dyDescent="0.2">
      <c r="A93" s="140"/>
      <c r="B93" s="144"/>
      <c r="C93" s="142"/>
      <c r="D93" s="143"/>
      <c r="E93" s="143"/>
    </row>
    <row r="94" spans="1:5" x14ac:dyDescent="0.2">
      <c r="A94" s="140"/>
      <c r="B94" s="144"/>
      <c r="C94" s="142"/>
      <c r="D94" s="143"/>
      <c r="E94" s="143"/>
    </row>
    <row r="95" spans="1:5" x14ac:dyDescent="0.2">
      <c r="A95" s="140"/>
      <c r="B95" s="144"/>
      <c r="C95" s="142"/>
      <c r="D95" s="143"/>
      <c r="E95" s="143"/>
    </row>
    <row r="96" spans="1:5" x14ac:dyDescent="0.2">
      <c r="A96" s="140"/>
      <c r="B96" s="144"/>
      <c r="C96" s="142"/>
      <c r="D96" s="143"/>
      <c r="E96" s="143"/>
    </row>
    <row r="97" spans="1:5" x14ac:dyDescent="0.2">
      <c r="A97" s="140"/>
      <c r="B97" s="144"/>
      <c r="C97" s="142"/>
      <c r="D97" s="143"/>
      <c r="E97" s="143"/>
    </row>
    <row r="98" spans="1:5" x14ac:dyDescent="0.2">
      <c r="A98" s="140"/>
      <c r="B98" s="144"/>
      <c r="C98" s="142"/>
      <c r="D98" s="143"/>
      <c r="E98" s="143"/>
    </row>
    <row r="99" spans="1:5" x14ac:dyDescent="0.2">
      <c r="A99" s="140"/>
      <c r="B99" s="144"/>
      <c r="C99" s="142"/>
      <c r="D99" s="143"/>
      <c r="E99" s="143"/>
    </row>
    <row r="100" spans="1:5" x14ac:dyDescent="0.2">
      <c r="A100" s="140"/>
      <c r="B100" s="144"/>
      <c r="C100" s="142"/>
      <c r="D100" s="143"/>
      <c r="E100" s="143"/>
    </row>
    <row r="101" spans="1:5" x14ac:dyDescent="0.2">
      <c r="A101" s="140"/>
      <c r="B101" s="144"/>
      <c r="C101" s="142"/>
      <c r="D101" s="143"/>
      <c r="E101" s="143"/>
    </row>
    <row r="102" spans="1:5" x14ac:dyDescent="0.2">
      <c r="A102" s="140"/>
      <c r="B102" s="144"/>
      <c r="C102" s="142"/>
      <c r="D102" s="143"/>
      <c r="E102" s="143"/>
    </row>
    <row r="103" spans="1:5" x14ac:dyDescent="0.2">
      <c r="A103" s="140"/>
      <c r="B103" s="144"/>
      <c r="C103" s="142"/>
      <c r="D103" s="143"/>
      <c r="E103" s="143"/>
    </row>
    <row r="104" spans="1:5" x14ac:dyDescent="0.2">
      <c r="A104" s="140"/>
      <c r="B104" s="144"/>
      <c r="C104" s="142"/>
      <c r="D104" s="143"/>
      <c r="E104" s="143"/>
    </row>
    <row r="105" spans="1:5" x14ac:dyDescent="0.2">
      <c r="A105" s="140"/>
      <c r="B105" s="144"/>
      <c r="C105" s="142"/>
      <c r="D105" s="143"/>
      <c r="E105" s="143"/>
    </row>
    <row r="106" spans="1:5" x14ac:dyDescent="0.2">
      <c r="A106" s="140"/>
      <c r="B106" s="144"/>
      <c r="C106" s="142"/>
      <c r="D106" s="143"/>
      <c r="E106" s="143"/>
    </row>
    <row r="107" spans="1:5" x14ac:dyDescent="0.2">
      <c r="A107" s="140"/>
      <c r="B107" s="144"/>
      <c r="C107" s="142"/>
      <c r="D107" s="143"/>
      <c r="E107" s="143"/>
    </row>
    <row r="108" spans="1:5" x14ac:dyDescent="0.2">
      <c r="A108" s="140"/>
      <c r="B108" s="144"/>
      <c r="C108" s="142"/>
      <c r="D108" s="143"/>
      <c r="E108" s="143"/>
    </row>
    <row r="109" spans="1:5" x14ac:dyDescent="0.2">
      <c r="A109" s="140"/>
      <c r="B109" s="144"/>
      <c r="C109" s="142"/>
      <c r="D109" s="143"/>
      <c r="E109" s="143"/>
    </row>
    <row r="110" spans="1:5" x14ac:dyDescent="0.2">
      <c r="A110" s="140"/>
      <c r="B110" s="144"/>
      <c r="C110" s="142"/>
      <c r="D110" s="143"/>
      <c r="E110" s="143"/>
    </row>
    <row r="111" spans="1:5" x14ac:dyDescent="0.2">
      <c r="A111" s="140"/>
      <c r="B111" s="144"/>
      <c r="C111" s="142"/>
      <c r="D111" s="143"/>
      <c r="E111" s="143"/>
    </row>
    <row r="112" spans="1:5" x14ac:dyDescent="0.2">
      <c r="A112" s="140"/>
      <c r="B112" s="144"/>
      <c r="C112" s="142"/>
      <c r="D112" s="143"/>
      <c r="E112" s="143"/>
    </row>
    <row r="113" spans="1:5" x14ac:dyDescent="0.2">
      <c r="A113" s="140"/>
      <c r="B113" s="144"/>
      <c r="C113" s="142"/>
      <c r="D113" s="143"/>
      <c r="E113" s="143"/>
    </row>
    <row r="114" spans="1:5" x14ac:dyDescent="0.2">
      <c r="A114" s="140"/>
      <c r="B114" s="144"/>
      <c r="C114" s="142"/>
      <c r="D114" s="143"/>
      <c r="E114" s="143"/>
    </row>
    <row r="115" spans="1:5" x14ac:dyDescent="0.2">
      <c r="A115" s="140"/>
      <c r="B115" s="144"/>
      <c r="C115" s="142"/>
      <c r="D115" s="143"/>
      <c r="E115" s="143"/>
    </row>
    <row r="116" spans="1:5" x14ac:dyDescent="0.2">
      <c r="A116" s="140"/>
      <c r="B116" s="144"/>
      <c r="C116" s="142"/>
      <c r="D116" s="143"/>
      <c r="E116" s="143"/>
    </row>
    <row r="117" spans="1:5" x14ac:dyDescent="0.2">
      <c r="A117" s="140"/>
      <c r="B117" s="144"/>
      <c r="C117" s="142"/>
      <c r="D117" s="143"/>
      <c r="E117" s="143"/>
    </row>
    <row r="118" spans="1:5" x14ac:dyDescent="0.2">
      <c r="A118" s="140"/>
      <c r="B118" s="144"/>
      <c r="C118" s="142"/>
      <c r="D118" s="143"/>
      <c r="E118" s="143"/>
    </row>
    <row r="119" spans="1:5" x14ac:dyDescent="0.2">
      <c r="A119" s="140"/>
      <c r="B119" s="144"/>
      <c r="C119" s="142"/>
      <c r="D119" s="143"/>
      <c r="E119" s="143"/>
    </row>
    <row r="120" spans="1:5" x14ac:dyDescent="0.2">
      <c r="A120" s="140"/>
      <c r="B120" s="144"/>
      <c r="C120" s="142"/>
      <c r="D120" s="143"/>
      <c r="E120" s="143"/>
    </row>
    <row r="121" spans="1:5" x14ac:dyDescent="0.2">
      <c r="A121" s="140"/>
      <c r="B121" s="144"/>
      <c r="C121" s="142"/>
      <c r="D121" s="143"/>
      <c r="E121" s="143"/>
    </row>
    <row r="122" spans="1:5" x14ac:dyDescent="0.2">
      <c r="A122" s="140"/>
      <c r="B122" s="144"/>
      <c r="C122" s="142"/>
      <c r="D122" s="143"/>
      <c r="E122" s="143"/>
    </row>
    <row r="123" spans="1:5" x14ac:dyDescent="0.2">
      <c r="A123" s="140"/>
      <c r="B123" s="144"/>
      <c r="C123" s="142"/>
      <c r="D123" s="143"/>
      <c r="E123" s="143"/>
    </row>
    <row r="124" spans="1:5" x14ac:dyDescent="0.2">
      <c r="A124" s="140"/>
      <c r="B124" s="144"/>
      <c r="C124" s="142"/>
      <c r="D124" s="143"/>
      <c r="E124" s="143"/>
    </row>
    <row r="125" spans="1:5" x14ac:dyDescent="0.2">
      <c r="A125" s="140"/>
      <c r="B125" s="144"/>
      <c r="C125" s="142"/>
      <c r="D125" s="143"/>
      <c r="E125" s="143"/>
    </row>
    <row r="126" spans="1:5" x14ac:dyDescent="0.2">
      <c r="A126" s="140"/>
      <c r="B126" s="144"/>
      <c r="C126" s="142"/>
      <c r="D126" s="143"/>
      <c r="E126" s="143"/>
    </row>
    <row r="127" spans="1:5" x14ac:dyDescent="0.2">
      <c r="A127" s="140"/>
      <c r="B127" s="144"/>
      <c r="C127" s="142"/>
      <c r="D127" s="143"/>
      <c r="E127" s="143"/>
    </row>
    <row r="128" spans="1:5" x14ac:dyDescent="0.2">
      <c r="A128" s="140"/>
      <c r="B128" s="144"/>
      <c r="C128" s="142"/>
      <c r="D128" s="143"/>
      <c r="E128" s="143"/>
    </row>
    <row r="129" spans="1:5" x14ac:dyDescent="0.2">
      <c r="A129" s="140"/>
      <c r="B129" s="144"/>
      <c r="C129" s="142"/>
      <c r="D129" s="143"/>
      <c r="E129" s="143"/>
    </row>
    <row r="130" spans="1:5" x14ac:dyDescent="0.2">
      <c r="A130" s="140"/>
      <c r="B130" s="144"/>
      <c r="C130" s="142"/>
      <c r="D130" s="143"/>
      <c r="E130" s="143"/>
    </row>
    <row r="131" spans="1:5" x14ac:dyDescent="0.2">
      <c r="A131" s="140"/>
      <c r="B131" s="144"/>
      <c r="C131" s="142"/>
      <c r="D131" s="143"/>
      <c r="E131" s="143"/>
    </row>
    <row r="132" spans="1:5" x14ac:dyDescent="0.2">
      <c r="A132" s="140"/>
      <c r="B132" s="144"/>
      <c r="C132" s="142"/>
      <c r="D132" s="143"/>
      <c r="E132" s="143"/>
    </row>
    <row r="133" spans="1:5" x14ac:dyDescent="0.2">
      <c r="A133" s="140"/>
      <c r="B133" s="144"/>
      <c r="C133" s="142"/>
      <c r="D133" s="143"/>
      <c r="E133" s="143"/>
    </row>
    <row r="134" spans="1:5" x14ac:dyDescent="0.2">
      <c r="A134" s="140"/>
      <c r="B134" s="144"/>
      <c r="C134" s="142"/>
      <c r="D134" s="143"/>
      <c r="E134" s="143"/>
    </row>
    <row r="135" spans="1:5" x14ac:dyDescent="0.2">
      <c r="A135" s="140"/>
      <c r="B135" s="144"/>
      <c r="C135" s="142"/>
      <c r="D135" s="143"/>
      <c r="E135" s="143"/>
    </row>
    <row r="136" spans="1:5" x14ac:dyDescent="0.2">
      <c r="A136" s="140"/>
      <c r="B136" s="144"/>
      <c r="C136" s="142"/>
      <c r="D136" s="143"/>
      <c r="E136" s="143"/>
    </row>
    <row r="137" spans="1:5" x14ac:dyDescent="0.2">
      <c r="A137" s="140"/>
      <c r="B137" s="144"/>
      <c r="C137" s="142"/>
      <c r="D137" s="143"/>
      <c r="E137" s="143"/>
    </row>
    <row r="138" spans="1:5" x14ac:dyDescent="0.2">
      <c r="A138" s="140"/>
      <c r="B138" s="144"/>
      <c r="C138" s="142"/>
      <c r="D138" s="143"/>
      <c r="E138" s="143"/>
    </row>
    <row r="139" spans="1:5" x14ac:dyDescent="0.2">
      <c r="A139" s="140"/>
      <c r="B139" s="144"/>
      <c r="C139" s="142"/>
      <c r="D139" s="143"/>
      <c r="E139" s="143"/>
    </row>
    <row r="140" spans="1:5" x14ac:dyDescent="0.2">
      <c r="A140" s="140"/>
      <c r="B140" s="144"/>
      <c r="C140" s="142"/>
      <c r="D140" s="143"/>
      <c r="E140" s="143"/>
    </row>
    <row r="141" spans="1:5" x14ac:dyDescent="0.2">
      <c r="A141" s="140"/>
      <c r="B141" s="144"/>
      <c r="C141" s="142"/>
      <c r="D141" s="143"/>
      <c r="E141" s="143"/>
    </row>
    <row r="142" spans="1:5" x14ac:dyDescent="0.2">
      <c r="A142" s="140"/>
      <c r="B142" s="144"/>
      <c r="C142" s="142"/>
      <c r="D142" s="143"/>
      <c r="E142" s="143"/>
    </row>
    <row r="143" spans="1:5" x14ac:dyDescent="0.2">
      <c r="A143" s="140"/>
      <c r="B143" s="144"/>
      <c r="C143" s="142"/>
      <c r="D143" s="143"/>
      <c r="E143" s="143"/>
    </row>
    <row r="144" spans="1:5" x14ac:dyDescent="0.2">
      <c r="A144" s="140"/>
      <c r="B144" s="144"/>
      <c r="C144" s="142"/>
      <c r="D144" s="143"/>
      <c r="E144" s="143"/>
    </row>
    <row r="145" spans="1:5" x14ac:dyDescent="0.2">
      <c r="A145" s="140"/>
      <c r="B145" s="144"/>
      <c r="C145" s="142"/>
      <c r="D145" s="143"/>
      <c r="E145" s="143"/>
    </row>
    <row r="146" spans="1:5" x14ac:dyDescent="0.2">
      <c r="A146" s="140"/>
      <c r="B146" s="144"/>
      <c r="C146" s="142"/>
      <c r="D146" s="143"/>
      <c r="E146" s="143"/>
    </row>
    <row r="147" spans="1:5" x14ac:dyDescent="0.2">
      <c r="A147" s="140"/>
      <c r="B147" s="144"/>
      <c r="C147" s="142"/>
      <c r="D147" s="143"/>
      <c r="E147" s="143"/>
    </row>
    <row r="148" spans="1:5" x14ac:dyDescent="0.2">
      <c r="A148" s="140"/>
      <c r="B148" s="144"/>
      <c r="C148" s="142"/>
      <c r="D148" s="143"/>
      <c r="E148" s="143"/>
    </row>
    <row r="149" spans="1:5" x14ac:dyDescent="0.2">
      <c r="A149" s="140"/>
      <c r="B149" s="144"/>
      <c r="C149" s="142"/>
      <c r="D149" s="143"/>
      <c r="E149" s="143"/>
    </row>
    <row r="150" spans="1:5" x14ac:dyDescent="0.2">
      <c r="A150" s="140"/>
      <c r="B150" s="144"/>
      <c r="C150" s="142"/>
      <c r="D150" s="143"/>
      <c r="E150" s="143"/>
    </row>
    <row r="151" spans="1:5" x14ac:dyDescent="0.2">
      <c r="A151" s="140"/>
      <c r="B151" s="144"/>
      <c r="C151" s="142"/>
      <c r="D151" s="143"/>
      <c r="E151" s="143"/>
    </row>
    <row r="152" spans="1:5" x14ac:dyDescent="0.2">
      <c r="A152" s="140"/>
      <c r="B152" s="144"/>
      <c r="C152" s="142"/>
      <c r="D152" s="143"/>
      <c r="E152" s="143"/>
    </row>
    <row r="153" spans="1:5" x14ac:dyDescent="0.2">
      <c r="A153" s="140"/>
      <c r="B153" s="144"/>
      <c r="C153" s="142"/>
      <c r="D153" s="143"/>
      <c r="E153" s="143"/>
    </row>
    <row r="154" spans="1:5" x14ac:dyDescent="0.2">
      <c r="A154" s="140"/>
      <c r="B154" s="144"/>
      <c r="C154" s="142"/>
      <c r="D154" s="143"/>
      <c r="E154" s="143"/>
    </row>
    <row r="155" spans="1:5" x14ac:dyDescent="0.2">
      <c r="A155" s="140"/>
      <c r="B155" s="144"/>
      <c r="C155" s="142"/>
      <c r="D155" s="143"/>
      <c r="E155" s="143"/>
    </row>
    <row r="156" spans="1:5" x14ac:dyDescent="0.2">
      <c r="A156" s="140"/>
      <c r="B156" s="144"/>
      <c r="C156" s="142"/>
      <c r="D156" s="143"/>
      <c r="E156" s="143"/>
    </row>
    <row r="157" spans="1:5" x14ac:dyDescent="0.2">
      <c r="A157" s="140"/>
      <c r="B157" s="144"/>
      <c r="C157" s="142"/>
      <c r="D157" s="143"/>
      <c r="E157" s="143"/>
    </row>
    <row r="158" spans="1:5" x14ac:dyDescent="0.2">
      <c r="A158" s="140"/>
      <c r="B158" s="144"/>
      <c r="C158" s="142"/>
      <c r="D158" s="143"/>
      <c r="E158" s="143"/>
    </row>
    <row r="159" spans="1:5" x14ac:dyDescent="0.2">
      <c r="A159" s="140"/>
      <c r="B159" s="144"/>
      <c r="C159" s="142"/>
      <c r="D159" s="143"/>
      <c r="E159" s="143"/>
    </row>
    <row r="160" spans="1:5" x14ac:dyDescent="0.2">
      <c r="A160" s="140"/>
      <c r="B160" s="144"/>
      <c r="C160" s="142"/>
      <c r="D160" s="143"/>
      <c r="E160" s="143"/>
    </row>
    <row r="161" spans="1:5" x14ac:dyDescent="0.2">
      <c r="A161" s="140"/>
      <c r="B161" s="144"/>
      <c r="C161" s="142"/>
      <c r="D161" s="143"/>
      <c r="E161" s="143"/>
    </row>
    <row r="162" spans="1:5" x14ac:dyDescent="0.2">
      <c r="A162" s="140"/>
      <c r="B162" s="144"/>
      <c r="C162" s="142"/>
      <c r="D162" s="143"/>
      <c r="E162" s="143"/>
    </row>
    <row r="163" spans="1:5" x14ac:dyDescent="0.2">
      <c r="A163" s="140"/>
      <c r="B163" s="144"/>
      <c r="C163" s="142"/>
      <c r="D163" s="143"/>
      <c r="E163" s="143"/>
    </row>
    <row r="164" spans="1:5" x14ac:dyDescent="0.2">
      <c r="A164" s="140"/>
      <c r="B164" s="144"/>
      <c r="C164" s="142"/>
      <c r="D164" s="143"/>
      <c r="E164" s="143"/>
    </row>
    <row r="165" spans="1:5" x14ac:dyDescent="0.2">
      <c r="A165" s="140"/>
      <c r="B165" s="144"/>
      <c r="C165" s="142"/>
      <c r="D165" s="143"/>
      <c r="E165" s="143"/>
    </row>
    <row r="166" spans="1:5" x14ac:dyDescent="0.2">
      <c r="A166" s="140"/>
      <c r="B166" s="144"/>
      <c r="C166" s="142"/>
      <c r="D166" s="143"/>
      <c r="E166" s="143"/>
    </row>
    <row r="167" spans="1:5" x14ac:dyDescent="0.2">
      <c r="A167" s="140"/>
      <c r="B167" s="144"/>
      <c r="C167" s="142"/>
      <c r="D167" s="143"/>
      <c r="E167" s="143"/>
    </row>
    <row r="168" spans="1:5" x14ac:dyDescent="0.2">
      <c r="A168" s="140"/>
      <c r="B168" s="144"/>
      <c r="C168" s="142"/>
      <c r="D168" s="143"/>
      <c r="E168" s="143"/>
    </row>
    <row r="169" spans="1:5" x14ac:dyDescent="0.2">
      <c r="A169" s="140"/>
      <c r="B169" s="144"/>
      <c r="C169" s="142"/>
      <c r="D169" s="143"/>
      <c r="E169" s="143"/>
    </row>
    <row r="170" spans="1:5" x14ac:dyDescent="0.2">
      <c r="A170" s="140"/>
      <c r="B170" s="144"/>
      <c r="C170" s="142"/>
      <c r="D170" s="143"/>
      <c r="E170" s="143"/>
    </row>
    <row r="171" spans="1:5" x14ac:dyDescent="0.2">
      <c r="A171" s="140"/>
      <c r="B171" s="144"/>
      <c r="C171" s="142"/>
      <c r="D171" s="143"/>
      <c r="E171" s="143"/>
    </row>
    <row r="172" spans="1:5" x14ac:dyDescent="0.2">
      <c r="A172" s="140"/>
      <c r="B172" s="144"/>
      <c r="C172" s="142"/>
      <c r="D172" s="143"/>
      <c r="E172" s="143"/>
    </row>
    <row r="173" spans="1:5" x14ac:dyDescent="0.2">
      <c r="A173" s="140"/>
      <c r="B173" s="144"/>
      <c r="C173" s="142"/>
      <c r="D173" s="143"/>
      <c r="E173" s="143"/>
    </row>
    <row r="174" spans="1:5" x14ac:dyDescent="0.2">
      <c r="A174" s="140"/>
      <c r="B174" s="144"/>
      <c r="C174" s="142"/>
      <c r="D174" s="143"/>
      <c r="E174" s="143"/>
    </row>
    <row r="175" spans="1:5" x14ac:dyDescent="0.2">
      <c r="A175" s="140"/>
      <c r="B175" s="144"/>
      <c r="C175" s="142"/>
      <c r="D175" s="143"/>
      <c r="E175" s="143"/>
    </row>
    <row r="176" spans="1:5" x14ac:dyDescent="0.2">
      <c r="A176" s="140"/>
      <c r="B176" s="144"/>
      <c r="C176" s="142"/>
      <c r="D176" s="143"/>
      <c r="E176" s="143"/>
    </row>
    <row r="177" spans="1:5" x14ac:dyDescent="0.2">
      <c r="A177" s="140"/>
      <c r="B177" s="144"/>
      <c r="C177" s="142"/>
      <c r="D177" s="143"/>
      <c r="E177" s="143"/>
    </row>
    <row r="178" spans="1:5" x14ac:dyDescent="0.2">
      <c r="A178" s="140"/>
      <c r="B178" s="144"/>
      <c r="C178" s="142"/>
      <c r="D178" s="143"/>
      <c r="E178" s="143"/>
    </row>
    <row r="179" spans="1:5" x14ac:dyDescent="0.2">
      <c r="A179" s="140"/>
      <c r="B179" s="144"/>
      <c r="C179" s="142"/>
      <c r="D179" s="143"/>
      <c r="E179" s="143"/>
    </row>
    <row r="180" spans="1:5" x14ac:dyDescent="0.2">
      <c r="A180" s="140"/>
      <c r="B180" s="144"/>
      <c r="C180" s="142"/>
      <c r="D180" s="143"/>
      <c r="E180" s="143"/>
    </row>
    <row r="181" spans="1:5" x14ac:dyDescent="0.2">
      <c r="A181" s="140"/>
      <c r="B181" s="144"/>
      <c r="C181" s="142"/>
      <c r="D181" s="143"/>
      <c r="E181" s="143"/>
    </row>
    <row r="182" spans="1:5" x14ac:dyDescent="0.2">
      <c r="A182" s="140"/>
      <c r="B182" s="144"/>
      <c r="C182" s="142"/>
      <c r="D182" s="143"/>
      <c r="E182" s="143"/>
    </row>
    <row r="183" spans="1:5" x14ac:dyDescent="0.2">
      <c r="A183" s="140"/>
      <c r="B183" s="144"/>
      <c r="C183" s="142"/>
      <c r="D183" s="143"/>
      <c r="E183" s="143"/>
    </row>
    <row r="184" spans="1:5" x14ac:dyDescent="0.2">
      <c r="A184" s="140"/>
      <c r="B184" s="144"/>
      <c r="C184" s="142"/>
      <c r="D184" s="143"/>
      <c r="E184" s="143"/>
    </row>
    <row r="185" spans="1:5" x14ac:dyDescent="0.2">
      <c r="A185" s="140"/>
      <c r="B185" s="144"/>
      <c r="C185" s="142"/>
      <c r="D185" s="143"/>
      <c r="E185" s="143"/>
    </row>
    <row r="186" spans="1:5" x14ac:dyDescent="0.2">
      <c r="A186" s="140"/>
      <c r="B186" s="144"/>
      <c r="C186" s="142"/>
      <c r="D186" s="143"/>
      <c r="E186" s="143"/>
    </row>
    <row r="187" spans="1:5" x14ac:dyDescent="0.2">
      <c r="A187" s="140"/>
      <c r="B187" s="144"/>
      <c r="C187" s="142"/>
      <c r="D187" s="143"/>
      <c r="E187" s="143"/>
    </row>
    <row r="188" spans="1:5" x14ac:dyDescent="0.2">
      <c r="A188" s="140"/>
      <c r="B188" s="144"/>
      <c r="C188" s="142"/>
      <c r="D188" s="143"/>
      <c r="E188" s="143"/>
    </row>
    <row r="189" spans="1:5" x14ac:dyDescent="0.2">
      <c r="A189" s="140"/>
      <c r="B189" s="144"/>
      <c r="C189" s="142"/>
      <c r="D189" s="143"/>
      <c r="E189" s="143"/>
    </row>
    <row r="190" spans="1:5" x14ac:dyDescent="0.2">
      <c r="A190" s="140"/>
      <c r="B190" s="144"/>
      <c r="C190" s="142"/>
      <c r="D190" s="143"/>
      <c r="E190" s="143"/>
    </row>
    <row r="191" spans="1:5" x14ac:dyDescent="0.2">
      <c r="A191" s="140"/>
      <c r="B191" s="144"/>
      <c r="C191" s="142"/>
      <c r="D191" s="143"/>
      <c r="E191" s="143"/>
    </row>
    <row r="192" spans="1:5" x14ac:dyDescent="0.2">
      <c r="A192" s="140"/>
      <c r="B192" s="144"/>
      <c r="C192" s="142"/>
      <c r="D192" s="143"/>
      <c r="E192" s="143"/>
    </row>
    <row r="193" spans="1:5" x14ac:dyDescent="0.2">
      <c r="A193" s="140"/>
      <c r="B193" s="144"/>
      <c r="C193" s="142"/>
      <c r="D193" s="143"/>
      <c r="E193" s="143"/>
    </row>
    <row r="194" spans="1:5" x14ac:dyDescent="0.2">
      <c r="A194" s="140"/>
      <c r="B194" s="144"/>
      <c r="C194" s="142"/>
      <c r="D194" s="143"/>
      <c r="E194" s="143"/>
    </row>
    <row r="195" spans="1:5" x14ac:dyDescent="0.2">
      <c r="A195" s="140"/>
      <c r="B195" s="144"/>
      <c r="C195" s="142"/>
      <c r="D195" s="143"/>
      <c r="E195" s="143"/>
    </row>
    <row r="196" spans="1:5" x14ac:dyDescent="0.2">
      <c r="A196" s="140"/>
      <c r="B196" s="144"/>
      <c r="C196" s="142"/>
      <c r="D196" s="143"/>
      <c r="E196" s="143"/>
    </row>
    <row r="197" spans="1:5" x14ac:dyDescent="0.2">
      <c r="A197" s="140"/>
      <c r="B197" s="144"/>
      <c r="C197" s="142"/>
      <c r="D197" s="143"/>
      <c r="E197" s="143"/>
    </row>
    <row r="198" spans="1:5" x14ac:dyDescent="0.2">
      <c r="A198" s="140"/>
      <c r="B198" s="144"/>
      <c r="C198" s="142"/>
      <c r="D198" s="143"/>
      <c r="E198" s="143"/>
    </row>
    <row r="199" spans="1:5" x14ac:dyDescent="0.2">
      <c r="A199" s="140"/>
      <c r="B199" s="144"/>
      <c r="C199" s="142"/>
      <c r="D199" s="143"/>
      <c r="E199" s="143"/>
    </row>
    <row r="200" spans="1:5" x14ac:dyDescent="0.2">
      <c r="A200" s="140"/>
      <c r="B200" s="144"/>
      <c r="C200" s="142"/>
      <c r="D200" s="143"/>
      <c r="E200" s="143"/>
    </row>
    <row r="201" spans="1:5" x14ac:dyDescent="0.2">
      <c r="A201" s="140"/>
      <c r="B201" s="144"/>
      <c r="C201" s="142"/>
      <c r="D201" s="143"/>
      <c r="E201" s="143"/>
    </row>
    <row r="202" spans="1:5" x14ac:dyDescent="0.2">
      <c r="A202" s="140"/>
      <c r="B202" s="144"/>
      <c r="C202" s="142"/>
      <c r="D202" s="143"/>
      <c r="E202" s="143"/>
    </row>
    <row r="203" spans="1:5" x14ac:dyDescent="0.2">
      <c r="A203" s="140"/>
      <c r="B203" s="144"/>
      <c r="C203" s="142"/>
      <c r="D203" s="143"/>
      <c r="E203" s="143"/>
    </row>
    <row r="204" spans="1:5" x14ac:dyDescent="0.2">
      <c r="A204" s="140"/>
      <c r="B204" s="144"/>
      <c r="C204" s="142"/>
      <c r="D204" s="143"/>
      <c r="E204" s="143"/>
    </row>
    <row r="205" spans="1:5" x14ac:dyDescent="0.2">
      <c r="A205" s="140"/>
      <c r="B205" s="144"/>
      <c r="C205" s="142"/>
      <c r="D205" s="143"/>
      <c r="E205" s="143"/>
    </row>
    <row r="206" spans="1:5" x14ac:dyDescent="0.2">
      <c r="A206" s="140"/>
      <c r="B206" s="144"/>
      <c r="C206" s="142"/>
      <c r="D206" s="143"/>
      <c r="E206" s="143"/>
    </row>
    <row r="207" spans="1:5" x14ac:dyDescent="0.2">
      <c r="A207" s="140"/>
      <c r="B207" s="144"/>
      <c r="C207" s="142"/>
      <c r="D207" s="143"/>
      <c r="E207" s="143"/>
    </row>
    <row r="208" spans="1:5" x14ac:dyDescent="0.2">
      <c r="A208" s="140"/>
      <c r="B208" s="144"/>
      <c r="C208" s="142"/>
      <c r="D208" s="143"/>
      <c r="E208" s="143"/>
    </row>
    <row r="209" spans="1:5" x14ac:dyDescent="0.2">
      <c r="A209" s="140"/>
      <c r="B209" s="144"/>
      <c r="C209" s="142"/>
      <c r="D209" s="143"/>
      <c r="E209" s="143"/>
    </row>
    <row r="210" spans="1:5" x14ac:dyDescent="0.2">
      <c r="A210" s="140"/>
      <c r="B210" s="144"/>
      <c r="C210" s="142"/>
      <c r="D210" s="143"/>
      <c r="E210" s="143"/>
    </row>
    <row r="211" spans="1:5" x14ac:dyDescent="0.2">
      <c r="A211" s="140"/>
      <c r="B211" s="144"/>
      <c r="C211" s="142"/>
      <c r="D211" s="143"/>
      <c r="E211" s="143"/>
    </row>
    <row r="212" spans="1:5" x14ac:dyDescent="0.2">
      <c r="A212" s="140"/>
      <c r="B212" s="144"/>
      <c r="C212" s="142"/>
      <c r="D212" s="143"/>
      <c r="E212" s="143"/>
    </row>
    <row r="213" spans="1:5" x14ac:dyDescent="0.2">
      <c r="A213" s="140"/>
      <c r="B213" s="144"/>
      <c r="C213" s="142"/>
      <c r="D213" s="143"/>
      <c r="E213" s="143"/>
    </row>
    <row r="214" spans="1:5" x14ac:dyDescent="0.2">
      <c r="A214" s="140"/>
      <c r="B214" s="144"/>
      <c r="C214" s="142"/>
      <c r="D214" s="143"/>
      <c r="E214" s="143"/>
    </row>
    <row r="215" spans="1:5" x14ac:dyDescent="0.2">
      <c r="A215" s="140"/>
      <c r="B215" s="144"/>
      <c r="C215" s="142"/>
      <c r="D215" s="143"/>
      <c r="E215" s="143"/>
    </row>
    <row r="216" spans="1:5" x14ac:dyDescent="0.2">
      <c r="A216" s="140"/>
      <c r="B216" s="144"/>
      <c r="C216" s="142"/>
      <c r="D216" s="143"/>
      <c r="E216" s="143"/>
    </row>
    <row r="217" spans="1:5" x14ac:dyDescent="0.2">
      <c r="A217" s="140"/>
      <c r="B217" s="144"/>
      <c r="C217" s="142"/>
      <c r="D217" s="143"/>
      <c r="E217" s="143"/>
    </row>
    <row r="218" spans="1:5" x14ac:dyDescent="0.2">
      <c r="A218" s="140"/>
      <c r="B218" s="144"/>
      <c r="C218" s="142"/>
      <c r="D218" s="143"/>
      <c r="E218" s="143"/>
    </row>
    <row r="219" spans="1:5" x14ac:dyDescent="0.2">
      <c r="A219" s="140"/>
      <c r="B219" s="144"/>
      <c r="C219" s="142"/>
      <c r="D219" s="143"/>
      <c r="E219" s="143"/>
    </row>
    <row r="220" spans="1:5" x14ac:dyDescent="0.2">
      <c r="A220" s="140"/>
      <c r="B220" s="144"/>
      <c r="C220" s="142"/>
      <c r="D220" s="143"/>
      <c r="E220" s="143"/>
    </row>
    <row r="221" spans="1:5" x14ac:dyDescent="0.2">
      <c r="A221" s="140"/>
      <c r="B221" s="144"/>
      <c r="C221" s="142"/>
      <c r="D221" s="143"/>
      <c r="E221" s="143"/>
    </row>
    <row r="222" spans="1:5" x14ac:dyDescent="0.2">
      <c r="A222" s="140"/>
      <c r="B222" s="144"/>
      <c r="C222" s="142"/>
      <c r="D222" s="143"/>
      <c r="E222" s="143"/>
    </row>
    <row r="223" spans="1:5" x14ac:dyDescent="0.2">
      <c r="A223" s="140"/>
      <c r="B223" s="144"/>
      <c r="C223" s="142"/>
      <c r="D223" s="143"/>
      <c r="E223" s="143"/>
    </row>
    <row r="224" spans="1:5" x14ac:dyDescent="0.2">
      <c r="A224" s="140"/>
      <c r="B224" s="144"/>
      <c r="C224" s="142"/>
      <c r="D224" s="143"/>
      <c r="E224" s="143"/>
    </row>
    <row r="225" spans="1:5" x14ac:dyDescent="0.2">
      <c r="A225" s="140"/>
      <c r="B225" s="144"/>
      <c r="C225" s="142"/>
      <c r="D225" s="143"/>
      <c r="E225" s="143"/>
    </row>
    <row r="226" spans="1:5" x14ac:dyDescent="0.2">
      <c r="A226" s="140"/>
      <c r="B226" s="144"/>
      <c r="C226" s="142"/>
      <c r="D226" s="143"/>
      <c r="E226" s="143"/>
    </row>
    <row r="227" spans="1:5" x14ac:dyDescent="0.2">
      <c r="A227" s="140"/>
      <c r="B227" s="144"/>
      <c r="C227" s="142"/>
      <c r="D227" s="143"/>
      <c r="E227" s="143"/>
    </row>
    <row r="228" spans="1:5" x14ac:dyDescent="0.2">
      <c r="A228" s="140"/>
      <c r="B228" s="144"/>
      <c r="C228" s="142"/>
      <c r="D228" s="143"/>
      <c r="E228" s="143"/>
    </row>
    <row r="229" spans="1:5" x14ac:dyDescent="0.2">
      <c r="A229" s="140"/>
      <c r="B229" s="144"/>
      <c r="C229" s="142"/>
      <c r="D229" s="143"/>
      <c r="E229" s="143"/>
    </row>
    <row r="230" spans="1:5" x14ac:dyDescent="0.2">
      <c r="A230" s="140"/>
      <c r="B230" s="144"/>
      <c r="C230" s="142"/>
      <c r="D230" s="143"/>
      <c r="E230" s="143"/>
    </row>
    <row r="231" spans="1:5" x14ac:dyDescent="0.2">
      <c r="A231" s="140"/>
      <c r="B231" s="144"/>
      <c r="C231" s="142"/>
      <c r="D231" s="143"/>
      <c r="E231" s="143"/>
    </row>
    <row r="232" spans="1:5" x14ac:dyDescent="0.2">
      <c r="A232" s="140"/>
      <c r="B232" s="144"/>
      <c r="C232" s="142"/>
      <c r="D232" s="143"/>
      <c r="E232" s="143"/>
    </row>
    <row r="233" spans="1:5" x14ac:dyDescent="0.2">
      <c r="A233" s="140"/>
      <c r="B233" s="144"/>
      <c r="C233" s="142"/>
      <c r="D233" s="143"/>
      <c r="E233" s="143"/>
    </row>
    <row r="234" spans="1:5" x14ac:dyDescent="0.2">
      <c r="A234" s="140"/>
      <c r="B234" s="144"/>
      <c r="C234" s="142"/>
      <c r="D234" s="143"/>
      <c r="E234" s="143"/>
    </row>
    <row r="235" spans="1:5" x14ac:dyDescent="0.2">
      <c r="A235" s="140"/>
      <c r="B235" s="144"/>
      <c r="C235" s="142"/>
      <c r="D235" s="143"/>
      <c r="E235" s="143"/>
    </row>
    <row r="236" spans="1:5" x14ac:dyDescent="0.2">
      <c r="A236" s="140"/>
      <c r="B236" s="144"/>
      <c r="C236" s="142"/>
      <c r="D236" s="143"/>
      <c r="E236" s="143"/>
    </row>
    <row r="237" spans="1:5" x14ac:dyDescent="0.2">
      <c r="A237" s="140"/>
      <c r="B237" s="144"/>
      <c r="C237" s="142"/>
      <c r="D237" s="143"/>
      <c r="E237" s="143"/>
    </row>
    <row r="238" spans="1:5" x14ac:dyDescent="0.2">
      <c r="A238" s="140"/>
      <c r="B238" s="144"/>
      <c r="C238" s="142"/>
      <c r="D238" s="143"/>
      <c r="E238" s="143"/>
    </row>
    <row r="239" spans="1:5" x14ac:dyDescent="0.2">
      <c r="A239" s="140"/>
      <c r="B239" s="144"/>
      <c r="C239" s="142"/>
      <c r="D239" s="143"/>
      <c r="E239" s="143"/>
    </row>
    <row r="240" spans="1:5" x14ac:dyDescent="0.2">
      <c r="A240" s="140"/>
      <c r="B240" s="144"/>
      <c r="C240" s="142"/>
      <c r="D240" s="143"/>
      <c r="E240" s="143"/>
    </row>
    <row r="241" spans="1:5" x14ac:dyDescent="0.2">
      <c r="A241" s="140"/>
      <c r="B241" s="144"/>
      <c r="C241" s="142"/>
      <c r="D241" s="143"/>
      <c r="E241" s="143"/>
    </row>
    <row r="242" spans="1:5" x14ac:dyDescent="0.2">
      <c r="A242" s="140"/>
      <c r="B242" s="144"/>
      <c r="C242" s="142"/>
      <c r="D242" s="143"/>
      <c r="E242" s="143"/>
    </row>
    <row r="243" spans="1:5" x14ac:dyDescent="0.2">
      <c r="A243" s="140"/>
      <c r="B243" s="144"/>
      <c r="C243" s="142"/>
      <c r="D243" s="143"/>
      <c r="E243" s="143"/>
    </row>
    <row r="244" spans="1:5" x14ac:dyDescent="0.2">
      <c r="A244" s="140"/>
      <c r="B244" s="144"/>
      <c r="C244" s="142"/>
      <c r="D244" s="143"/>
      <c r="E244" s="143"/>
    </row>
    <row r="245" spans="1:5" x14ac:dyDescent="0.2">
      <c r="A245" s="140"/>
      <c r="B245" s="144"/>
      <c r="C245" s="142"/>
      <c r="D245" s="143"/>
      <c r="E245" s="143"/>
    </row>
    <row r="246" spans="1:5" x14ac:dyDescent="0.2">
      <c r="A246" s="140"/>
      <c r="B246" s="144"/>
      <c r="C246" s="142"/>
      <c r="D246" s="143"/>
      <c r="E246" s="143"/>
    </row>
    <row r="247" spans="1:5" x14ac:dyDescent="0.2">
      <c r="A247" s="140"/>
      <c r="B247" s="144"/>
      <c r="C247" s="142"/>
      <c r="D247" s="143"/>
      <c r="E247" s="143"/>
    </row>
    <row r="248" spans="1:5" x14ac:dyDescent="0.2">
      <c r="A248" s="140"/>
      <c r="B248" s="144"/>
      <c r="C248" s="142"/>
      <c r="D248" s="143"/>
      <c r="E248" s="143"/>
    </row>
    <row r="249" spans="1:5" x14ac:dyDescent="0.2">
      <c r="A249" s="140"/>
      <c r="B249" s="144"/>
      <c r="C249" s="142"/>
      <c r="D249" s="143"/>
      <c r="E249" s="143"/>
    </row>
    <row r="250" spans="1:5" x14ac:dyDescent="0.2">
      <c r="A250" s="140"/>
      <c r="B250" s="144"/>
      <c r="C250" s="142"/>
      <c r="D250" s="143"/>
      <c r="E250" s="143"/>
    </row>
    <row r="251" spans="1:5" x14ac:dyDescent="0.2">
      <c r="A251" s="140"/>
      <c r="B251" s="144"/>
      <c r="C251" s="142"/>
      <c r="D251" s="143"/>
      <c r="E251" s="143"/>
    </row>
    <row r="252" spans="1:5" x14ac:dyDescent="0.2">
      <c r="A252" s="140"/>
      <c r="B252" s="144"/>
      <c r="C252" s="142"/>
      <c r="D252" s="143"/>
      <c r="E252" s="143"/>
    </row>
    <row r="253" spans="1:5" x14ac:dyDescent="0.2">
      <c r="A253" s="140"/>
      <c r="B253" s="144"/>
      <c r="C253" s="142"/>
      <c r="D253" s="143"/>
      <c r="E253" s="143"/>
    </row>
    <row r="254" spans="1:5" x14ac:dyDescent="0.2">
      <c r="A254" s="140"/>
      <c r="B254" s="144"/>
      <c r="C254" s="142"/>
      <c r="D254" s="143"/>
      <c r="E254" s="143"/>
    </row>
    <row r="255" spans="1:5" x14ac:dyDescent="0.2">
      <c r="A255" s="140"/>
      <c r="B255" s="144"/>
      <c r="C255" s="142"/>
      <c r="D255" s="143"/>
      <c r="E255" s="143"/>
    </row>
    <row r="256" spans="1:5" x14ac:dyDescent="0.2">
      <c r="A256" s="140"/>
      <c r="B256" s="144"/>
      <c r="C256" s="142"/>
      <c r="D256" s="143"/>
      <c r="E256" s="143"/>
    </row>
    <row r="257" spans="1:5" x14ac:dyDescent="0.2">
      <c r="A257" s="140"/>
      <c r="B257" s="144"/>
      <c r="C257" s="142"/>
      <c r="D257" s="143"/>
      <c r="E257" s="143"/>
    </row>
    <row r="258" spans="1:5" x14ac:dyDescent="0.2">
      <c r="A258" s="140"/>
      <c r="B258" s="144"/>
      <c r="C258" s="142"/>
      <c r="D258" s="143"/>
      <c r="E258" s="143"/>
    </row>
    <row r="259" spans="1:5" x14ac:dyDescent="0.2">
      <c r="A259" s="140"/>
      <c r="B259" s="144"/>
      <c r="C259" s="142"/>
      <c r="D259" s="143"/>
      <c r="E259" s="143"/>
    </row>
    <row r="260" spans="1:5" x14ac:dyDescent="0.2">
      <c r="A260" s="140"/>
      <c r="B260" s="144"/>
      <c r="C260" s="142"/>
      <c r="D260" s="143"/>
      <c r="E260" s="143"/>
    </row>
    <row r="261" spans="1:5" x14ac:dyDescent="0.2">
      <c r="A261" s="140"/>
      <c r="B261" s="144"/>
      <c r="C261" s="142"/>
      <c r="D261" s="143"/>
      <c r="E261" s="143"/>
    </row>
    <row r="262" spans="1:5" x14ac:dyDescent="0.2">
      <c r="A262" s="140"/>
      <c r="B262" s="144"/>
      <c r="C262" s="142"/>
      <c r="D262" s="143"/>
      <c r="E262" s="143"/>
    </row>
    <row r="263" spans="1:5" x14ac:dyDescent="0.2">
      <c r="A263" s="140"/>
      <c r="B263" s="144"/>
      <c r="C263" s="142"/>
      <c r="D263" s="143"/>
      <c r="E263" s="143"/>
    </row>
    <row r="264" spans="1:5" x14ac:dyDescent="0.2">
      <c r="A264" s="140"/>
      <c r="B264" s="144"/>
      <c r="C264" s="142"/>
      <c r="D264" s="143"/>
      <c r="E264" s="143"/>
    </row>
    <row r="265" spans="1:5" x14ac:dyDescent="0.2">
      <c r="A265" s="140"/>
      <c r="B265" s="144"/>
      <c r="C265" s="142"/>
      <c r="D265" s="143"/>
      <c r="E265" s="143"/>
    </row>
    <row r="266" spans="1:5" x14ac:dyDescent="0.2">
      <c r="A266" s="140"/>
      <c r="B266" s="144"/>
      <c r="C266" s="142"/>
      <c r="D266" s="143"/>
      <c r="E266" s="143"/>
    </row>
    <row r="267" spans="1:5" x14ac:dyDescent="0.2">
      <c r="A267" s="140"/>
      <c r="B267" s="144"/>
      <c r="C267" s="142"/>
      <c r="D267" s="143"/>
      <c r="E267" s="143"/>
    </row>
    <row r="268" spans="1:5" x14ac:dyDescent="0.2">
      <c r="A268" s="140"/>
      <c r="B268" s="144"/>
      <c r="C268" s="142"/>
      <c r="D268" s="143"/>
      <c r="E268" s="143"/>
    </row>
    <row r="269" spans="1:5" x14ac:dyDescent="0.2">
      <c r="A269" s="140"/>
      <c r="B269" s="144"/>
      <c r="C269" s="142"/>
      <c r="D269" s="143"/>
      <c r="E269" s="143"/>
    </row>
    <row r="270" spans="1:5" x14ac:dyDescent="0.2">
      <c r="A270" s="140"/>
      <c r="B270" s="144"/>
      <c r="C270" s="142"/>
      <c r="D270" s="143"/>
      <c r="E270" s="143"/>
    </row>
    <row r="271" spans="1:5" x14ac:dyDescent="0.2">
      <c r="A271" s="140"/>
      <c r="B271" s="144"/>
      <c r="C271" s="142"/>
      <c r="D271" s="143"/>
      <c r="E271" s="143"/>
    </row>
    <row r="272" spans="1:5" x14ac:dyDescent="0.2">
      <c r="A272" s="140"/>
      <c r="B272" s="144"/>
      <c r="C272" s="142"/>
      <c r="D272" s="143"/>
      <c r="E272" s="143"/>
    </row>
    <row r="273" spans="1:5" x14ac:dyDescent="0.2">
      <c r="A273" s="140"/>
      <c r="B273" s="144"/>
      <c r="C273" s="142"/>
      <c r="D273" s="143"/>
      <c r="E273" s="143"/>
    </row>
    <row r="274" spans="1:5" x14ac:dyDescent="0.2">
      <c r="A274" s="140"/>
      <c r="B274" s="144"/>
      <c r="C274" s="142"/>
      <c r="D274" s="143"/>
      <c r="E274" s="143"/>
    </row>
    <row r="275" spans="1:5" x14ac:dyDescent="0.2">
      <c r="A275" s="140"/>
      <c r="B275" s="144"/>
      <c r="C275" s="142"/>
      <c r="D275" s="143"/>
      <c r="E275" s="143"/>
    </row>
    <row r="276" spans="1:5" x14ac:dyDescent="0.2">
      <c r="A276" s="140"/>
      <c r="B276" s="144"/>
      <c r="C276" s="142"/>
      <c r="D276" s="143"/>
      <c r="E276" s="143"/>
    </row>
    <row r="277" spans="1:5" x14ac:dyDescent="0.2">
      <c r="A277" s="140"/>
      <c r="B277" s="144"/>
      <c r="C277" s="142"/>
      <c r="D277" s="143"/>
      <c r="E277" s="143"/>
    </row>
    <row r="278" spans="1:5" x14ac:dyDescent="0.2">
      <c r="A278" s="140"/>
      <c r="B278" s="144"/>
      <c r="C278" s="142"/>
      <c r="D278" s="143"/>
      <c r="E278" s="143"/>
    </row>
    <row r="279" spans="1:5" x14ac:dyDescent="0.2">
      <c r="A279" s="140"/>
      <c r="B279" s="144"/>
      <c r="C279" s="142"/>
      <c r="D279" s="143"/>
      <c r="E279" s="143"/>
    </row>
    <row r="280" spans="1:5" x14ac:dyDescent="0.2">
      <c r="A280" s="140"/>
      <c r="B280" s="144"/>
      <c r="C280" s="142"/>
      <c r="D280" s="143"/>
      <c r="E280" s="143"/>
    </row>
    <row r="281" spans="1:5" x14ac:dyDescent="0.2">
      <c r="A281" s="140"/>
      <c r="B281" s="144"/>
      <c r="C281" s="142"/>
      <c r="D281" s="143"/>
      <c r="E281" s="143"/>
    </row>
    <row r="282" spans="1:5" x14ac:dyDescent="0.2">
      <c r="A282" s="140"/>
      <c r="B282" s="144"/>
      <c r="C282" s="142"/>
      <c r="D282" s="143"/>
      <c r="E282" s="143"/>
    </row>
    <row r="283" spans="1:5" x14ac:dyDescent="0.2">
      <c r="A283" s="140"/>
      <c r="B283" s="144"/>
      <c r="C283" s="142"/>
      <c r="D283" s="143"/>
      <c r="E283" s="143"/>
    </row>
    <row r="284" spans="1:5" x14ac:dyDescent="0.2">
      <c r="A284" s="140"/>
      <c r="B284" s="144"/>
      <c r="C284" s="142"/>
      <c r="D284" s="143"/>
      <c r="E284" s="143"/>
    </row>
    <row r="285" spans="1:5" x14ac:dyDescent="0.2">
      <c r="A285" s="140"/>
      <c r="B285" s="144"/>
      <c r="C285" s="142"/>
      <c r="D285" s="143"/>
      <c r="E285" s="143"/>
    </row>
    <row r="286" spans="1:5" x14ac:dyDescent="0.2">
      <c r="A286" s="140"/>
      <c r="B286" s="144"/>
      <c r="C286" s="142"/>
      <c r="D286" s="143"/>
      <c r="E286" s="143"/>
    </row>
    <row r="287" spans="1:5" x14ac:dyDescent="0.2">
      <c r="A287" s="140"/>
      <c r="B287" s="144"/>
      <c r="C287" s="142"/>
      <c r="D287" s="143"/>
      <c r="E287" s="143"/>
    </row>
    <row r="288" spans="1:5" x14ac:dyDescent="0.2">
      <c r="A288" s="140"/>
      <c r="B288" s="144"/>
      <c r="C288" s="142"/>
      <c r="D288" s="143"/>
      <c r="E288" s="143"/>
    </row>
    <row r="289" spans="1:5" x14ac:dyDescent="0.2">
      <c r="A289" s="140"/>
      <c r="B289" s="144"/>
      <c r="C289" s="142"/>
      <c r="D289" s="143"/>
      <c r="E289" s="143"/>
    </row>
    <row r="290" spans="1:5" x14ac:dyDescent="0.2">
      <c r="A290" s="140"/>
      <c r="B290" s="144"/>
      <c r="C290" s="142"/>
      <c r="D290" s="143"/>
      <c r="E290" s="143"/>
    </row>
    <row r="291" spans="1:5" x14ac:dyDescent="0.2">
      <c r="A291" s="140"/>
      <c r="B291" s="144"/>
      <c r="C291" s="142"/>
      <c r="D291" s="143"/>
      <c r="E291" s="143"/>
    </row>
    <row r="292" spans="1:5" x14ac:dyDescent="0.2">
      <c r="A292" s="140"/>
      <c r="B292" s="144"/>
      <c r="C292" s="142"/>
      <c r="D292" s="143"/>
      <c r="E292" s="143"/>
    </row>
    <row r="293" spans="1:5" x14ac:dyDescent="0.2">
      <c r="A293" s="140"/>
      <c r="B293" s="144"/>
      <c r="C293" s="142"/>
      <c r="D293" s="143"/>
      <c r="E293" s="143"/>
    </row>
    <row r="294" spans="1:5" x14ac:dyDescent="0.2">
      <c r="A294" s="140"/>
      <c r="B294" s="144"/>
      <c r="C294" s="142"/>
      <c r="D294" s="143"/>
      <c r="E294" s="143"/>
    </row>
    <row r="295" spans="1:5" x14ac:dyDescent="0.2">
      <c r="A295" s="140"/>
      <c r="B295" s="144"/>
      <c r="C295" s="142"/>
      <c r="D295" s="143"/>
      <c r="E295" s="143"/>
    </row>
    <row r="296" spans="1:5" x14ac:dyDescent="0.2">
      <c r="A296" s="140"/>
      <c r="B296" s="144"/>
      <c r="C296" s="142"/>
      <c r="D296" s="143"/>
      <c r="E296" s="143"/>
    </row>
    <row r="297" spans="1:5" x14ac:dyDescent="0.2">
      <c r="A297" s="140"/>
      <c r="B297" s="144"/>
      <c r="C297" s="142"/>
      <c r="D297" s="143"/>
      <c r="E297" s="143"/>
    </row>
    <row r="298" spans="1:5" x14ac:dyDescent="0.2">
      <c r="A298" s="140"/>
      <c r="B298" s="144"/>
      <c r="C298" s="142"/>
      <c r="D298" s="143"/>
      <c r="E298" s="143"/>
    </row>
    <row r="299" spans="1:5" x14ac:dyDescent="0.2">
      <c r="A299" s="140"/>
      <c r="B299" s="144"/>
      <c r="C299" s="142"/>
      <c r="D299" s="143"/>
      <c r="E299" s="143"/>
    </row>
    <row r="300" spans="1:5" x14ac:dyDescent="0.2">
      <c r="A300" s="140"/>
      <c r="B300" s="144"/>
      <c r="C300" s="142"/>
      <c r="D300" s="143"/>
      <c r="E300" s="143"/>
    </row>
    <row r="301" spans="1:5" x14ac:dyDescent="0.2">
      <c r="A301" s="140"/>
      <c r="B301" s="144"/>
      <c r="C301" s="142"/>
      <c r="D301" s="143"/>
      <c r="E301" s="143"/>
    </row>
    <row r="302" spans="1:5" x14ac:dyDescent="0.2">
      <c r="A302" s="140"/>
      <c r="B302" s="144"/>
      <c r="C302" s="142"/>
      <c r="D302" s="143"/>
      <c r="E302" s="143"/>
    </row>
    <row r="303" spans="1:5" x14ac:dyDescent="0.2">
      <c r="A303" s="140"/>
      <c r="B303" s="144"/>
      <c r="C303" s="142"/>
      <c r="D303" s="143"/>
      <c r="E303" s="143"/>
    </row>
    <row r="304" spans="1:5" x14ac:dyDescent="0.2">
      <c r="A304" s="140"/>
      <c r="B304" s="144"/>
      <c r="C304" s="142"/>
      <c r="D304" s="143"/>
      <c r="E304" s="143"/>
    </row>
    <row r="305" spans="1:5" x14ac:dyDescent="0.2">
      <c r="A305" s="140"/>
      <c r="B305" s="144"/>
      <c r="C305" s="142"/>
      <c r="D305" s="143"/>
      <c r="E305" s="143"/>
    </row>
    <row r="306" spans="1:5" x14ac:dyDescent="0.2">
      <c r="A306" s="140"/>
      <c r="B306" s="144"/>
      <c r="C306" s="142"/>
      <c r="D306" s="143"/>
      <c r="E306" s="143"/>
    </row>
    <row r="307" spans="1:5" x14ac:dyDescent="0.2">
      <c r="A307" s="140"/>
      <c r="B307" s="144"/>
      <c r="C307" s="142"/>
      <c r="D307" s="143"/>
      <c r="E307" s="143"/>
    </row>
    <row r="308" spans="1:5" x14ac:dyDescent="0.2">
      <c r="A308" s="140"/>
      <c r="B308" s="144"/>
      <c r="C308" s="142"/>
      <c r="D308" s="143"/>
      <c r="E308" s="143"/>
    </row>
    <row r="309" spans="1:5" x14ac:dyDescent="0.2">
      <c r="A309" s="140"/>
      <c r="B309" s="144"/>
      <c r="C309" s="142"/>
      <c r="D309" s="143"/>
      <c r="E309" s="143"/>
    </row>
    <row r="310" spans="1:5" x14ac:dyDescent="0.2">
      <c r="A310" s="140"/>
      <c r="B310" s="144"/>
      <c r="C310" s="142"/>
      <c r="D310" s="143"/>
      <c r="E310" s="143"/>
    </row>
    <row r="311" spans="1:5" x14ac:dyDescent="0.2">
      <c r="A311" s="140"/>
      <c r="B311" s="144"/>
      <c r="C311" s="142"/>
      <c r="D311" s="143"/>
      <c r="E311" s="143"/>
    </row>
    <row r="312" spans="1:5" x14ac:dyDescent="0.2">
      <c r="A312" s="140"/>
      <c r="B312" s="144"/>
      <c r="C312" s="142"/>
      <c r="D312" s="143"/>
      <c r="E312" s="143"/>
    </row>
    <row r="313" spans="1:5" x14ac:dyDescent="0.2">
      <c r="A313" s="140"/>
      <c r="B313" s="144"/>
      <c r="C313" s="142"/>
      <c r="D313" s="143"/>
      <c r="E313" s="143"/>
    </row>
    <row r="314" spans="1:5" x14ac:dyDescent="0.2">
      <c r="A314" s="140"/>
      <c r="B314" s="144"/>
      <c r="C314" s="142"/>
      <c r="D314" s="143"/>
      <c r="E314" s="143"/>
    </row>
    <row r="315" spans="1:5" x14ac:dyDescent="0.2">
      <c r="A315" s="140"/>
      <c r="B315" s="144"/>
      <c r="C315" s="142"/>
      <c r="D315" s="143"/>
      <c r="E315" s="143"/>
    </row>
    <row r="316" spans="1:5" x14ac:dyDescent="0.2">
      <c r="A316" s="140"/>
      <c r="B316" s="144"/>
      <c r="C316" s="142"/>
      <c r="D316" s="143"/>
      <c r="E316" s="143"/>
    </row>
    <row r="317" spans="1:5" x14ac:dyDescent="0.2">
      <c r="A317" s="140"/>
      <c r="B317" s="144"/>
      <c r="C317" s="142"/>
      <c r="D317" s="143"/>
      <c r="E317" s="143"/>
    </row>
    <row r="318" spans="1:5" x14ac:dyDescent="0.2">
      <c r="A318" s="140"/>
      <c r="B318" s="144"/>
      <c r="C318" s="142"/>
      <c r="D318" s="143"/>
      <c r="E318" s="143"/>
    </row>
    <row r="319" spans="1:5" x14ac:dyDescent="0.2">
      <c r="A319" s="140"/>
      <c r="B319" s="144"/>
      <c r="C319" s="142"/>
      <c r="D319" s="143"/>
      <c r="E319" s="143"/>
    </row>
    <row r="320" spans="1:5" x14ac:dyDescent="0.2">
      <c r="A320" s="140"/>
      <c r="B320" s="144"/>
      <c r="C320" s="142"/>
      <c r="D320" s="143"/>
      <c r="E320" s="143"/>
    </row>
    <row r="321" spans="1:5" x14ac:dyDescent="0.2">
      <c r="A321" s="140"/>
      <c r="B321" s="144"/>
      <c r="C321" s="142"/>
      <c r="D321" s="143"/>
      <c r="E321" s="143"/>
    </row>
    <row r="322" spans="1:5" x14ac:dyDescent="0.2">
      <c r="A322" s="140"/>
      <c r="B322" s="144"/>
      <c r="C322" s="142"/>
      <c r="D322" s="143"/>
      <c r="E322" s="143"/>
    </row>
    <row r="323" spans="1:5" x14ac:dyDescent="0.2">
      <c r="A323" s="140"/>
      <c r="B323" s="144"/>
      <c r="C323" s="142"/>
      <c r="D323" s="143"/>
      <c r="E323" s="143"/>
    </row>
    <row r="324" spans="1:5" x14ac:dyDescent="0.2">
      <c r="A324" s="140"/>
      <c r="B324" s="144"/>
      <c r="C324" s="142"/>
      <c r="D324" s="143"/>
      <c r="E324" s="143"/>
    </row>
    <row r="325" spans="1:5" x14ac:dyDescent="0.2">
      <c r="A325" s="140"/>
      <c r="B325" s="144"/>
      <c r="C325" s="142"/>
      <c r="D325" s="143"/>
      <c r="E325" s="143"/>
    </row>
    <row r="326" spans="1:5" x14ac:dyDescent="0.2">
      <c r="A326" s="140"/>
      <c r="B326" s="144"/>
      <c r="C326" s="142"/>
      <c r="D326" s="143"/>
      <c r="E326" s="143"/>
    </row>
    <row r="327" spans="1:5" x14ac:dyDescent="0.2">
      <c r="A327" s="140"/>
      <c r="B327" s="144"/>
      <c r="C327" s="142"/>
      <c r="D327" s="143"/>
      <c r="E327" s="143"/>
    </row>
    <row r="328" spans="1:5" x14ac:dyDescent="0.2">
      <c r="A328" s="140"/>
      <c r="B328" s="144"/>
      <c r="C328" s="142"/>
      <c r="D328" s="143"/>
      <c r="E328" s="143"/>
    </row>
    <row r="329" spans="1:5" x14ac:dyDescent="0.2">
      <c r="A329" s="140"/>
      <c r="B329" s="144"/>
      <c r="C329" s="142"/>
      <c r="D329" s="143"/>
      <c r="E329" s="143"/>
    </row>
    <row r="330" spans="1:5" x14ac:dyDescent="0.2">
      <c r="A330" s="140"/>
      <c r="B330" s="144"/>
      <c r="C330" s="142"/>
      <c r="D330" s="143"/>
      <c r="E330" s="143"/>
    </row>
    <row r="331" spans="1:5" x14ac:dyDescent="0.2">
      <c r="A331" s="140"/>
      <c r="B331" s="144"/>
      <c r="C331" s="142"/>
      <c r="D331" s="143"/>
      <c r="E331" s="143"/>
    </row>
    <row r="332" spans="1:5" x14ac:dyDescent="0.2">
      <c r="A332" s="140"/>
      <c r="B332" s="144"/>
      <c r="C332" s="142"/>
      <c r="D332" s="143"/>
      <c r="E332" s="143"/>
    </row>
    <row r="333" spans="1:5" x14ac:dyDescent="0.2">
      <c r="A333" s="140"/>
      <c r="B333" s="144"/>
      <c r="C333" s="142"/>
      <c r="D333" s="143"/>
      <c r="E333" s="143"/>
    </row>
    <row r="334" spans="1:5" x14ac:dyDescent="0.2">
      <c r="A334" s="140"/>
      <c r="B334" s="144"/>
      <c r="C334" s="142"/>
      <c r="D334" s="143"/>
      <c r="E334" s="143"/>
    </row>
    <row r="335" spans="1:5" x14ac:dyDescent="0.2">
      <c r="A335" s="140"/>
      <c r="B335" s="144"/>
      <c r="C335" s="142"/>
      <c r="D335" s="143"/>
      <c r="E335" s="143"/>
    </row>
    <row r="336" spans="1:5" x14ac:dyDescent="0.2">
      <c r="A336" s="140"/>
      <c r="B336" s="144"/>
      <c r="C336" s="142"/>
      <c r="D336" s="143"/>
      <c r="E336" s="143"/>
    </row>
    <row r="337" spans="1:5" x14ac:dyDescent="0.2">
      <c r="A337" s="140"/>
      <c r="B337" s="144"/>
      <c r="C337" s="142"/>
      <c r="D337" s="143"/>
      <c r="E337" s="143"/>
    </row>
    <row r="338" spans="1:5" x14ac:dyDescent="0.2">
      <c r="A338" s="140"/>
      <c r="B338" s="144"/>
      <c r="C338" s="142"/>
      <c r="D338" s="143"/>
      <c r="E338" s="143"/>
    </row>
    <row r="339" spans="1:5" x14ac:dyDescent="0.2">
      <c r="A339" s="140"/>
      <c r="B339" s="144"/>
      <c r="C339" s="142"/>
      <c r="D339" s="143"/>
      <c r="E339" s="143"/>
    </row>
    <row r="340" spans="1:5" x14ac:dyDescent="0.2">
      <c r="A340" s="140"/>
      <c r="B340" s="144"/>
      <c r="C340" s="142"/>
      <c r="D340" s="143"/>
      <c r="E340" s="143"/>
    </row>
    <row r="341" spans="1:5" x14ac:dyDescent="0.2">
      <c r="A341" s="140"/>
      <c r="B341" s="144"/>
      <c r="C341" s="142"/>
      <c r="D341" s="143"/>
      <c r="E341" s="143"/>
    </row>
    <row r="342" spans="1:5" x14ac:dyDescent="0.2">
      <c r="A342" s="140"/>
      <c r="B342" s="144"/>
      <c r="C342" s="142"/>
      <c r="D342" s="143"/>
      <c r="E342" s="143"/>
    </row>
    <row r="343" spans="1:5" x14ac:dyDescent="0.2">
      <c r="A343" s="140"/>
      <c r="B343" s="144"/>
      <c r="C343" s="142"/>
      <c r="D343" s="143"/>
      <c r="E343" s="143"/>
    </row>
    <row r="344" spans="1:5" x14ac:dyDescent="0.2">
      <c r="A344" s="140"/>
      <c r="B344" s="144"/>
      <c r="C344" s="142"/>
      <c r="D344" s="143"/>
      <c r="E344" s="143"/>
    </row>
    <row r="345" spans="1:5" x14ac:dyDescent="0.2">
      <c r="A345" s="140"/>
      <c r="B345" s="144"/>
      <c r="C345" s="142"/>
      <c r="D345" s="143"/>
      <c r="E345" s="143"/>
    </row>
    <row r="346" spans="1:5" x14ac:dyDescent="0.2">
      <c r="A346" s="140"/>
      <c r="B346" s="144"/>
      <c r="C346" s="142"/>
      <c r="D346" s="143"/>
      <c r="E346" s="143"/>
    </row>
    <row r="347" spans="1:5" x14ac:dyDescent="0.2">
      <c r="A347" s="140"/>
      <c r="B347" s="144"/>
      <c r="C347" s="142"/>
      <c r="D347" s="143"/>
      <c r="E347" s="143"/>
    </row>
    <row r="348" spans="1:5" x14ac:dyDescent="0.2">
      <c r="A348" s="140"/>
      <c r="B348" s="144"/>
      <c r="C348" s="142"/>
      <c r="D348" s="143"/>
      <c r="E348" s="143"/>
    </row>
    <row r="349" spans="1:5" x14ac:dyDescent="0.2">
      <c r="A349" s="140"/>
      <c r="B349" s="144"/>
      <c r="C349" s="142"/>
      <c r="D349" s="143"/>
      <c r="E349" s="143"/>
    </row>
    <row r="350" spans="1:5" x14ac:dyDescent="0.2">
      <c r="A350" s="140"/>
      <c r="B350" s="144"/>
      <c r="C350" s="142"/>
      <c r="D350" s="143"/>
      <c r="E350" s="143"/>
    </row>
    <row r="351" spans="1:5" x14ac:dyDescent="0.2">
      <c r="A351" s="140"/>
      <c r="B351" s="144"/>
      <c r="C351" s="142"/>
      <c r="D351" s="143"/>
      <c r="E351" s="143"/>
    </row>
    <row r="352" spans="1:5" x14ac:dyDescent="0.2">
      <c r="A352" s="140"/>
      <c r="B352" s="144"/>
      <c r="C352" s="142"/>
      <c r="D352" s="143"/>
      <c r="E352" s="143"/>
    </row>
    <row r="353" spans="1:5" x14ac:dyDescent="0.2">
      <c r="A353" s="140"/>
      <c r="B353" s="144"/>
      <c r="C353" s="142"/>
      <c r="D353" s="143"/>
      <c r="E353" s="143"/>
    </row>
    <row r="354" spans="1:5" x14ac:dyDescent="0.2">
      <c r="A354" s="140"/>
      <c r="B354" s="144"/>
      <c r="C354" s="142"/>
      <c r="D354" s="143"/>
      <c r="E354" s="143"/>
    </row>
    <row r="355" spans="1:5" x14ac:dyDescent="0.2">
      <c r="A355" s="140"/>
      <c r="B355" s="144"/>
      <c r="C355" s="142"/>
      <c r="D355" s="143"/>
      <c r="E355" s="143"/>
    </row>
    <row r="356" spans="1:5" x14ac:dyDescent="0.2">
      <c r="A356" s="140"/>
      <c r="B356" s="144"/>
      <c r="C356" s="142"/>
      <c r="D356" s="143"/>
      <c r="E356" s="143"/>
    </row>
    <row r="357" spans="1:5" x14ac:dyDescent="0.2">
      <c r="A357" s="140"/>
      <c r="B357" s="144"/>
      <c r="C357" s="142"/>
      <c r="D357" s="143"/>
      <c r="E357" s="143"/>
    </row>
    <row r="358" spans="1:5" x14ac:dyDescent="0.2">
      <c r="A358" s="140"/>
      <c r="B358" s="144"/>
      <c r="C358" s="142"/>
      <c r="D358" s="143"/>
      <c r="E358" s="143"/>
    </row>
    <row r="359" spans="1:5" x14ac:dyDescent="0.2">
      <c r="A359" s="140"/>
      <c r="B359" s="144"/>
      <c r="C359" s="142"/>
      <c r="D359" s="143"/>
      <c r="E359" s="143"/>
    </row>
    <row r="360" spans="1:5" x14ac:dyDescent="0.2">
      <c r="A360" s="140"/>
      <c r="B360" s="144"/>
      <c r="C360" s="142"/>
      <c r="D360" s="143"/>
      <c r="E360" s="143"/>
    </row>
    <row r="361" spans="1:5" x14ac:dyDescent="0.2">
      <c r="A361" s="140"/>
      <c r="B361" s="144"/>
      <c r="C361" s="142"/>
      <c r="D361" s="143"/>
      <c r="E361" s="143"/>
    </row>
    <row r="362" spans="1:5" x14ac:dyDescent="0.2">
      <c r="A362" s="140"/>
      <c r="B362" s="144"/>
      <c r="C362" s="142"/>
      <c r="D362" s="143"/>
      <c r="E362" s="143"/>
    </row>
    <row r="363" spans="1:5" x14ac:dyDescent="0.2">
      <c r="A363" s="140"/>
      <c r="B363" s="144"/>
      <c r="C363" s="142"/>
      <c r="D363" s="143"/>
      <c r="E363" s="143"/>
    </row>
    <row r="364" spans="1:5" x14ac:dyDescent="0.2">
      <c r="A364" s="140"/>
      <c r="B364" s="144"/>
      <c r="C364" s="142"/>
      <c r="D364" s="143"/>
      <c r="E364" s="143"/>
    </row>
    <row r="365" spans="1:5" x14ac:dyDescent="0.2">
      <c r="A365" s="140"/>
      <c r="B365" s="144"/>
      <c r="C365" s="142"/>
      <c r="D365" s="143"/>
      <c r="E365" s="143"/>
    </row>
    <row r="366" spans="1:5" x14ac:dyDescent="0.2">
      <c r="A366" s="140"/>
      <c r="B366" s="144"/>
      <c r="C366" s="142"/>
      <c r="D366" s="143"/>
      <c r="E366" s="143"/>
    </row>
    <row r="367" spans="1:5" x14ac:dyDescent="0.2">
      <c r="A367" s="140"/>
      <c r="B367" s="144"/>
      <c r="C367" s="142"/>
      <c r="D367" s="143"/>
      <c r="E367" s="143"/>
    </row>
    <row r="368" spans="1:5" x14ac:dyDescent="0.2">
      <c r="A368" s="140"/>
      <c r="B368" s="144"/>
      <c r="C368" s="142"/>
      <c r="D368" s="143"/>
      <c r="E368" s="143"/>
    </row>
    <row r="369" spans="1:5" x14ac:dyDescent="0.2">
      <c r="A369" s="140"/>
      <c r="B369" s="144"/>
      <c r="C369" s="142"/>
      <c r="D369" s="143"/>
      <c r="E369" s="143"/>
    </row>
    <row r="370" spans="1:5" x14ac:dyDescent="0.2">
      <c r="A370" s="140"/>
      <c r="B370" s="144"/>
      <c r="C370" s="142"/>
      <c r="D370" s="143"/>
      <c r="E370" s="143"/>
    </row>
    <row r="371" spans="1:5" x14ac:dyDescent="0.2">
      <c r="A371" s="140"/>
      <c r="B371" s="144"/>
      <c r="C371" s="142"/>
      <c r="D371" s="143"/>
      <c r="E371" s="143"/>
    </row>
    <row r="372" spans="1:5" x14ac:dyDescent="0.2">
      <c r="A372" s="140"/>
      <c r="B372" s="144"/>
      <c r="C372" s="142"/>
      <c r="D372" s="143"/>
      <c r="E372" s="143"/>
    </row>
    <row r="373" spans="1:5" x14ac:dyDescent="0.2">
      <c r="A373" s="140"/>
      <c r="B373" s="144"/>
      <c r="C373" s="142"/>
      <c r="D373" s="143"/>
      <c r="E373" s="143"/>
    </row>
    <row r="374" spans="1:5" x14ac:dyDescent="0.2">
      <c r="A374" s="140"/>
      <c r="B374" s="144"/>
      <c r="C374" s="142"/>
      <c r="D374" s="143"/>
      <c r="E374" s="143"/>
    </row>
    <row r="375" spans="1:5" x14ac:dyDescent="0.2">
      <c r="A375" s="140"/>
      <c r="B375" s="144"/>
      <c r="C375" s="142"/>
      <c r="D375" s="143"/>
      <c r="E375" s="143"/>
    </row>
    <row r="376" spans="1:5" x14ac:dyDescent="0.2">
      <c r="A376" s="140"/>
      <c r="B376" s="144"/>
      <c r="C376" s="142"/>
      <c r="D376" s="143"/>
      <c r="E376" s="143"/>
    </row>
    <row r="377" spans="1:5" x14ac:dyDescent="0.2">
      <c r="A377" s="140"/>
      <c r="B377" s="144"/>
      <c r="C377" s="142"/>
      <c r="D377" s="143"/>
      <c r="E377" s="143"/>
    </row>
    <row r="378" spans="1:5" x14ac:dyDescent="0.2">
      <c r="A378" s="140"/>
      <c r="B378" s="144"/>
      <c r="C378" s="142"/>
      <c r="D378" s="143"/>
      <c r="E378" s="143"/>
    </row>
    <row r="379" spans="1:5" x14ac:dyDescent="0.2">
      <c r="A379" s="140"/>
      <c r="B379" s="144"/>
      <c r="C379" s="142"/>
      <c r="D379" s="143"/>
      <c r="E379" s="143"/>
    </row>
    <row r="380" spans="1:5" x14ac:dyDescent="0.2">
      <c r="A380" s="140"/>
      <c r="B380" s="144"/>
      <c r="C380" s="142"/>
      <c r="D380" s="143"/>
      <c r="E380" s="143"/>
    </row>
    <row r="381" spans="1:5" x14ac:dyDescent="0.2">
      <c r="A381" s="140"/>
      <c r="B381" s="144"/>
      <c r="C381" s="142"/>
      <c r="D381" s="143"/>
      <c r="E381" s="143"/>
    </row>
    <row r="382" spans="1:5" x14ac:dyDescent="0.2">
      <c r="A382" s="140"/>
      <c r="B382" s="144"/>
      <c r="C382" s="142"/>
      <c r="D382" s="143"/>
      <c r="E382" s="143"/>
    </row>
    <row r="383" spans="1:5" x14ac:dyDescent="0.2">
      <c r="A383" s="140"/>
      <c r="B383" s="144"/>
      <c r="C383" s="142"/>
      <c r="D383" s="143"/>
      <c r="E383" s="143"/>
    </row>
    <row r="384" spans="1:5" x14ac:dyDescent="0.2">
      <c r="A384" s="140"/>
      <c r="B384" s="144"/>
      <c r="C384" s="142"/>
      <c r="D384" s="143"/>
      <c r="E384" s="143"/>
    </row>
    <row r="385" spans="1:5" x14ac:dyDescent="0.2">
      <c r="A385" s="140"/>
      <c r="B385" s="144"/>
      <c r="C385" s="142"/>
      <c r="D385" s="143"/>
      <c r="E385" s="143"/>
    </row>
    <row r="386" spans="1:5" x14ac:dyDescent="0.2">
      <c r="A386" s="140"/>
      <c r="B386" s="144"/>
      <c r="C386" s="142"/>
      <c r="D386" s="143"/>
      <c r="E386" s="143"/>
    </row>
    <row r="387" spans="1:5" x14ac:dyDescent="0.2">
      <c r="A387" s="140"/>
      <c r="B387" s="144"/>
      <c r="C387" s="142"/>
      <c r="D387" s="143"/>
      <c r="E387" s="143"/>
    </row>
    <row r="388" spans="1:5" x14ac:dyDescent="0.2">
      <c r="A388" s="140"/>
      <c r="B388" s="144"/>
      <c r="C388" s="142"/>
      <c r="D388" s="143"/>
      <c r="E388" s="143"/>
    </row>
    <row r="389" spans="1:5" x14ac:dyDescent="0.2">
      <c r="A389" s="140"/>
      <c r="B389" s="144"/>
      <c r="C389" s="142"/>
      <c r="D389" s="143"/>
      <c r="E389" s="143"/>
    </row>
    <row r="390" spans="1:5" x14ac:dyDescent="0.2">
      <c r="A390" s="140"/>
      <c r="B390" s="144"/>
      <c r="C390" s="142"/>
      <c r="D390" s="143"/>
      <c r="E390" s="143"/>
    </row>
    <row r="391" spans="1:5" x14ac:dyDescent="0.2">
      <c r="A391" s="140"/>
      <c r="B391" s="144"/>
      <c r="C391" s="142"/>
      <c r="D391" s="143"/>
      <c r="E391" s="143"/>
    </row>
    <row r="392" spans="1:5" x14ac:dyDescent="0.2">
      <c r="A392" s="140"/>
      <c r="B392" s="144"/>
      <c r="C392" s="142"/>
      <c r="D392" s="143"/>
      <c r="E392" s="143"/>
    </row>
    <row r="393" spans="1:5" x14ac:dyDescent="0.2">
      <c r="A393" s="140"/>
      <c r="B393" s="144"/>
      <c r="C393" s="142"/>
      <c r="D393" s="143"/>
      <c r="E393" s="143"/>
    </row>
    <row r="394" spans="1:5" x14ac:dyDescent="0.2">
      <c r="A394" s="140"/>
      <c r="B394" s="144"/>
      <c r="C394" s="142"/>
      <c r="D394" s="143"/>
      <c r="E394" s="143"/>
    </row>
    <row r="395" spans="1:5" x14ac:dyDescent="0.2">
      <c r="A395" s="140"/>
      <c r="B395" s="144"/>
      <c r="C395" s="142"/>
      <c r="D395" s="143"/>
      <c r="E395" s="143"/>
    </row>
    <row r="396" spans="1:5" x14ac:dyDescent="0.2">
      <c r="A396" s="140"/>
      <c r="B396" s="144"/>
      <c r="C396" s="142"/>
      <c r="D396" s="143"/>
      <c r="E396" s="143"/>
    </row>
    <row r="397" spans="1:5" x14ac:dyDescent="0.2">
      <c r="A397" s="140"/>
      <c r="B397" s="144"/>
      <c r="C397" s="142"/>
      <c r="D397" s="143"/>
      <c r="E397" s="143"/>
    </row>
    <row r="398" spans="1:5" x14ac:dyDescent="0.2">
      <c r="A398" s="140"/>
      <c r="B398" s="144"/>
      <c r="C398" s="142"/>
      <c r="D398" s="143"/>
      <c r="E398" s="143"/>
    </row>
    <row r="399" spans="1:5" x14ac:dyDescent="0.2">
      <c r="A399" s="140"/>
      <c r="B399" s="144"/>
      <c r="C399" s="142"/>
      <c r="D399" s="143"/>
      <c r="E399" s="143"/>
    </row>
    <row r="400" spans="1:5" x14ac:dyDescent="0.2">
      <c r="A400" s="140"/>
      <c r="B400" s="144"/>
      <c r="C400" s="142"/>
      <c r="D400" s="143"/>
      <c r="E400" s="143"/>
    </row>
    <row r="401" spans="1:5" x14ac:dyDescent="0.2">
      <c r="A401" s="140"/>
      <c r="B401" s="144"/>
      <c r="C401" s="142"/>
      <c r="D401" s="143"/>
      <c r="E401" s="143"/>
    </row>
    <row r="402" spans="1:5" x14ac:dyDescent="0.2">
      <c r="A402" s="140"/>
      <c r="B402" s="144"/>
      <c r="C402" s="142"/>
      <c r="D402" s="143"/>
      <c r="E402" s="143"/>
    </row>
    <row r="403" spans="1:5" x14ac:dyDescent="0.2">
      <c r="A403" s="140"/>
      <c r="B403" s="144"/>
      <c r="C403" s="142"/>
      <c r="D403" s="143"/>
      <c r="E403" s="143"/>
    </row>
    <row r="404" spans="1:5" x14ac:dyDescent="0.2">
      <c r="A404" s="140"/>
      <c r="B404" s="144"/>
      <c r="C404" s="142"/>
      <c r="D404" s="143"/>
      <c r="E404" s="143"/>
    </row>
    <row r="405" spans="1:5" x14ac:dyDescent="0.2">
      <c r="A405" s="140"/>
      <c r="B405" s="144"/>
      <c r="C405" s="142"/>
      <c r="D405" s="143"/>
      <c r="E405" s="143"/>
    </row>
    <row r="406" spans="1:5" x14ac:dyDescent="0.2">
      <c r="A406" s="140"/>
      <c r="B406" s="144"/>
      <c r="C406" s="142"/>
      <c r="D406" s="143"/>
      <c r="E406" s="143"/>
    </row>
    <row r="407" spans="1:5" x14ac:dyDescent="0.2">
      <c r="A407" s="140"/>
      <c r="B407" s="144"/>
      <c r="C407" s="142"/>
      <c r="D407" s="143"/>
      <c r="E407" s="143"/>
    </row>
    <row r="408" spans="1:5" x14ac:dyDescent="0.2">
      <c r="A408" s="140"/>
      <c r="B408" s="144"/>
      <c r="C408" s="142"/>
      <c r="D408" s="143"/>
      <c r="E408" s="143"/>
    </row>
    <row r="409" spans="1:5" x14ac:dyDescent="0.2">
      <c r="A409" s="140"/>
      <c r="B409" s="144"/>
      <c r="C409" s="142"/>
      <c r="D409" s="143"/>
      <c r="E409" s="143"/>
    </row>
    <row r="410" spans="1:5" x14ac:dyDescent="0.2">
      <c r="A410" s="140"/>
      <c r="B410" s="144"/>
      <c r="C410" s="142"/>
      <c r="D410" s="143"/>
      <c r="E410" s="143"/>
    </row>
    <row r="411" spans="1:5" x14ac:dyDescent="0.2">
      <c r="A411" s="140"/>
      <c r="B411" s="144"/>
      <c r="C411" s="142"/>
      <c r="D411" s="143"/>
      <c r="E411" s="143"/>
    </row>
    <row r="412" spans="1:5" x14ac:dyDescent="0.2">
      <c r="A412" s="140"/>
      <c r="B412" s="144"/>
      <c r="C412" s="142"/>
      <c r="D412" s="143"/>
      <c r="E412" s="143"/>
    </row>
    <row r="413" spans="1:5" x14ac:dyDescent="0.2">
      <c r="A413" s="140"/>
      <c r="B413" s="144"/>
      <c r="C413" s="142"/>
      <c r="D413" s="143"/>
      <c r="E413" s="143"/>
    </row>
    <row r="414" spans="1:5" x14ac:dyDescent="0.2">
      <c r="A414" s="140"/>
      <c r="B414" s="144"/>
      <c r="C414" s="142"/>
      <c r="D414" s="143"/>
      <c r="E414" s="143"/>
    </row>
    <row r="415" spans="1:5" x14ac:dyDescent="0.2">
      <c r="A415" s="140"/>
      <c r="B415" s="144"/>
      <c r="C415" s="142"/>
      <c r="D415" s="143"/>
      <c r="E415" s="143"/>
    </row>
    <row r="416" spans="1:5" x14ac:dyDescent="0.2">
      <c r="A416" s="140"/>
      <c r="B416" s="144"/>
      <c r="C416" s="142"/>
      <c r="D416" s="143"/>
      <c r="E416" s="143"/>
    </row>
    <row r="417" spans="1:5" x14ac:dyDescent="0.2">
      <c r="A417" s="140"/>
      <c r="B417" s="144"/>
      <c r="C417" s="142"/>
      <c r="D417" s="143"/>
      <c r="E417" s="143"/>
    </row>
    <row r="418" spans="1:5" x14ac:dyDescent="0.2">
      <c r="A418" s="140"/>
      <c r="B418" s="144"/>
      <c r="C418" s="142"/>
      <c r="D418" s="143"/>
      <c r="E418" s="143"/>
    </row>
    <row r="419" spans="1:5" x14ac:dyDescent="0.2">
      <c r="A419" s="140"/>
      <c r="B419" s="144"/>
      <c r="C419" s="142"/>
      <c r="D419" s="143"/>
      <c r="E419" s="143"/>
    </row>
  </sheetData>
  <sheetProtection algorithmName="SHA-512" hashValue="Z8Nr/e83KURcSMcprulyay8BpxE1z1FiSu+8sdgiBDRsx5BjrS1lcsCbf79y6/M4qjL89mvKqjR4SwyYGC7ydw==" saltValue="AtDLFPXS6E0jPdScTn3j5w==" spinCount="100000" sheet="1" selectLockedCells="1"/>
  <mergeCells count="1">
    <mergeCell ref="D4:E4"/>
  </mergeCells>
  <conditionalFormatting sqref="C5">
    <cfRule type="expression" dxfId="0" priority="1">
      <formula>$C$5="Balanced"</formula>
    </cfRule>
  </conditionalFormatting>
  <dataValidations count="1">
    <dataValidation type="list" allowBlank="1" showInputMessage="1" showErrorMessage="1" sqref="C9:C84" xr:uid="{8D1E048D-EE2A-4FCE-8216-D00FD301A44D}">
      <formula1>Account</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26A3-72B8-4B1F-8228-13465A0F9328}">
  <sheetPr codeName="Sheet6">
    <tabColor rgb="FF00B050"/>
  </sheetPr>
  <dimension ref="A1:BA156"/>
  <sheetViews>
    <sheetView showGridLines="0" topLeftCell="A69" zoomScaleNormal="100" workbookViewId="0">
      <selection activeCell="J97" sqref="J97"/>
    </sheetView>
  </sheetViews>
  <sheetFormatPr baseColWidth="10" defaultColWidth="8.83203125" defaultRowHeight="16" x14ac:dyDescent="0.2"/>
  <cols>
    <col min="1" max="1" width="22" customWidth="1"/>
    <col min="2" max="3" width="16.1640625" customWidth="1"/>
    <col min="4" max="4" width="22" customWidth="1"/>
    <col min="5" max="5" width="4.33203125" customWidth="1"/>
    <col min="6" max="38" width="9.5" customWidth="1"/>
    <col min="39" max="42" width="9.5" style="148" hidden="1" customWidth="1"/>
    <col min="43" max="44" width="9.5" style="193" hidden="1" customWidth="1"/>
    <col min="45" max="45" width="9.5" style="148" hidden="1" customWidth="1"/>
    <col min="46" max="48" width="8.6640625" style="148" hidden="1" customWidth="1"/>
    <col min="49" max="53" width="0" style="178" hidden="1" customWidth="1"/>
    <col min="54" max="64" width="0" hidden="1" customWidth="1"/>
  </cols>
  <sheetData>
    <row r="1" spans="1:51" x14ac:dyDescent="0.2">
      <c r="A1" s="3" t="s">
        <v>94</v>
      </c>
      <c r="AM1" s="149" t="s">
        <v>247</v>
      </c>
      <c r="AP1" s="172"/>
      <c r="AQ1" s="172"/>
      <c r="AR1" s="172" t="s">
        <v>22</v>
      </c>
      <c r="AV1" s="148" t="s">
        <v>248</v>
      </c>
    </row>
    <row r="2" spans="1:51" x14ac:dyDescent="0.2">
      <c r="AP2" s="176"/>
      <c r="AR2" s="194" t="str">
        <f>"2) LEDGER: "&amp;IF(AQ13=90,"One beginning balance was NOT entered correctly.",IF(AQ13&lt;100,"There were "&amp;10-AQ13/10&amp;" INCORRECT beginning balances.",IF(AQ13=100,"All beginning balances were entered correctly!")))</f>
        <v>2) LEDGER: All beginning balances were entered correctly!</v>
      </c>
    </row>
    <row r="3" spans="1:51" x14ac:dyDescent="0.2">
      <c r="AQ3" s="195"/>
      <c r="AR3" s="196" t="str">
        <f>"3) LEDGER: "&amp;AT18</f>
        <v>3) LEDGER: The T-Accounts were all used correctly.</v>
      </c>
    </row>
    <row r="4" spans="1:51" x14ac:dyDescent="0.2">
      <c r="AR4" s="196" t="str">
        <f>"4) LEDGER: "&amp;AU91</f>
        <v>4) LEDGER: All closing entries were performed correctly.</v>
      </c>
    </row>
    <row r="5" spans="1:51" x14ac:dyDescent="0.2">
      <c r="AR5" s="196"/>
    </row>
    <row r="6" spans="1:51" x14ac:dyDescent="0.2">
      <c r="AR6" s="196"/>
    </row>
    <row r="7" spans="1:51" x14ac:dyDescent="0.2">
      <c r="AR7" s="196"/>
    </row>
    <row r="8" spans="1:51" x14ac:dyDescent="0.2">
      <c r="AR8" s="196"/>
      <c r="AW8" s="179"/>
      <c r="AX8" s="179"/>
      <c r="AY8" s="179"/>
    </row>
    <row r="9" spans="1:51" ht="24" x14ac:dyDescent="0.3">
      <c r="A9" s="334" t="s">
        <v>30</v>
      </c>
      <c r="B9" s="334"/>
      <c r="C9" s="334"/>
      <c r="D9" s="334"/>
      <c r="AM9" s="197"/>
      <c r="AN9" s="197"/>
      <c r="AO9" s="197"/>
      <c r="AP9" s="197"/>
      <c r="AR9" s="198"/>
      <c r="AV9" s="199"/>
      <c r="AW9" s="179"/>
      <c r="AY9" s="179"/>
    </row>
    <row r="10" spans="1:51" x14ac:dyDescent="0.2">
      <c r="A10" s="27" t="s">
        <v>79</v>
      </c>
      <c r="B10" s="3"/>
      <c r="D10" s="27" t="s">
        <v>79</v>
      </c>
      <c r="AM10" s="150"/>
      <c r="AN10" s="149"/>
      <c r="AP10" s="150"/>
      <c r="AR10" s="198"/>
      <c r="AV10" s="199"/>
      <c r="AW10" s="179"/>
      <c r="AY10" s="179"/>
    </row>
    <row r="11" spans="1:51" ht="17" thickBot="1" x14ac:dyDescent="0.25">
      <c r="B11" s="337" t="s">
        <v>3</v>
      </c>
      <c r="C11" s="337"/>
      <c r="AN11" s="331" t="s">
        <v>3</v>
      </c>
      <c r="AO11" s="331"/>
      <c r="AR11" s="198"/>
      <c r="AV11" s="199"/>
      <c r="AW11" s="179"/>
      <c r="AY11" s="179"/>
    </row>
    <row r="12" spans="1:51" ht="17" thickTop="1" x14ac:dyDescent="0.2">
      <c r="A12" s="54" t="s">
        <v>104</v>
      </c>
      <c r="B12" s="138">
        <f>'Beg TB'!AN6</f>
        <v>189100</v>
      </c>
      <c r="C12" s="139"/>
      <c r="D12" s="135" t="s">
        <v>104</v>
      </c>
      <c r="AM12" s="172"/>
      <c r="AN12" s="200">
        <f>'Beg TB'!AN6</f>
        <v>189100</v>
      </c>
      <c r="AO12" s="200"/>
      <c r="AQ12" s="150" t="s">
        <v>122</v>
      </c>
      <c r="AR12" s="150" t="s">
        <v>131</v>
      </c>
      <c r="AS12" s="150" t="s">
        <v>230</v>
      </c>
      <c r="AT12" s="150" t="s">
        <v>235</v>
      </c>
      <c r="AW12" s="179"/>
      <c r="AX12" s="182"/>
      <c r="AY12" s="179"/>
    </row>
    <row r="13" spans="1:51" x14ac:dyDescent="0.2">
      <c r="A13" s="42" t="s">
        <v>159</v>
      </c>
      <c r="B13" s="33">
        <f>JEs!D18</f>
        <v>432100</v>
      </c>
      <c r="C13" s="49">
        <f>JEs!E10</f>
        <v>3660</v>
      </c>
      <c r="D13" s="40" t="s">
        <v>38</v>
      </c>
      <c r="AM13" s="193"/>
      <c r="AN13" s="200"/>
      <c r="AO13" s="200">
        <f>Trx!AN2</f>
        <v>3660</v>
      </c>
      <c r="AP13" s="193" t="s">
        <v>38</v>
      </c>
      <c r="AQ13" s="150">
        <f>SUM(AQ24:AQ85)</f>
        <v>100</v>
      </c>
      <c r="AR13" s="201">
        <f>'Steps &amp; Rubric'!B14/100</f>
        <v>0.02</v>
      </c>
      <c r="AS13" s="172">
        <f>AQ13*AR13</f>
        <v>2</v>
      </c>
      <c r="AT13" s="149">
        <f>AR13*100</f>
        <v>2</v>
      </c>
      <c r="AW13" s="179"/>
      <c r="AX13" s="179"/>
      <c r="AY13" s="179"/>
    </row>
    <row r="14" spans="1:51" x14ac:dyDescent="0.2">
      <c r="A14" s="42" t="s">
        <v>161</v>
      </c>
      <c r="B14" s="29">
        <f>JEs!D25</f>
        <v>302470</v>
      </c>
      <c r="C14" s="44">
        <f>JEs!E15</f>
        <v>181780</v>
      </c>
      <c r="D14" s="40" t="s">
        <v>40</v>
      </c>
      <c r="AM14" s="193" t="s">
        <v>159</v>
      </c>
      <c r="AN14" s="200">
        <f>Trx!AO9</f>
        <v>432100</v>
      </c>
      <c r="AO14" s="200"/>
      <c r="AP14" s="193"/>
      <c r="AQ14" s="202" t="s">
        <v>232</v>
      </c>
    </row>
    <row r="15" spans="1:51" x14ac:dyDescent="0.2">
      <c r="A15" s="42"/>
      <c r="B15" s="29"/>
      <c r="C15" s="44">
        <f>JEs!E24</f>
        <v>150240</v>
      </c>
      <c r="D15" s="40" t="s">
        <v>41</v>
      </c>
      <c r="AM15" s="193" t="s">
        <v>161</v>
      </c>
      <c r="AN15" s="200">
        <f>Trx!AN10</f>
        <v>302470</v>
      </c>
      <c r="AO15" s="200"/>
      <c r="AP15" s="193"/>
      <c r="AQ15" s="202">
        <v>10</v>
      </c>
      <c r="AR15" s="150" t="s">
        <v>234</v>
      </c>
      <c r="AS15" s="150" t="s">
        <v>131</v>
      </c>
      <c r="AT15" s="150" t="s">
        <v>230</v>
      </c>
      <c r="AU15" s="150" t="s">
        <v>235</v>
      </c>
    </row>
    <row r="16" spans="1:51" x14ac:dyDescent="0.2">
      <c r="A16" s="42"/>
      <c r="B16" s="29"/>
      <c r="C16" s="44">
        <f>JEs!E28</f>
        <v>177200</v>
      </c>
      <c r="D16" s="40" t="s">
        <v>42</v>
      </c>
      <c r="AM16" s="193"/>
      <c r="AN16" s="200"/>
      <c r="AO16" s="200">
        <f>0.5*AN46</f>
        <v>181780</v>
      </c>
      <c r="AP16" s="193" t="s">
        <v>40</v>
      </c>
      <c r="AR16" s="150">
        <f>SUM(AR21:AR157)</f>
        <v>100</v>
      </c>
      <c r="AS16" s="201">
        <f>'Steps &amp; Rubric'!B15/100</f>
        <v>0.03</v>
      </c>
      <c r="AT16" s="172">
        <f>AR16*AS16</f>
        <v>3</v>
      </c>
      <c r="AU16" s="149">
        <f>AS16*100</f>
        <v>3</v>
      </c>
    </row>
    <row r="17" spans="1:48" x14ac:dyDescent="0.2">
      <c r="A17" s="42"/>
      <c r="B17" s="29"/>
      <c r="C17" s="44"/>
      <c r="D17" s="40"/>
      <c r="AM17" s="193"/>
      <c r="AN17" s="200"/>
      <c r="AO17" s="200">
        <f>Trx!AO7</f>
        <v>150240</v>
      </c>
      <c r="AP17" s="193" t="s">
        <v>41</v>
      </c>
      <c r="AR17" s="202" t="s">
        <v>233</v>
      </c>
    </row>
    <row r="18" spans="1:48" x14ac:dyDescent="0.2">
      <c r="A18" s="42"/>
      <c r="B18" s="29"/>
      <c r="C18" s="44"/>
      <c r="D18" s="40"/>
      <c r="AM18" s="193"/>
      <c r="AN18" s="200"/>
      <c r="AO18" s="200">
        <f>Trx!AN12</f>
        <v>177200</v>
      </c>
      <c r="AP18" s="193" t="s">
        <v>42</v>
      </c>
      <c r="AR18" s="203">
        <f>100/16</f>
        <v>6.25</v>
      </c>
      <c r="AS18" s="150"/>
      <c r="AT18" s="204" t="str">
        <f>IF(OR(AR16=0,AR16=37.5),"NONE of the T-Accounts were used correctly.",IF(AR16&lt;100,"SOME of the T-Accounts were used correctly.","The T-Accounts were all used correctly."))</f>
        <v>The T-Accounts were all used correctly.</v>
      </c>
      <c r="AU18" s="150"/>
    </row>
    <row r="19" spans="1:48" x14ac:dyDescent="0.2">
      <c r="A19" s="42"/>
      <c r="B19" s="29"/>
      <c r="C19" s="44"/>
      <c r="D19" s="40"/>
      <c r="AM19" s="193"/>
      <c r="AN19" s="200"/>
      <c r="AO19" s="200"/>
      <c r="AP19" s="193"/>
      <c r="AR19" s="205"/>
      <c r="AS19" s="202"/>
    </row>
    <row r="20" spans="1:48" ht="17" thickBot="1" x14ac:dyDescent="0.25">
      <c r="A20" s="42"/>
      <c r="B20" s="45"/>
      <c r="C20" s="46"/>
      <c r="D20" s="40"/>
      <c r="AM20" s="193"/>
      <c r="AN20" s="200"/>
      <c r="AO20" s="200"/>
      <c r="AP20" s="193"/>
      <c r="AR20" s="205"/>
      <c r="AS20" s="202"/>
    </row>
    <row r="21" spans="1:48" ht="17" thickTop="1" x14ac:dyDescent="0.2">
      <c r="A21" s="135" t="s">
        <v>21</v>
      </c>
      <c r="B21" s="299">
        <f>IF(SUM(B12:B20)-SUM(C12:C20)&gt;=0,SUM(B12:B20)-SUM(C12:C20),"")</f>
        <v>410790</v>
      </c>
      <c r="C21" s="298" t="str">
        <f>IF(SUM(B12:B20)-SUM(C12:C20)&lt;0,-1*(SUM(B12:B20)-SUM(C12:C20)),"")</f>
        <v/>
      </c>
      <c r="D21" s="7"/>
      <c r="AM21" s="172"/>
      <c r="AN21" s="154">
        <f>SUM(AN12:AN20)-SUM(AO12:AO20)</f>
        <v>410790</v>
      </c>
      <c r="AP21" s="206"/>
      <c r="AR21" s="205">
        <f>IF(AND(SUM(B13:C20)&gt;10,SUM(B13:B20)&gt;SUM(C13:C20)),$AR$18,0)</f>
        <v>6.25</v>
      </c>
      <c r="AS21" s="150" t="s">
        <v>222</v>
      </c>
      <c r="AT21" s="150" t="s">
        <v>131</v>
      </c>
      <c r="AU21" s="150" t="s">
        <v>230</v>
      </c>
      <c r="AV21" s="150" t="s">
        <v>235</v>
      </c>
    </row>
    <row r="22" spans="1:48" x14ac:dyDescent="0.2">
      <c r="A22" s="20"/>
      <c r="D22" s="7"/>
      <c r="AM22" s="193"/>
      <c r="AP22" s="206"/>
      <c r="AR22" s="205"/>
      <c r="AS22" s="150">
        <f>SUM(AS87:AS89)</f>
        <v>100</v>
      </c>
      <c r="AT22" s="201">
        <f>'Steps &amp; Rubric'!B16/100</f>
        <v>0.03</v>
      </c>
      <c r="AU22" s="172">
        <f>AS22*AT22</f>
        <v>3</v>
      </c>
      <c r="AV22" s="149">
        <f>AT22*100</f>
        <v>3</v>
      </c>
    </row>
    <row r="23" spans="1:48" ht="17" thickBot="1" x14ac:dyDescent="0.25">
      <c r="A23" s="26"/>
      <c r="B23" s="332" t="s">
        <v>4</v>
      </c>
      <c r="C23" s="332"/>
      <c r="D23" s="6"/>
      <c r="AM23" s="202"/>
      <c r="AN23" s="331" t="s">
        <v>4</v>
      </c>
      <c r="AO23" s="331"/>
      <c r="AP23" s="207"/>
      <c r="AR23" s="205"/>
      <c r="AS23" s="193" t="s">
        <v>40</v>
      </c>
    </row>
    <row r="24" spans="1:48" ht="17" thickTop="1" x14ac:dyDescent="0.2">
      <c r="A24" s="54" t="s">
        <v>104</v>
      </c>
      <c r="B24" s="136">
        <f>'Beg TB'!B7</f>
        <v>64900</v>
      </c>
      <c r="C24" s="137"/>
      <c r="D24" s="135" t="s">
        <v>104</v>
      </c>
      <c r="AM24" s="172"/>
      <c r="AN24" s="200">
        <f>'Beg TB'!AN7</f>
        <v>64900</v>
      </c>
      <c r="AO24" s="200"/>
      <c r="AQ24" s="193">
        <f>IF(AN24=B24,$AQ$15,0)</f>
        <v>10</v>
      </c>
      <c r="AR24" s="208"/>
    </row>
    <row r="25" spans="1:48" x14ac:dyDescent="0.2">
      <c r="A25" s="42" t="s">
        <v>159</v>
      </c>
      <c r="B25" s="33">
        <f>JEs!D18</f>
        <v>432100</v>
      </c>
      <c r="C25" s="49">
        <f>JEs!E26</f>
        <v>302470</v>
      </c>
      <c r="D25" s="40" t="s">
        <v>161</v>
      </c>
      <c r="AM25" s="193" t="s">
        <v>159</v>
      </c>
      <c r="AN25" s="200">
        <f>AN14</f>
        <v>432100</v>
      </c>
      <c r="AO25" s="200">
        <f>AN15</f>
        <v>302470</v>
      </c>
      <c r="AP25" s="193" t="s">
        <v>161</v>
      </c>
      <c r="AR25" s="208"/>
    </row>
    <row r="26" spans="1:48" ht="17" thickBot="1" x14ac:dyDescent="0.25">
      <c r="A26" s="42"/>
      <c r="B26" s="45"/>
      <c r="C26" s="46"/>
      <c r="D26" s="40"/>
      <c r="AM26" s="193"/>
      <c r="AN26" s="200"/>
      <c r="AO26" s="200"/>
      <c r="AP26" s="193"/>
      <c r="AR26" s="205"/>
    </row>
    <row r="27" spans="1:48" ht="17" thickTop="1" x14ac:dyDescent="0.2">
      <c r="A27" s="135" t="s">
        <v>21</v>
      </c>
      <c r="B27" s="299">
        <f>IF(SUM(B24:B26)-SUM(C24:C26)&gt;=0,SUM(B24:B26)-SUM(C24:C26),"")</f>
        <v>194530</v>
      </c>
      <c r="C27" s="298" t="str">
        <f>IF(SUM(B24:B26)-SUM(C24:C26)&lt;0,-1*(SUM(B24:B26)-SUM(C24:C26)),"")</f>
        <v/>
      </c>
      <c r="AM27" s="172"/>
      <c r="AN27" s="154">
        <f>SUM(AN24:AN26)-SUM(AO24:AO26)</f>
        <v>194530</v>
      </c>
      <c r="AO27" s="149"/>
      <c r="AR27" s="205">
        <f>IF(AND(SUM(B25:C26)&gt;10,SUM(B25:B26)&gt;SUM(C25:C26)),$AR$18,0)</f>
        <v>6.25</v>
      </c>
    </row>
    <row r="28" spans="1:48" x14ac:dyDescent="0.2">
      <c r="A28" s="20"/>
      <c r="AM28" s="193"/>
      <c r="AR28" s="205"/>
    </row>
    <row r="29" spans="1:48" ht="17" thickBot="1" x14ac:dyDescent="0.25">
      <c r="A29" s="27"/>
      <c r="B29" s="332" t="s">
        <v>5</v>
      </c>
      <c r="C29" s="332"/>
      <c r="D29" s="6"/>
      <c r="AM29" s="150"/>
      <c r="AN29" s="331" t="s">
        <v>5</v>
      </c>
      <c r="AO29" s="331"/>
      <c r="AP29" s="207"/>
      <c r="AR29" s="205"/>
    </row>
    <row r="30" spans="1:48" ht="17" thickTop="1" x14ac:dyDescent="0.2">
      <c r="A30" s="54" t="s">
        <v>104</v>
      </c>
      <c r="B30" s="136">
        <f>'Beg TB'!B8</f>
        <v>7140</v>
      </c>
      <c r="C30" s="137"/>
      <c r="D30" s="135" t="s">
        <v>104</v>
      </c>
      <c r="AM30" s="172"/>
      <c r="AN30" s="200">
        <f>'Beg TB'!AN8</f>
        <v>7140</v>
      </c>
      <c r="AO30" s="200"/>
      <c r="AQ30" s="193">
        <f>IF(AN30=B30,$AQ$15,0)</f>
        <v>10</v>
      </c>
      <c r="AR30" s="208"/>
    </row>
    <row r="31" spans="1:48" x14ac:dyDescent="0.2">
      <c r="A31" s="42" t="s">
        <v>39</v>
      </c>
      <c r="B31" s="29">
        <f>JEs!D11</f>
        <v>7920</v>
      </c>
      <c r="C31" s="44"/>
      <c r="D31" s="41"/>
      <c r="AM31" s="193" t="s">
        <v>39</v>
      </c>
      <c r="AN31" s="200">
        <f>Trx!AN3</f>
        <v>7920</v>
      </c>
      <c r="AO31" s="200"/>
      <c r="AP31" s="193"/>
      <c r="AR31" s="205"/>
    </row>
    <row r="32" spans="1:48" ht="17" thickBot="1" x14ac:dyDescent="0.25">
      <c r="A32" s="42"/>
      <c r="B32" s="50"/>
      <c r="C32" s="46"/>
      <c r="D32" s="40"/>
      <c r="AM32" s="193"/>
      <c r="AN32" s="200"/>
      <c r="AO32" s="200"/>
      <c r="AP32" s="193"/>
      <c r="AR32" s="205"/>
    </row>
    <row r="33" spans="1:44" ht="17" thickTop="1" x14ac:dyDescent="0.2">
      <c r="A33" s="296" t="s">
        <v>103</v>
      </c>
      <c r="B33" s="5">
        <f>IF(SUM(B30:B32)-SUM(C30:C32)&gt;=0,SUM(B30:B32)-SUM(C30:C32),"")</f>
        <v>15060</v>
      </c>
      <c r="C33" s="63" t="str">
        <f>IF(SUM(B30:B32)-SUM(C30:C32)&lt;0,-1*(SUM(B30:B32)-SUM(C30:C32)),"")</f>
        <v/>
      </c>
      <c r="AM33" s="172"/>
      <c r="AN33" s="151">
        <f>SUM(AN30:AN32)-SUM(AO30:AO32)</f>
        <v>15060</v>
      </c>
      <c r="AR33" s="205">
        <f>IF(AND(SUM(B31:C32)&gt;10,SUM(B31:B32)&gt;SUM(C31:C32)),$AR$18/2,0)</f>
        <v>3.125</v>
      </c>
    </row>
    <row r="34" spans="1:44" ht="17" thickBot="1" x14ac:dyDescent="0.25">
      <c r="A34" s="296" t="s">
        <v>20</v>
      </c>
      <c r="B34" s="218"/>
      <c r="C34" s="219">
        <f>JEs!E30</f>
        <v>12530</v>
      </c>
      <c r="D34" s="32" t="s">
        <v>203</v>
      </c>
      <c r="AM34" s="172"/>
      <c r="AN34" s="200"/>
      <c r="AO34" s="200">
        <f>AN33-AN35</f>
        <v>12530</v>
      </c>
      <c r="AP34" s="149"/>
      <c r="AR34" s="205"/>
    </row>
    <row r="35" spans="1:44" ht="17" thickTop="1" x14ac:dyDescent="0.2">
      <c r="A35" s="19" t="s">
        <v>21</v>
      </c>
      <c r="B35" s="5">
        <f>IF(SUM(B33:B34)-SUM(C33:C34)&gt;=0,SUM(B33:B34)-SUM(C33:C34),"")</f>
        <v>2530</v>
      </c>
      <c r="C35" s="63" t="str">
        <f>IF(SUM(B33:B34)-SUM(C33:C34)&lt;0,-1*(SUM(B33:B34)-SUM(C33:C34)),"")</f>
        <v/>
      </c>
      <c r="D35" s="31"/>
      <c r="AM35" s="172"/>
      <c r="AN35" s="154">
        <f>Trx!AN14</f>
        <v>2530</v>
      </c>
      <c r="AP35" s="149"/>
      <c r="AR35" s="205">
        <f>IF(AND(SUM(B34:C34)&gt;10,SUM(C34)&gt;SUM(B34)),$AR$18/2,0)</f>
        <v>3.125</v>
      </c>
    </row>
    <row r="36" spans="1:44" x14ac:dyDescent="0.2">
      <c r="A36" s="20"/>
      <c r="AM36" s="193"/>
      <c r="AR36" s="205"/>
    </row>
    <row r="37" spans="1:44" ht="17" thickBot="1" x14ac:dyDescent="0.25">
      <c r="A37" s="26"/>
      <c r="B37" s="332" t="s">
        <v>6</v>
      </c>
      <c r="C37" s="332"/>
      <c r="D37" s="6"/>
      <c r="AM37" s="202"/>
      <c r="AN37" s="331" t="s">
        <v>6</v>
      </c>
      <c r="AO37" s="331"/>
      <c r="AP37" s="207"/>
      <c r="AR37" s="205"/>
    </row>
    <row r="38" spans="1:44" ht="17" thickTop="1" x14ac:dyDescent="0.2">
      <c r="A38" s="54" t="s">
        <v>104</v>
      </c>
      <c r="B38" s="136">
        <f>'Beg TB'!B9</f>
        <v>47680</v>
      </c>
      <c r="C38" s="137"/>
      <c r="D38" s="135" t="s">
        <v>104</v>
      </c>
      <c r="AM38" s="172"/>
      <c r="AN38" s="200">
        <f>'Beg TB'!AN9</f>
        <v>47680</v>
      </c>
      <c r="AO38" s="200"/>
      <c r="AQ38" s="193">
        <f>IF(AN38=B38,$AQ$15,0)</f>
        <v>10</v>
      </c>
      <c r="AR38" s="208"/>
    </row>
    <row r="39" spans="1:44" ht="17" thickBot="1" x14ac:dyDescent="0.25">
      <c r="A39" s="42" t="s">
        <v>41</v>
      </c>
      <c r="B39" s="47">
        <f>JEs!D23</f>
        <v>150240</v>
      </c>
      <c r="C39" s="48">
        <f>JEs!E22</f>
        <v>47680</v>
      </c>
      <c r="D39" s="40" t="s">
        <v>160</v>
      </c>
      <c r="AM39" s="193" t="s">
        <v>41</v>
      </c>
      <c r="AN39" s="200">
        <f>AO17</f>
        <v>150240</v>
      </c>
      <c r="AO39" s="200">
        <f>AN38</f>
        <v>47680</v>
      </c>
      <c r="AP39" s="193" t="s">
        <v>160</v>
      </c>
      <c r="AR39" s="205"/>
    </row>
    <row r="40" spans="1:44" x14ac:dyDescent="0.2">
      <c r="A40" s="135" t="s">
        <v>103</v>
      </c>
      <c r="B40" s="5">
        <f>IF(SUM(B38:B39)-SUM(C38:C39)&gt;=0,SUM(B38:B39)-SUM(C38:C39),"")</f>
        <v>150240</v>
      </c>
      <c r="C40" s="63" t="str">
        <f>IF(SUM(B38:B39)-SUM(C38:C39)&lt;0,-1*(SUM(B38:B39)-SUM(C38:C39)),"")</f>
        <v/>
      </c>
      <c r="AM40" s="172"/>
      <c r="AN40" s="154">
        <f>SUM(AN38:AN39)-SUM(AO38:AO39)</f>
        <v>150240</v>
      </c>
      <c r="AO40" s="149"/>
      <c r="AR40" s="205">
        <f>IF(AND(SUM(B39:C39)&gt;10,SUM(B39)&gt;SUM(C39)),$AR$18/2,0)</f>
        <v>3.125</v>
      </c>
    </row>
    <row r="41" spans="1:44" ht="17" thickBot="1" x14ac:dyDescent="0.25">
      <c r="A41" s="296" t="s">
        <v>20</v>
      </c>
      <c r="B41" s="218"/>
      <c r="C41" s="219">
        <f>JEs!E32</f>
        <v>100160</v>
      </c>
      <c r="D41" s="215" t="s">
        <v>163</v>
      </c>
      <c r="AM41" s="172"/>
      <c r="AN41" s="200"/>
      <c r="AO41" s="200">
        <f>AN125</f>
        <v>100160</v>
      </c>
      <c r="AP41" s="193" t="s">
        <v>163</v>
      </c>
      <c r="AR41" s="205"/>
    </row>
    <row r="42" spans="1:44" ht="17" thickTop="1" x14ac:dyDescent="0.2">
      <c r="A42" s="135" t="s">
        <v>21</v>
      </c>
      <c r="B42" s="299">
        <f>IF(SUM(B40:B41)-SUM(C40:C41)&gt;=0,SUM(B40:B41)-SUM(C40:C41),"")</f>
        <v>50080</v>
      </c>
      <c r="C42" s="304" t="str">
        <f>IF(SUM(B40:B41)-SUM(C40:C41)&lt;0,-1*(SUM(B40:B41)-SUM(C40:C41)),"")</f>
        <v/>
      </c>
      <c r="D42" s="31"/>
      <c r="AM42" s="172"/>
      <c r="AN42" s="154">
        <f>SUM(AN40:AN41)-SUM(AO40:AO41)</f>
        <v>50080</v>
      </c>
      <c r="AP42" s="149"/>
      <c r="AR42" s="205">
        <f>IF(AND(SUM(B41:C41)&gt;10,SUM(C41)&gt;SUM(B41)),$AR$18/2,0)</f>
        <v>3.125</v>
      </c>
    </row>
    <row r="43" spans="1:44" x14ac:dyDescent="0.2">
      <c r="A43" s="20"/>
      <c r="AM43" s="193"/>
      <c r="AR43" s="205"/>
    </row>
    <row r="44" spans="1:44" ht="17" thickBot="1" x14ac:dyDescent="0.25">
      <c r="A44" s="26"/>
      <c r="B44" s="332" t="s">
        <v>18</v>
      </c>
      <c r="C44" s="332"/>
      <c r="D44" s="6"/>
      <c r="AM44" s="202"/>
      <c r="AN44" s="331" t="s">
        <v>18</v>
      </c>
      <c r="AO44" s="331"/>
      <c r="AP44" s="207"/>
      <c r="AR44" s="205"/>
    </row>
    <row r="45" spans="1:44" ht="17" thickTop="1" x14ac:dyDescent="0.2">
      <c r="A45" s="54" t="s">
        <v>104</v>
      </c>
      <c r="B45" s="136">
        <f>'Beg TB'!B10</f>
        <v>2440</v>
      </c>
      <c r="C45" s="137"/>
      <c r="D45" s="135" t="s">
        <v>104</v>
      </c>
      <c r="AM45" s="172"/>
      <c r="AN45" s="200">
        <f>'Beg TB'!AN10</f>
        <v>2440</v>
      </c>
      <c r="AO45" s="200"/>
      <c r="AQ45" s="193">
        <f>IF(AN45=B45,$AQ$15,0)</f>
        <v>10</v>
      </c>
      <c r="AR45" s="208"/>
    </row>
    <row r="46" spans="1:44" ht="17" thickBot="1" x14ac:dyDescent="0.25">
      <c r="A46" s="42" t="s">
        <v>332</v>
      </c>
      <c r="B46" s="47">
        <f>JEs!D13</f>
        <v>363560</v>
      </c>
      <c r="C46" s="48">
        <f>JEs!E17</f>
        <v>353800</v>
      </c>
      <c r="D46" s="40" t="s">
        <v>333</v>
      </c>
      <c r="AM46" s="193" t="s">
        <v>40</v>
      </c>
      <c r="AN46" s="200">
        <f>Trx!AN4</f>
        <v>363560</v>
      </c>
      <c r="AO46" s="200">
        <f>Trx!AP9</f>
        <v>353800</v>
      </c>
      <c r="AP46" s="193" t="s">
        <v>159</v>
      </c>
      <c r="AR46" s="205"/>
    </row>
    <row r="47" spans="1:44" x14ac:dyDescent="0.2">
      <c r="A47" s="135" t="s">
        <v>21</v>
      </c>
      <c r="B47" s="299">
        <f>IF(SUM(B45:B46)-SUM(C45:C46)&gt;=0,SUM(B45:B46)-SUM(C45:C46),"")</f>
        <v>12200</v>
      </c>
      <c r="C47" s="304" t="str">
        <f>IF(SUM(B45:B46)-SUM(C45:C46)&lt;0,-1*(SUM(B45:B46)-SUM(C45:C46)),"")</f>
        <v/>
      </c>
      <c r="AM47" s="172"/>
      <c r="AN47" s="154">
        <f>SUM(AN45:AN46)-SUM(AO45:AO46)</f>
        <v>12200</v>
      </c>
      <c r="AO47" s="149"/>
      <c r="AR47" s="205">
        <f>IF(AND(SUM(B46:C46)&gt;10,SUM(B46)&gt;SUM(C46)),$AR$18,0)</f>
        <v>6.25</v>
      </c>
    </row>
    <row r="48" spans="1:44" x14ac:dyDescent="0.2">
      <c r="A48" s="20"/>
      <c r="AM48" s="209"/>
      <c r="AR48" s="205"/>
    </row>
    <row r="49" spans="1:44" ht="17" thickBot="1" x14ac:dyDescent="0.25">
      <c r="A49" s="26"/>
      <c r="B49" s="332" t="s">
        <v>7</v>
      </c>
      <c r="C49" s="332"/>
      <c r="D49" s="6"/>
      <c r="AM49" s="202"/>
      <c r="AN49" s="331" t="s">
        <v>7</v>
      </c>
      <c r="AO49" s="331"/>
      <c r="AP49" s="207"/>
      <c r="AR49" s="205"/>
    </row>
    <row r="50" spans="1:44" ht="17" thickTop="1" x14ac:dyDescent="0.2">
      <c r="A50" s="54" t="s">
        <v>104</v>
      </c>
      <c r="B50" s="136">
        <f>'Beg TB'!B11</f>
        <v>432300</v>
      </c>
      <c r="C50" s="137"/>
      <c r="D50" s="135" t="s">
        <v>104</v>
      </c>
      <c r="AM50" s="172"/>
      <c r="AN50" s="200">
        <f>'Beg TB'!AN11</f>
        <v>432300</v>
      </c>
      <c r="AO50" s="200"/>
      <c r="AQ50" s="193">
        <f>IF(AN50=B50,$AQ$15,0)</f>
        <v>10</v>
      </c>
      <c r="AR50" s="208"/>
    </row>
    <row r="51" spans="1:44" ht="17" thickBot="1" x14ac:dyDescent="0.25">
      <c r="A51" s="42"/>
      <c r="B51" s="50"/>
      <c r="C51" s="51"/>
      <c r="D51" s="40"/>
      <c r="AM51" s="193"/>
      <c r="AN51" s="200"/>
      <c r="AO51" s="200"/>
      <c r="AP51" s="193"/>
      <c r="AR51" s="205"/>
    </row>
    <row r="52" spans="1:44" ht="17" thickTop="1" x14ac:dyDescent="0.2">
      <c r="A52" s="135" t="s">
        <v>21</v>
      </c>
      <c r="B52" s="299">
        <f>IF(SUM(B50:B51)-SUM(C50:C51)&gt;=0,SUM(B50:B51)-SUM(C50:C51),"")</f>
        <v>432300</v>
      </c>
      <c r="C52" s="304" t="str">
        <f>IF(SUM(B50:B51)-SUM(C50:C51)&lt;0,-1*(SUM(B50:B51)-SUM(C50:C51)),"")</f>
        <v/>
      </c>
      <c r="AM52" s="172"/>
      <c r="AN52" s="154">
        <f>SUM(AN50:AN51)-SUM(AO50:AO51)</f>
        <v>432300</v>
      </c>
      <c r="AO52" s="149"/>
      <c r="AR52" s="205">
        <f>IF(AND(SUM(B51:C51)=0,SUM(B51)=SUM(C51)),$AR$18,0)</f>
        <v>6.25</v>
      </c>
    </row>
    <row r="53" spans="1:44" x14ac:dyDescent="0.2">
      <c r="A53" s="20"/>
      <c r="AM53" s="193"/>
      <c r="AR53" s="205"/>
    </row>
    <row r="54" spans="1:44" ht="17" thickBot="1" x14ac:dyDescent="0.25">
      <c r="A54" s="20"/>
      <c r="B54" s="332" t="s">
        <v>8</v>
      </c>
      <c r="C54" s="332"/>
      <c r="AM54" s="193"/>
      <c r="AN54" s="331" t="s">
        <v>8</v>
      </c>
      <c r="AO54" s="331"/>
      <c r="AR54" s="205"/>
    </row>
    <row r="55" spans="1:44" ht="17" thickTop="1" x14ac:dyDescent="0.2">
      <c r="A55" s="54" t="s">
        <v>104</v>
      </c>
      <c r="B55" s="136"/>
      <c r="C55" s="137">
        <f>'Beg TB'!C12</f>
        <v>21615</v>
      </c>
      <c r="D55" s="135" t="s">
        <v>104</v>
      </c>
      <c r="AM55" s="172"/>
      <c r="AN55" s="200"/>
      <c r="AO55" s="200">
        <f>'Beg TB'!AO12</f>
        <v>21615</v>
      </c>
      <c r="AQ55" s="193">
        <f>IF(AO55=C55,$AQ$15,0)</f>
        <v>10</v>
      </c>
      <c r="AR55" s="208"/>
    </row>
    <row r="56" spans="1:44" ht="17" thickBot="1" x14ac:dyDescent="0.25">
      <c r="A56" s="42"/>
      <c r="B56" s="50"/>
      <c r="C56" s="51"/>
      <c r="D56" s="40"/>
      <c r="AM56" s="193"/>
      <c r="AN56" s="200"/>
      <c r="AO56" s="200"/>
      <c r="AP56" s="193"/>
      <c r="AR56" s="205"/>
    </row>
    <row r="57" spans="1:44" ht="17" thickTop="1" x14ac:dyDescent="0.2">
      <c r="A57" s="296" t="s">
        <v>103</v>
      </c>
      <c r="B57" s="80" t="str">
        <f>IF(SUM(C55:C56)-SUM(B55:B56)&lt;0,SUM(B55:B56)-SUM(C55:C56),"")</f>
        <v/>
      </c>
      <c r="C57" s="68">
        <f>IF(SUM(B55:B56)&gt;SUM(C55:C56),"",SUM(C55:C56)-SUM(B55:B56))</f>
        <v>21615</v>
      </c>
      <c r="AM57" s="172"/>
      <c r="AO57" s="151">
        <f>SUM(AO55:AO56)-SUM(AN55:AN56)</f>
        <v>21615</v>
      </c>
      <c r="AR57" s="205">
        <f>IF(AND(SUM(B56:C56)=0,SUM(B56)=SUM(C56)),$AR$18/2,0)</f>
        <v>3.125</v>
      </c>
    </row>
    <row r="58" spans="1:44" ht="17" thickBot="1" x14ac:dyDescent="0.25">
      <c r="A58" s="296" t="s">
        <v>20</v>
      </c>
      <c r="B58" s="218"/>
      <c r="C58" s="219">
        <f>JEs!E34</f>
        <v>43230</v>
      </c>
      <c r="D58" s="215" t="s">
        <v>164</v>
      </c>
      <c r="AM58" s="172"/>
      <c r="AN58" s="200"/>
      <c r="AO58" s="200">
        <f>AN135</f>
        <v>43230</v>
      </c>
      <c r="AP58" s="193" t="s">
        <v>164</v>
      </c>
      <c r="AR58" s="205"/>
    </row>
    <row r="59" spans="1:44" ht="17" thickTop="1" x14ac:dyDescent="0.2">
      <c r="A59" s="19" t="s">
        <v>21</v>
      </c>
      <c r="B59" s="217" t="str">
        <f>IF(SUM(C57:C58)-SUM(B57:B58)&lt;0,SUM(B57:B58)-SUM(C57:C58),"")</f>
        <v/>
      </c>
      <c r="C59" s="68">
        <f>IF(SUM(B57:B58)&gt;SUM(C57:C58),"",SUM(C57:C58)-SUM(B57:B58))</f>
        <v>64845</v>
      </c>
      <c r="D59" s="31"/>
      <c r="AM59" s="172"/>
      <c r="AO59" s="154">
        <f>SUM(AO57:AO58)-SUM(AN57:AN58)</f>
        <v>64845</v>
      </c>
      <c r="AP59" s="149"/>
      <c r="AR59" s="205">
        <f>IF(AND(SUM(B58:C58)&gt;10,SUM(C58)&gt;SUM(B58)),$AR$18/2,0)</f>
        <v>3.125</v>
      </c>
    </row>
    <row r="60" spans="1:44" x14ac:dyDescent="0.2">
      <c r="A60" s="20"/>
      <c r="AM60" s="193"/>
      <c r="AR60" s="205"/>
    </row>
    <row r="61" spans="1:44" ht="24" x14ac:dyDescent="0.3">
      <c r="A61" s="335" t="s">
        <v>24</v>
      </c>
      <c r="B61" s="335"/>
      <c r="C61" s="335"/>
      <c r="D61" s="335"/>
      <c r="AM61" s="197" t="s">
        <v>24</v>
      </c>
      <c r="AN61" s="197"/>
      <c r="AO61" s="197"/>
      <c r="AP61" s="197"/>
      <c r="AR61" s="205"/>
    </row>
    <row r="62" spans="1:44" x14ac:dyDescent="0.2">
      <c r="A62" s="27" t="s">
        <v>79</v>
      </c>
      <c r="D62" s="27" t="s">
        <v>79</v>
      </c>
      <c r="AM62" s="150"/>
      <c r="AP62" s="150"/>
      <c r="AR62" s="205"/>
    </row>
    <row r="63" spans="1:44" ht="17" thickBot="1" x14ac:dyDescent="0.25">
      <c r="B63" s="332" t="s">
        <v>9</v>
      </c>
      <c r="C63" s="332"/>
      <c r="AN63" s="331" t="s">
        <v>9</v>
      </c>
      <c r="AO63" s="331"/>
      <c r="AR63" s="205"/>
    </row>
    <row r="64" spans="1:44" ht="17" thickTop="1" x14ac:dyDescent="0.2">
      <c r="A64" s="54" t="s">
        <v>104</v>
      </c>
      <c r="B64" s="136"/>
      <c r="C64" s="137">
        <f>'Beg TB'!C13</f>
        <v>7320</v>
      </c>
      <c r="D64" s="135" t="s">
        <v>104</v>
      </c>
      <c r="AM64" s="172"/>
      <c r="AN64" s="200"/>
      <c r="AO64" s="200">
        <f>'Beg TB'!AO13</f>
        <v>7320</v>
      </c>
      <c r="AQ64" s="193">
        <f>IF(AO64=C64,$AQ$15,0)</f>
        <v>10</v>
      </c>
      <c r="AR64" s="205"/>
    </row>
    <row r="65" spans="1:44" x14ac:dyDescent="0.2">
      <c r="A65" s="42" t="s">
        <v>38</v>
      </c>
      <c r="B65" s="30">
        <f>JEs!D9</f>
        <v>3660</v>
      </c>
      <c r="C65" s="64">
        <f>JEs!E12</f>
        <v>7920</v>
      </c>
      <c r="D65" s="40" t="s">
        <v>39</v>
      </c>
      <c r="AM65" s="193"/>
      <c r="AN65" s="200"/>
      <c r="AO65" s="200"/>
      <c r="AP65" s="193"/>
      <c r="AR65" s="205"/>
    </row>
    <row r="66" spans="1:44" x14ac:dyDescent="0.2">
      <c r="A66" s="42"/>
      <c r="B66" s="30"/>
      <c r="C66" s="64">
        <f>JEs!E14</f>
        <v>181780</v>
      </c>
      <c r="D66" s="40" t="s">
        <v>40</v>
      </c>
      <c r="AM66" s="193"/>
      <c r="AN66" s="200"/>
      <c r="AO66" s="200">
        <f>AN31</f>
        <v>7920</v>
      </c>
      <c r="AP66" s="193" t="s">
        <v>39</v>
      </c>
      <c r="AR66" s="205"/>
    </row>
    <row r="67" spans="1:44" ht="17" thickBot="1" x14ac:dyDescent="0.25">
      <c r="A67" s="42"/>
      <c r="B67" s="52"/>
      <c r="C67" s="53"/>
      <c r="D67" s="40"/>
      <c r="AM67" s="193" t="s">
        <v>38</v>
      </c>
      <c r="AN67" s="200">
        <f>AO13</f>
        <v>3660</v>
      </c>
      <c r="AO67" s="200">
        <f>0.5*AN46</f>
        <v>181780</v>
      </c>
      <c r="AP67" s="193" t="s">
        <v>40</v>
      </c>
      <c r="AR67" s="205"/>
    </row>
    <row r="68" spans="1:44" ht="17" thickTop="1" x14ac:dyDescent="0.2">
      <c r="A68" s="135" t="s">
        <v>21</v>
      </c>
      <c r="B68" s="303" t="str">
        <f>IF(SUM(C64:C67)-SUM(B64:B67)&lt;0,SUM(B64:B67)-SUM(C64:C67),"")</f>
        <v/>
      </c>
      <c r="C68" s="298">
        <f>IF(SUM(B64:B67)&gt;SUM(C64:C67),"",SUM(C64:C67)-SUM(B64:B67))</f>
        <v>193360</v>
      </c>
      <c r="AM68" s="172"/>
      <c r="AO68" s="151">
        <f>SUM(AO64:AO67)-SUM(AN64:AN67)</f>
        <v>193360</v>
      </c>
      <c r="AR68" s="205">
        <f>IF(AND(SUM(B65:C67)&gt;10,SUM(B65:B67)&lt;SUM(C65:C67)),$AR$18,0)</f>
        <v>6.25</v>
      </c>
    </row>
    <row r="69" spans="1:44" x14ac:dyDescent="0.2">
      <c r="AR69" s="205"/>
    </row>
    <row r="70" spans="1:44" ht="17" thickBot="1" x14ac:dyDescent="0.25">
      <c r="B70" s="332" t="s">
        <v>80</v>
      </c>
      <c r="C70" s="332"/>
      <c r="AN70" s="331" t="s">
        <v>80</v>
      </c>
      <c r="AO70" s="331"/>
      <c r="AR70" s="205"/>
    </row>
    <row r="71" spans="1:44" ht="17" thickTop="1" x14ac:dyDescent="0.2">
      <c r="A71" s="54" t="s">
        <v>104</v>
      </c>
      <c r="B71" s="136"/>
      <c r="C71" s="137">
        <f>'Beg TB'!C14</f>
        <v>0</v>
      </c>
      <c r="D71" s="135" t="s">
        <v>104</v>
      </c>
      <c r="AM71" s="172"/>
      <c r="AN71" s="200"/>
      <c r="AO71" s="200">
        <f>'Beg TB'!AO14</f>
        <v>0</v>
      </c>
      <c r="AQ71" s="193">
        <f>IF(AO71=C71,$AQ$15,0)</f>
        <v>10</v>
      </c>
      <c r="AR71" s="205"/>
    </row>
    <row r="72" spans="1:44" ht="17" thickBot="1" x14ac:dyDescent="0.25">
      <c r="A72" s="42"/>
      <c r="B72" s="52"/>
      <c r="C72" s="53"/>
      <c r="D72" s="40"/>
      <c r="AM72" s="193"/>
      <c r="AN72" s="200"/>
      <c r="AO72" s="200"/>
      <c r="AP72" s="193"/>
      <c r="AR72" s="205"/>
    </row>
    <row r="73" spans="1:44" ht="17" thickTop="1" x14ac:dyDescent="0.2">
      <c r="A73" s="135" t="s">
        <v>103</v>
      </c>
      <c r="B73" s="84" t="str">
        <f>IF(SUM(C69:C72)-SUM(B69:B72)&lt;0,SUM(B69:B72)-SUM(C69:C72),"")</f>
        <v/>
      </c>
      <c r="C73" s="68">
        <f>IF(SUM(B69:B72)&gt;SUM(C69:C72),"",SUM(C69:C72)-SUM(B69:B72))</f>
        <v>0</v>
      </c>
      <c r="AM73" s="172" t="s">
        <v>103</v>
      </c>
      <c r="AO73" s="151">
        <f>SUM(AO69:AO72)-SUM(AN69:AN72)</f>
        <v>0</v>
      </c>
      <c r="AR73" s="205">
        <f>IF(AND(SUM(B72:C72)=0,SUM(B72)=SUM(C72)),$AR$18/2,0)</f>
        <v>3.125</v>
      </c>
    </row>
    <row r="74" spans="1:44" ht="17" thickBot="1" x14ac:dyDescent="0.25">
      <c r="A74" s="296" t="s">
        <v>20</v>
      </c>
      <c r="B74" s="218"/>
      <c r="C74" s="219">
        <f>JEs!E36</f>
        <v>30799</v>
      </c>
      <c r="D74" s="215" t="s">
        <v>196</v>
      </c>
      <c r="AM74" s="193"/>
      <c r="AN74" s="210"/>
      <c r="AO74" s="210">
        <f>Trx!AN17</f>
        <v>30799</v>
      </c>
      <c r="AP74" s="211" t="s">
        <v>196</v>
      </c>
      <c r="AR74" s="205"/>
    </row>
    <row r="75" spans="1:44" ht="17" thickTop="1" x14ac:dyDescent="0.2">
      <c r="A75" s="296" t="s">
        <v>21</v>
      </c>
      <c r="B75" s="301" t="str">
        <f>IF(SUM(C71:C74)-SUM(B71:B74)&lt;0,SUM(B71:B74)-SUM(C71:C74),"")</f>
        <v/>
      </c>
      <c r="C75" s="298">
        <f>IF(SUM(B73:B74)&gt;SUM(C73:C74),"",SUM(C73:C74)-SUM(B73:B74))</f>
        <v>30799</v>
      </c>
      <c r="AM75" s="172"/>
      <c r="AO75" s="151">
        <f>SUM(AO71:AO74)-SUM(AN71:AN74)</f>
        <v>30799</v>
      </c>
      <c r="AR75" s="205">
        <f>IF(AND(SUM(B74:C74)&gt;10,SUM(C74)&gt;SUM(B74)),$AR$18/2,0)</f>
        <v>3.125</v>
      </c>
    </row>
    <row r="76" spans="1:44" x14ac:dyDescent="0.2">
      <c r="AR76" s="205"/>
    </row>
    <row r="77" spans="1:44" ht="24" x14ac:dyDescent="0.3">
      <c r="A77" s="335" t="s">
        <v>28</v>
      </c>
      <c r="B77" s="335"/>
      <c r="C77" s="335"/>
      <c r="D77" s="335"/>
      <c r="AM77" s="197" t="s">
        <v>28</v>
      </c>
      <c r="AN77" s="197"/>
      <c r="AO77" s="197"/>
      <c r="AP77" s="197"/>
      <c r="AR77" s="205"/>
    </row>
    <row r="78" spans="1:44" x14ac:dyDescent="0.2">
      <c r="A78" s="27" t="s">
        <v>79</v>
      </c>
      <c r="D78" s="27" t="s">
        <v>79</v>
      </c>
      <c r="AM78" s="150"/>
      <c r="AP78" s="150"/>
      <c r="AR78" s="205"/>
    </row>
    <row r="79" spans="1:44" ht="17" thickBot="1" x14ac:dyDescent="0.25">
      <c r="B79" s="332" t="s">
        <v>10</v>
      </c>
      <c r="C79" s="332"/>
      <c r="AN79" s="331" t="s">
        <v>10</v>
      </c>
      <c r="AO79" s="331"/>
      <c r="AR79" s="205"/>
    </row>
    <row r="80" spans="1:44" ht="17" thickTop="1" x14ac:dyDescent="0.2">
      <c r="A80" s="54" t="s">
        <v>104</v>
      </c>
      <c r="B80" s="136"/>
      <c r="C80" s="137">
        <f>'Beg TB'!C15</f>
        <v>443000</v>
      </c>
      <c r="D80" s="135" t="s">
        <v>104</v>
      </c>
      <c r="AM80" s="172"/>
      <c r="AN80" s="200"/>
      <c r="AO80" s="200">
        <f>'Beg TB'!AO15</f>
        <v>443000</v>
      </c>
      <c r="AQ80" s="193">
        <f>IF(AO80=C80,$AQ$15,0)</f>
        <v>10</v>
      </c>
      <c r="AR80" s="208"/>
    </row>
    <row r="81" spans="1:53" ht="17" thickBot="1" x14ac:dyDescent="0.25">
      <c r="A81" s="42"/>
      <c r="B81" s="50"/>
      <c r="C81" s="51"/>
      <c r="D81" s="40"/>
      <c r="AM81" s="193"/>
      <c r="AN81" s="200"/>
      <c r="AO81" s="200"/>
      <c r="AP81" s="193"/>
      <c r="AR81" s="205"/>
    </row>
    <row r="82" spans="1:53" ht="17" thickTop="1" x14ac:dyDescent="0.2">
      <c r="A82" s="135" t="s">
        <v>21</v>
      </c>
      <c r="B82" s="302" t="str">
        <f>IF(SUM(C80:C81)-SUM(B80:B81)&lt;0,SUM(B80:B81)-SUM(C80:C81),"")</f>
        <v/>
      </c>
      <c r="C82" s="298">
        <f>IF(SUM(B80:B81)&gt;SUM(C80:C81),"",SUM(C80:C81)-SUM(B80:B81))</f>
        <v>443000</v>
      </c>
      <c r="AM82" s="172"/>
      <c r="AO82" s="151">
        <f>SUM(AO80:AO81)-SUM(AN80:AN81)</f>
        <v>443000</v>
      </c>
      <c r="AR82" s="205"/>
    </row>
    <row r="83" spans="1:53" x14ac:dyDescent="0.2">
      <c r="AR83" s="205"/>
    </row>
    <row r="84" spans="1:53" ht="17" thickBot="1" x14ac:dyDescent="0.25">
      <c r="B84" s="332" t="s">
        <v>11</v>
      </c>
      <c r="C84" s="332"/>
      <c r="AN84" s="331" t="s">
        <v>11</v>
      </c>
      <c r="AO84" s="331"/>
      <c r="AR84" s="205"/>
    </row>
    <row r="85" spans="1:53" ht="18" thickTop="1" thickBot="1" x14ac:dyDescent="0.25">
      <c r="A85" s="54" t="s">
        <v>104</v>
      </c>
      <c r="B85" s="69"/>
      <c r="C85" s="70">
        <f>'Beg TB'!C16</f>
        <v>271625</v>
      </c>
      <c r="D85" s="135" t="s">
        <v>104</v>
      </c>
      <c r="AM85" s="172"/>
      <c r="AN85" s="200"/>
      <c r="AO85" s="200">
        <f>'Beg TB'!AO16</f>
        <v>271625</v>
      </c>
      <c r="AQ85" s="193">
        <f>IF(AO85=C85,$AQ$15,0)</f>
        <v>10</v>
      </c>
      <c r="AR85" s="208"/>
    </row>
    <row r="86" spans="1:53" ht="17" thickTop="1" x14ac:dyDescent="0.2">
      <c r="A86" s="135" t="s">
        <v>231</v>
      </c>
      <c r="B86" s="85" t="str">
        <f>IF(SUM(C85)-SUM(B85)&lt;0,SUM(B85)-SUM(C85),"")</f>
        <v/>
      </c>
      <c r="C86" s="63">
        <f>IF(SUM(B85)&gt;SUM(C85),"",SUM(C85)-SUM(B85))</f>
        <v>271625</v>
      </c>
      <c r="AM86" s="172"/>
      <c r="AO86" s="151">
        <f>SUM(AO85:AO85)-SUM(AN85:AN85)</f>
        <v>271625</v>
      </c>
      <c r="AR86" s="205"/>
    </row>
    <row r="87" spans="1:53" x14ac:dyDescent="0.2">
      <c r="A87" s="300" t="s">
        <v>82</v>
      </c>
      <c r="B87" s="220"/>
      <c r="C87" s="221">
        <f>C98</f>
        <v>864200</v>
      </c>
      <c r="D87" s="40" t="s">
        <v>165</v>
      </c>
      <c r="AM87" s="172"/>
      <c r="AN87" s="200"/>
      <c r="AO87" s="200">
        <f>AN99</f>
        <v>864200</v>
      </c>
      <c r="AP87" s="193" t="s">
        <v>165</v>
      </c>
      <c r="AR87" s="205"/>
      <c r="AS87" s="193">
        <f>IF(OR(C87=0,C87=""),0,IF(AND(C87=B99,C100=0),25,0))</f>
        <v>25</v>
      </c>
      <c r="AT87" s="194">
        <f>IF(AS87=25,1,0)</f>
        <v>1</v>
      </c>
    </row>
    <row r="88" spans="1:53" x14ac:dyDescent="0.2">
      <c r="A88" s="300" t="s">
        <v>83</v>
      </c>
      <c r="B88" s="71">
        <f>B106+B116+B126+B136+B146</f>
        <v>588199</v>
      </c>
      <c r="C88" s="49"/>
      <c r="D88" s="40"/>
      <c r="AM88" s="172"/>
      <c r="AN88" s="200">
        <f>AO107+AO117+AO127+AO137+AO147</f>
        <v>588199</v>
      </c>
      <c r="AO88" s="200"/>
      <c r="AP88" s="193" t="s">
        <v>166</v>
      </c>
      <c r="AR88" s="205"/>
      <c r="AS88" s="193">
        <f>IF(OR(B88=0,B88=""),0,IF(AND(B88=C107+C117+C127+C137+C147,B108&lt;1,B108&gt;-1,B118&lt;1,B118&gt;-1,B128&lt;1,B128&gt;-1,B138&lt;1,B138&gt;-1,B138&lt;1,B138&gt;-1,B148&lt;1,B148&gt;-1),50,0))</f>
        <v>50</v>
      </c>
      <c r="AT88" s="194">
        <f>IF(AS88=50,2,0)</f>
        <v>2</v>
      </c>
    </row>
    <row r="89" spans="1:53" ht="17" thickBot="1" x14ac:dyDescent="0.25">
      <c r="A89" s="300" t="s">
        <v>84</v>
      </c>
      <c r="B89" s="72">
        <f>B154</f>
        <v>177200</v>
      </c>
      <c r="C89" s="53"/>
      <c r="D89" s="40"/>
      <c r="AM89" s="172"/>
      <c r="AN89" s="200">
        <f>AO155</f>
        <v>177200</v>
      </c>
      <c r="AO89" s="200"/>
      <c r="AP89" s="193" t="s">
        <v>167</v>
      </c>
      <c r="AR89" s="205"/>
      <c r="AS89" s="193">
        <f>IF(OR(B89=0,B89=""),0,IF(AND(B89=C155,B156=0),25,0))</f>
        <v>25</v>
      </c>
      <c r="AT89" s="194">
        <f>IF(AS89=25,4,0)</f>
        <v>4</v>
      </c>
    </row>
    <row r="90" spans="1:53" ht="17" thickTop="1" x14ac:dyDescent="0.2">
      <c r="A90" s="19" t="s">
        <v>36</v>
      </c>
      <c r="B90" s="84" t="str">
        <f>IF(SUM(C86:C89)-SUM(B86:B89)&lt;0,SUM(B86:B89)-SUM(C86:C89),"")</f>
        <v/>
      </c>
      <c r="C90" s="68">
        <f>IF(SUM(B86:B89)&gt;SUM(C86:C89),"",SUM(C86:C89)-SUM(B86:B89))</f>
        <v>370426</v>
      </c>
      <c r="AM90" s="172"/>
      <c r="AN90" s="154"/>
      <c r="AO90" s="154">
        <f>SUM(AO86:AO89)-SUM(AN86:AN89)</f>
        <v>370426</v>
      </c>
      <c r="AR90" s="205"/>
    </row>
    <row r="91" spans="1:53" x14ac:dyDescent="0.2">
      <c r="AR91" s="205"/>
      <c r="AT91" s="148">
        <f>SUM(AT87:AT89)</f>
        <v>7</v>
      </c>
      <c r="AU91" s="194" t="str">
        <f>IF(AT91=7,"All closing entries were performed correctly.",IF(AT91=6,"Closing entries #2 and #3 were performed correctly.",IF(AT91=5,"Closing entries #1 and #3 were performed correctly.",IF(AT91=4,"Only closing entry #3 was performed correctly.",IF(AT91=3,"Closing entries #1 and #2 were performed correctly.",IF(AT91=2,"Only closing entry #2 was performed correctly.",IF(AT91=1,"Only closing entry #1 was performed correctly.","NONE of the closing entries were performed correctly.")))))))</f>
        <v>All closing entries were performed correctly.</v>
      </c>
    </row>
    <row r="92" spans="1:53" ht="24" x14ac:dyDescent="0.3">
      <c r="A92" s="336" t="s">
        <v>29</v>
      </c>
      <c r="B92" s="336"/>
      <c r="C92" s="336"/>
      <c r="D92" s="336"/>
      <c r="AM92" s="197" t="s">
        <v>29</v>
      </c>
      <c r="AN92" s="197"/>
      <c r="AO92" s="197"/>
      <c r="AP92" s="197"/>
      <c r="AR92" s="205"/>
    </row>
    <row r="93" spans="1:53" s="4" customFormat="1" ht="60" customHeight="1" x14ac:dyDescent="0.2">
      <c r="A93" s="27" t="s">
        <v>79</v>
      </c>
      <c r="B93" s="333" t="s">
        <v>218</v>
      </c>
      <c r="C93" s="333"/>
      <c r="D93" s="27" t="s">
        <v>79</v>
      </c>
      <c r="AM93" s="212"/>
      <c r="AN93" s="199"/>
      <c r="AO93" s="199"/>
      <c r="AP93" s="212"/>
      <c r="AQ93" s="213"/>
      <c r="AR93" s="184"/>
      <c r="AS93" s="199"/>
      <c r="AT93" s="199"/>
      <c r="AU93" s="148"/>
      <c r="AV93" s="199"/>
      <c r="AW93" s="180"/>
      <c r="AX93" s="180"/>
      <c r="AY93" s="180"/>
      <c r="AZ93" s="180"/>
      <c r="BA93" s="180"/>
    </row>
    <row r="94" spans="1:53" ht="17" thickBot="1" x14ac:dyDescent="0.25">
      <c r="B94" s="332" t="s">
        <v>31</v>
      </c>
      <c r="C94" s="332"/>
      <c r="AN94" s="331" t="s">
        <v>31</v>
      </c>
      <c r="AO94" s="331"/>
      <c r="AR94" s="205"/>
    </row>
    <row r="95" spans="1:53" ht="17" thickTop="1" x14ac:dyDescent="0.2">
      <c r="A95" s="42"/>
      <c r="B95" s="33"/>
      <c r="C95" s="43">
        <f>JEs!E20</f>
        <v>864200</v>
      </c>
      <c r="D95" s="40" t="s">
        <v>159</v>
      </c>
      <c r="AM95" s="172"/>
      <c r="AN95" s="200"/>
      <c r="AO95" s="200">
        <f>Trx!AN9</f>
        <v>864200</v>
      </c>
      <c r="AP95" s="193" t="s">
        <v>159</v>
      </c>
      <c r="AR95" s="205"/>
    </row>
    <row r="96" spans="1:53" x14ac:dyDescent="0.2">
      <c r="A96" s="42"/>
      <c r="B96" s="30"/>
      <c r="C96" s="64"/>
      <c r="D96" s="40"/>
      <c r="AM96" s="193"/>
      <c r="AN96" s="210"/>
      <c r="AO96" s="210"/>
      <c r="AP96" s="193"/>
      <c r="AR96" s="205"/>
    </row>
    <row r="97" spans="1:44" ht="17" thickBot="1" x14ac:dyDescent="0.25">
      <c r="A97" s="42"/>
      <c r="B97" s="52"/>
      <c r="C97" s="53"/>
      <c r="D97" s="40"/>
      <c r="AM97" s="193"/>
      <c r="AN97" s="200"/>
      <c r="AO97" s="200"/>
      <c r="AP97" s="193"/>
      <c r="AR97" s="205"/>
    </row>
    <row r="98" spans="1:44" ht="17" thickTop="1" x14ac:dyDescent="0.2">
      <c r="A98" s="296" t="s">
        <v>34</v>
      </c>
      <c r="B98" s="80" t="str">
        <f>IF(SUM(C95:C97)-SUM(B95:B97)&lt;0,SUM(B95:B97)-SUM(C95:C97),"")</f>
        <v/>
      </c>
      <c r="C98" s="68">
        <f>IF(SUM(B95:B97)&gt;SUM(C95:C97),"",SUM(C95:C97)-SUM(B95:B97))</f>
        <v>864200</v>
      </c>
      <c r="AM98" s="172"/>
      <c r="AO98" s="151">
        <f>SUM(AO95:AO97)-SUM(AN95:AN97)</f>
        <v>864200</v>
      </c>
      <c r="AR98" s="205">
        <f>IF(AND(SUM(B95:C97)&gt;10,SUM(B95:B97)&lt;SUM(C95:C97)),$AR$18,0)</f>
        <v>6.25</v>
      </c>
    </row>
    <row r="99" spans="1:44" ht="17" thickBot="1" x14ac:dyDescent="0.25">
      <c r="A99" s="135" t="s">
        <v>35</v>
      </c>
      <c r="B99" s="218">
        <f>C98</f>
        <v>864200</v>
      </c>
      <c r="C99" s="219"/>
      <c r="D99" s="215" t="s">
        <v>165</v>
      </c>
      <c r="AM99" s="172"/>
      <c r="AN99" s="200">
        <f>AO98</f>
        <v>864200</v>
      </c>
      <c r="AO99" s="200"/>
      <c r="AP99" s="193" t="s">
        <v>165</v>
      </c>
      <c r="AR99" s="205"/>
    </row>
    <row r="100" spans="1:44" ht="17" thickTop="1" x14ac:dyDescent="0.2">
      <c r="A100" s="296" t="s">
        <v>36</v>
      </c>
      <c r="B100" s="301" t="str">
        <f>IF(SUM(C98:C99)-SUM(B98:B99)&lt;0,SUM(B98:B99)-SUM(C98:C99),"")</f>
        <v/>
      </c>
      <c r="C100" s="298">
        <f>IF(SUM(B98:B99)&gt;SUM(C98:C99),0,SUM(C98:C99)-SUM(B98:B99))</f>
        <v>0</v>
      </c>
      <c r="AM100" s="172"/>
      <c r="AN100" s="154"/>
      <c r="AO100" s="154">
        <f>SUM(AO98:AO99)-SUM(AN98:AN99)</f>
        <v>0</v>
      </c>
      <c r="AR100" s="205"/>
    </row>
    <row r="101" spans="1:44" x14ac:dyDescent="0.2">
      <c r="AR101" s="205"/>
    </row>
    <row r="102" spans="1:44" ht="17" thickBot="1" x14ac:dyDescent="0.25">
      <c r="A102" s="6"/>
      <c r="B102" s="332" t="s">
        <v>32</v>
      </c>
      <c r="C102" s="332"/>
      <c r="D102" s="6"/>
      <c r="AM102" s="207"/>
      <c r="AN102" s="331" t="s">
        <v>32</v>
      </c>
      <c r="AO102" s="331"/>
      <c r="AP102" s="207"/>
      <c r="AR102" s="205"/>
    </row>
    <row r="103" spans="1:44" ht="17" thickTop="1" x14ac:dyDescent="0.2">
      <c r="A103" s="42" t="s">
        <v>159</v>
      </c>
      <c r="B103" s="33">
        <f>JEs!D16</f>
        <v>353800</v>
      </c>
      <c r="C103" s="43"/>
      <c r="D103" s="40"/>
      <c r="AM103" s="172"/>
      <c r="AN103" s="200"/>
      <c r="AO103" s="200"/>
      <c r="AP103" s="193"/>
      <c r="AR103" s="205"/>
    </row>
    <row r="104" spans="1:44" x14ac:dyDescent="0.2">
      <c r="A104" s="42"/>
      <c r="B104" s="30"/>
      <c r="C104" s="64"/>
      <c r="D104" s="40"/>
      <c r="AM104" s="193"/>
      <c r="AN104" s="210"/>
      <c r="AO104" s="210"/>
      <c r="AP104" s="193"/>
      <c r="AR104" s="205"/>
    </row>
    <row r="105" spans="1:44" ht="17" thickBot="1" x14ac:dyDescent="0.25">
      <c r="A105" s="42"/>
      <c r="B105" s="52"/>
      <c r="C105" s="53"/>
      <c r="D105" s="40"/>
      <c r="AM105" s="193" t="s">
        <v>159</v>
      </c>
      <c r="AN105" s="200">
        <f>AO46</f>
        <v>353800</v>
      </c>
      <c r="AO105" s="200"/>
      <c r="AP105" s="193"/>
      <c r="AR105" s="205"/>
    </row>
    <row r="106" spans="1:44" ht="17" thickTop="1" x14ac:dyDescent="0.2">
      <c r="A106" s="19" t="s">
        <v>34</v>
      </c>
      <c r="B106" s="5">
        <f>IF(SUM(B103:B105)-SUM(C103:C105)&gt;=0,SUM(B103:B105)-SUM(C103:C105),0)</f>
        <v>353800</v>
      </c>
      <c r="C106" s="68" t="str">
        <f>IF(SUM(B103:B105)-SUM(C103:C105)&lt;0,-1*(SUM(B103:B105)-SUM(C103:C105)),"")</f>
        <v/>
      </c>
      <c r="AM106" s="172"/>
      <c r="AN106" s="154">
        <f>SUM(AN103:AN105)-SUM(AO103:AO105)</f>
        <v>353800</v>
      </c>
      <c r="AO106" s="149"/>
      <c r="AR106" s="205">
        <f>IF(AND(SUM(B103:C105)&gt;10,SUM(B103:B105)&gt;SUM(C103:C105)),$AR$18,0)</f>
        <v>6.25</v>
      </c>
    </row>
    <row r="107" spans="1:44" ht="17" thickBot="1" x14ac:dyDescent="0.25">
      <c r="A107" s="300" t="s">
        <v>35</v>
      </c>
      <c r="B107" s="218"/>
      <c r="C107" s="219">
        <f>B106</f>
        <v>353800</v>
      </c>
      <c r="D107" s="215" t="s">
        <v>166</v>
      </c>
      <c r="AM107" s="172"/>
      <c r="AN107" s="200"/>
      <c r="AO107" s="200">
        <f>AN106</f>
        <v>353800</v>
      </c>
      <c r="AP107" s="193" t="s">
        <v>166</v>
      </c>
      <c r="AR107" s="205"/>
    </row>
    <row r="108" spans="1:44" ht="17" thickTop="1" x14ac:dyDescent="0.2">
      <c r="A108" s="135" t="s">
        <v>36</v>
      </c>
      <c r="B108" s="299">
        <f>IF(SUM(B106:B107)-SUM(C106:C107)&gt;=0,SUM(B106:B107)-SUM(C106:C107),0)</f>
        <v>0</v>
      </c>
      <c r="C108" s="298" t="str">
        <f>IF(SUM(B106:B107)-SUM(C106:C107)&lt;0,-1*(SUM(B106:B107)-SUM(C106:C107)),"")</f>
        <v/>
      </c>
      <c r="AM108" s="172"/>
      <c r="AN108" s="154">
        <f>SUM(AN106:AN107)-SUM(AO106:AO107)</f>
        <v>0</v>
      </c>
      <c r="AO108" s="149"/>
      <c r="AR108" s="205"/>
    </row>
    <row r="109" spans="1:44" x14ac:dyDescent="0.2">
      <c r="A109" s="19"/>
      <c r="B109" s="5"/>
      <c r="C109" s="3"/>
      <c r="AM109" s="172"/>
      <c r="AN109" s="154"/>
      <c r="AO109" s="149"/>
      <c r="AR109" s="205"/>
    </row>
    <row r="110" spans="1:44" ht="17" thickBot="1" x14ac:dyDescent="0.25">
      <c r="A110" s="6"/>
      <c r="B110" s="332" t="s">
        <v>33</v>
      </c>
      <c r="C110" s="332"/>
      <c r="D110" s="6"/>
      <c r="AM110" s="207"/>
      <c r="AN110" s="331" t="s">
        <v>33</v>
      </c>
      <c r="AO110" s="331"/>
      <c r="AP110" s="207"/>
      <c r="AR110" s="205"/>
    </row>
    <row r="111" spans="1:44" ht="17" thickTop="1" x14ac:dyDescent="0.2">
      <c r="A111" s="42"/>
      <c r="B111" s="33"/>
      <c r="C111" s="43"/>
      <c r="D111" s="40"/>
      <c r="AM111" s="172"/>
      <c r="AN111" s="200"/>
      <c r="AO111" s="200"/>
      <c r="AP111" s="193"/>
      <c r="AR111" s="205"/>
    </row>
    <row r="112" spans="1:44" x14ac:dyDescent="0.2">
      <c r="A112" s="42"/>
      <c r="B112" s="30"/>
      <c r="C112" s="64"/>
      <c r="D112" s="40"/>
      <c r="AM112" s="193"/>
      <c r="AN112" s="200"/>
      <c r="AO112" s="200"/>
      <c r="AP112" s="193"/>
      <c r="AR112" s="205"/>
    </row>
    <row r="113" spans="1:44" ht="17" thickBot="1" x14ac:dyDescent="0.25">
      <c r="A113" s="42"/>
      <c r="B113" s="52"/>
      <c r="C113" s="53"/>
      <c r="D113" s="40"/>
      <c r="AM113" s="193"/>
      <c r="AN113" s="200"/>
      <c r="AO113" s="200"/>
      <c r="AP113" s="193"/>
      <c r="AR113" s="205"/>
    </row>
    <row r="114" spans="1:44" ht="17" thickTop="1" x14ac:dyDescent="0.2">
      <c r="A114" s="19" t="s">
        <v>103</v>
      </c>
      <c r="B114" s="5">
        <f>IF(SUM(B111:B113)-SUM(C111:C113)&gt;=0,SUM(B111:B113)-SUM(C111:C113),0)</f>
        <v>0</v>
      </c>
      <c r="C114" s="68" t="str">
        <f>IF(SUM(B111:B113)-SUM(C111:C113)&lt;0,-1*(SUM(B111:B113)-SUM(C111:C113)),"")</f>
        <v/>
      </c>
      <c r="AM114" s="172" t="s">
        <v>103</v>
      </c>
      <c r="AN114" s="154">
        <f>SUM(AN111:AN113)-SUM(AO111:AO113)</f>
        <v>0</v>
      </c>
      <c r="AO114" s="149"/>
      <c r="AR114" s="205">
        <f>IF(AND(SUM(B111:C113)=0,SUM(B111:B113)=SUM(C111:C113)),$AR$18/2,0)</f>
        <v>3.125</v>
      </c>
    </row>
    <row r="115" spans="1:44" ht="17" thickBot="1" x14ac:dyDescent="0.25">
      <c r="A115" s="216" t="s">
        <v>20</v>
      </c>
      <c r="B115" s="218">
        <f>JEs!D29</f>
        <v>12530</v>
      </c>
      <c r="C115" s="219"/>
      <c r="D115" s="215" t="s">
        <v>162</v>
      </c>
      <c r="AM115" s="214" t="s">
        <v>20</v>
      </c>
      <c r="AN115" s="200">
        <f>Trx!AP14</f>
        <v>12530</v>
      </c>
      <c r="AO115" s="200"/>
      <c r="AP115" s="193" t="s">
        <v>162</v>
      </c>
      <c r="AR115" s="205"/>
    </row>
    <row r="116" spans="1:44" ht="17" thickTop="1" x14ac:dyDescent="0.2">
      <c r="A116" s="135" t="s">
        <v>34</v>
      </c>
      <c r="B116" s="5">
        <f>IF(SUM(B114:B115)-SUM(C114:C115)&gt;=0,SUM(B114:B115)-SUM(C114:C115),0)</f>
        <v>12530</v>
      </c>
      <c r="C116" s="68" t="str">
        <f>IF(SUM(B113:B115)-SUM(C113:C115)&lt;0,-1*(SUM(B113:B115)-SUM(C113:C115)),"")</f>
        <v/>
      </c>
      <c r="AM116" s="172" t="s">
        <v>34</v>
      </c>
      <c r="AN116" s="154">
        <f>SUM(AN113:AN115)-SUM(AO113:AO115)</f>
        <v>12530</v>
      </c>
      <c r="AO116" s="149"/>
      <c r="AR116" s="205">
        <f>IF(AND(SUM(B115:C115)&gt;10,SUM(C115)&lt;SUM(B115)),$AR$18/2,0)</f>
        <v>3.125</v>
      </c>
    </row>
    <row r="117" spans="1:44" ht="17" thickBot="1" x14ac:dyDescent="0.25">
      <c r="A117" s="296" t="s">
        <v>35</v>
      </c>
      <c r="B117" s="218"/>
      <c r="C117" s="219">
        <f>B116</f>
        <v>12530</v>
      </c>
      <c r="D117" s="215" t="s">
        <v>166</v>
      </c>
      <c r="AM117" s="172" t="s">
        <v>35</v>
      </c>
      <c r="AN117" s="200"/>
      <c r="AO117" s="200">
        <f>AN116</f>
        <v>12530</v>
      </c>
      <c r="AP117" s="193" t="s">
        <v>166</v>
      </c>
      <c r="AR117" s="205"/>
    </row>
    <row r="118" spans="1:44" ht="17" thickTop="1" x14ac:dyDescent="0.2">
      <c r="A118" s="296" t="s">
        <v>36</v>
      </c>
      <c r="B118" s="299">
        <f>IF(SUM(B116:B117)-SUM(C116:C117)&gt;=0,SUM(B116:B117)-SUM(C116:C117),0)</f>
        <v>0</v>
      </c>
      <c r="C118" s="298" t="str">
        <f>IF(SUM(B114:B117)-SUM(C114:C117)&lt;0,-1*(SUM(B114:B117)-SUM(C114:C117)),"")</f>
        <v/>
      </c>
      <c r="AM118" s="172" t="s">
        <v>36</v>
      </c>
      <c r="AN118" s="154">
        <f>SUM(AN116:AN117)-SUM(AO116:AO117)</f>
        <v>0</v>
      </c>
      <c r="AO118" s="149"/>
      <c r="AR118" s="205"/>
    </row>
    <row r="119" spans="1:44" x14ac:dyDescent="0.2">
      <c r="AR119" s="205"/>
    </row>
    <row r="120" spans="1:44" ht="17" thickBot="1" x14ac:dyDescent="0.25">
      <c r="A120" s="6"/>
      <c r="B120" s="332" t="s">
        <v>12</v>
      </c>
      <c r="C120" s="332"/>
      <c r="D120" s="6"/>
      <c r="AM120" s="207"/>
      <c r="AN120" s="331" t="s">
        <v>12</v>
      </c>
      <c r="AO120" s="331"/>
      <c r="AP120" s="207"/>
      <c r="AR120" s="205"/>
    </row>
    <row r="121" spans="1:44" ht="17" thickTop="1" x14ac:dyDescent="0.2">
      <c r="A121" s="42" t="s">
        <v>160</v>
      </c>
      <c r="B121" s="33">
        <f>JEs!D21</f>
        <v>47680</v>
      </c>
      <c r="C121" s="43"/>
      <c r="D121" s="40"/>
      <c r="AM121" s="172"/>
      <c r="AN121" s="200">
        <f>AO39</f>
        <v>47680</v>
      </c>
      <c r="AO121" s="200"/>
      <c r="AP121" s="193"/>
      <c r="AR121" s="205"/>
    </row>
    <row r="122" spans="1:44" x14ac:dyDescent="0.2">
      <c r="A122" s="42"/>
      <c r="B122" s="30"/>
      <c r="C122" s="64"/>
      <c r="D122" s="40"/>
      <c r="AM122" s="193"/>
      <c r="AN122" s="200"/>
      <c r="AO122" s="200"/>
      <c r="AP122" s="193"/>
      <c r="AR122" s="205"/>
    </row>
    <row r="123" spans="1:44" ht="17" thickBot="1" x14ac:dyDescent="0.25">
      <c r="A123" s="42"/>
      <c r="B123" s="52"/>
      <c r="C123" s="53"/>
      <c r="D123" s="40"/>
      <c r="AM123" s="193"/>
      <c r="AN123" s="200"/>
      <c r="AO123" s="200"/>
      <c r="AP123" s="193"/>
      <c r="AR123" s="205"/>
    </row>
    <row r="124" spans="1:44" ht="17" thickTop="1" x14ac:dyDescent="0.2">
      <c r="A124" s="19" t="s">
        <v>103</v>
      </c>
      <c r="B124" s="5">
        <f>IF(SUM(B121:B123)-SUM(C121:C123)&gt;=0,SUM(B121:B123)-SUM(C121:C123),0)</f>
        <v>47680</v>
      </c>
      <c r="C124" s="68" t="str">
        <f>IF(SUM(B121:B123)-SUM(C121:C123)&lt;0,-1*(SUM(B121:B123)-SUM(C121:C123)),"")</f>
        <v/>
      </c>
      <c r="AM124" s="172" t="s">
        <v>103</v>
      </c>
      <c r="AN124" s="154">
        <f>IF(SUM(AN121:AN123)-SUM(AO121:AO123)&gt;=0,SUM(AN121:AN123)-SUM(AO121:AO123),0)</f>
        <v>47680</v>
      </c>
      <c r="AO124" s="149"/>
      <c r="AR124" s="205">
        <f>IF(AND(SUM(B121:C123)&gt;10,SUM(B121:B123)&gt;SUM(C121:C123)),$AR$18/2,0)</f>
        <v>3.125</v>
      </c>
    </row>
    <row r="125" spans="1:44" ht="17" thickBot="1" x14ac:dyDescent="0.25">
      <c r="A125" s="216" t="s">
        <v>20</v>
      </c>
      <c r="B125" s="218">
        <f>JEs!D31</f>
        <v>100160</v>
      </c>
      <c r="C125" s="219"/>
      <c r="D125" s="215" t="s">
        <v>163</v>
      </c>
      <c r="AM125" s="214" t="s">
        <v>20</v>
      </c>
      <c r="AN125" s="210">
        <f>Trx!AN15</f>
        <v>100160</v>
      </c>
      <c r="AO125" s="200"/>
      <c r="AP125" s="193" t="s">
        <v>163</v>
      </c>
      <c r="AR125" s="205"/>
    </row>
    <row r="126" spans="1:44" ht="17" thickTop="1" x14ac:dyDescent="0.2">
      <c r="A126" s="296" t="s">
        <v>34</v>
      </c>
      <c r="B126" s="5">
        <f>IF(SUM(B124:B125)-SUM(C124:C125)&gt;=0,SUM(B124:B125)-SUM(C124:C125),0)</f>
        <v>147840</v>
      </c>
      <c r="C126" s="68" t="str">
        <f>IF(SUM(B123:B125)-SUM(C123:C125)&lt;0,-1*(SUM(B123:B125)-SUM(C123:C125)),"")</f>
        <v/>
      </c>
      <c r="AM126" s="172" t="s">
        <v>34</v>
      </c>
      <c r="AN126" s="154">
        <f>IF(SUM(AN124:AN125)-SUM(AO124:AO125)&gt;=0,SUM(AN124:AN125)-SUM(AO124:AO125),0)</f>
        <v>147840</v>
      </c>
      <c r="AO126" s="149"/>
      <c r="AR126" s="205">
        <f>IF(AND(SUM(B125:C125)&gt;10,SUM(C125)&lt;SUM(B125)),$AR$18/2,0)</f>
        <v>3.125</v>
      </c>
    </row>
    <row r="127" spans="1:44" ht="17" thickBot="1" x14ac:dyDescent="0.25">
      <c r="A127" s="296" t="s">
        <v>35</v>
      </c>
      <c r="B127" s="218"/>
      <c r="C127" s="219">
        <f>B126</f>
        <v>147840</v>
      </c>
      <c r="D127" s="215" t="s">
        <v>166</v>
      </c>
      <c r="AM127" s="172" t="s">
        <v>35</v>
      </c>
      <c r="AN127" s="210"/>
      <c r="AO127" s="200">
        <f>AN126</f>
        <v>147840</v>
      </c>
      <c r="AP127" s="193" t="s">
        <v>166</v>
      </c>
      <c r="AR127" s="205"/>
    </row>
    <row r="128" spans="1:44" ht="17" thickTop="1" x14ac:dyDescent="0.2">
      <c r="A128" s="19" t="s">
        <v>36</v>
      </c>
      <c r="B128" s="5">
        <f>IF(SUM(B126:B127)-SUM(C126:C127)&gt;=0,SUM(B126:B127)-SUM(C126:C127),0)</f>
        <v>0</v>
      </c>
      <c r="C128" s="68" t="str">
        <f>IF(SUM(B124:B127)-SUM(C124:C127)&lt;0,-1*(SUM(B124:B127)-SUM(C124:C127)),"")</f>
        <v/>
      </c>
      <c r="AM128" s="172" t="s">
        <v>36</v>
      </c>
      <c r="AN128" s="154">
        <f>IF(SUM(AN126:AN127)-SUM(AO126:AO127)&gt;=0,SUM(AN126:AN127)-SUM(AO126:AO127),0)</f>
        <v>0</v>
      </c>
      <c r="AO128" s="149"/>
      <c r="AR128" s="205"/>
    </row>
    <row r="129" spans="1:44" x14ac:dyDescent="0.2">
      <c r="AR129" s="205"/>
    </row>
    <row r="130" spans="1:44" ht="17" thickBot="1" x14ac:dyDescent="0.25">
      <c r="A130" s="6"/>
      <c r="B130" s="332" t="s">
        <v>13</v>
      </c>
      <c r="C130" s="332"/>
      <c r="D130" s="6"/>
      <c r="AM130" s="207"/>
      <c r="AN130" s="331" t="s">
        <v>13</v>
      </c>
      <c r="AO130" s="331"/>
      <c r="AP130" s="207"/>
      <c r="AR130" s="205"/>
    </row>
    <row r="131" spans="1:44" ht="17" thickTop="1" x14ac:dyDescent="0.2">
      <c r="A131" s="42"/>
      <c r="B131" s="33"/>
      <c r="C131" s="43"/>
      <c r="D131" s="40"/>
      <c r="AM131" s="172"/>
      <c r="AN131" s="200"/>
      <c r="AO131" s="200"/>
      <c r="AP131" s="193"/>
      <c r="AR131" s="205"/>
    </row>
    <row r="132" spans="1:44" x14ac:dyDescent="0.2">
      <c r="A132" s="42"/>
      <c r="B132" s="30"/>
      <c r="C132" s="64"/>
      <c r="D132" s="40"/>
      <c r="AM132" s="193"/>
      <c r="AN132" s="200"/>
      <c r="AO132" s="200"/>
      <c r="AP132" s="193"/>
      <c r="AR132" s="205"/>
    </row>
    <row r="133" spans="1:44" ht="17" thickBot="1" x14ac:dyDescent="0.25">
      <c r="A133" s="42"/>
      <c r="B133" s="52"/>
      <c r="C133" s="53"/>
      <c r="D133" s="40"/>
      <c r="AM133" s="193"/>
      <c r="AN133" s="200"/>
      <c r="AO133" s="200"/>
      <c r="AP133" s="193"/>
      <c r="AR133" s="205"/>
    </row>
    <row r="134" spans="1:44" ht="17" thickTop="1" x14ac:dyDescent="0.2">
      <c r="A134" s="19" t="s">
        <v>103</v>
      </c>
      <c r="B134" s="5">
        <f>IF(SUM(B131:B133)-SUM(C131:C133)&gt;=0,SUM(B131:B133)-SUM(C131:C133),0)</f>
        <v>0</v>
      </c>
      <c r="C134" s="68" t="str">
        <f>IF(SUM(B131:B133)-SUM(C131:C133)&lt;0,-1*(SUM(B131:B133)-SUM(C131:C133)),"")</f>
        <v/>
      </c>
      <c r="AM134" s="172" t="s">
        <v>103</v>
      </c>
      <c r="AN134" s="154">
        <f>IF(SUM(AN131:AN133)-SUM(AO131:AO133)&gt;=0,SUM(AN131:AN133)-SUM(AO131:AO133),0)</f>
        <v>0</v>
      </c>
      <c r="AO134" s="149"/>
      <c r="AR134" s="205">
        <f>IF(AND(SUM(B131:C133)=0,SUM(B131:B133)=SUM(C131:C133)),$AR$18/2,0)</f>
        <v>3.125</v>
      </c>
    </row>
    <row r="135" spans="1:44" ht="17" thickBot="1" x14ac:dyDescent="0.25">
      <c r="A135" s="216" t="s">
        <v>20</v>
      </c>
      <c r="B135" s="218">
        <f>JEs!D33</f>
        <v>43230</v>
      </c>
      <c r="C135" s="219"/>
      <c r="D135" s="215" t="s">
        <v>164</v>
      </c>
      <c r="AM135" s="214" t="s">
        <v>20</v>
      </c>
      <c r="AN135" s="210">
        <f>Trx!AN16</f>
        <v>43230</v>
      </c>
      <c r="AO135" s="200"/>
      <c r="AP135" s="193" t="s">
        <v>164</v>
      </c>
      <c r="AR135" s="205"/>
    </row>
    <row r="136" spans="1:44" ht="17" thickTop="1" x14ac:dyDescent="0.2">
      <c r="A136" s="296" t="s">
        <v>34</v>
      </c>
      <c r="B136" s="5">
        <f>IF(SUM(B134:B135)-SUM(C134:C135)&gt;=0,SUM(B134:B135)-SUM(C134:C135),0)</f>
        <v>43230</v>
      </c>
      <c r="C136" s="68" t="str">
        <f>IF(SUM(B133:B135)-SUM(C133:C135)&lt;0,-1*(SUM(B133:B135)-SUM(C133:C135)),"")</f>
        <v/>
      </c>
      <c r="AM136" s="172" t="s">
        <v>34</v>
      </c>
      <c r="AN136" s="154">
        <f>IF(SUM(AN134:AN135)-SUM(AO134:AO135)&gt;=0,SUM(AN134:AN135)-SUM(AO134:AO135),0)</f>
        <v>43230</v>
      </c>
      <c r="AO136" s="149"/>
      <c r="AR136" s="205">
        <f>IF(AND(SUM(B135:C135)&gt;10,SUM(C135)&lt;SUM(B135)),$AR$18/2,0)</f>
        <v>3.125</v>
      </c>
    </row>
    <row r="137" spans="1:44" ht="17" thickBot="1" x14ac:dyDescent="0.25">
      <c r="A137" s="296" t="s">
        <v>35</v>
      </c>
      <c r="B137" s="218"/>
      <c r="C137" s="219">
        <f>B136</f>
        <v>43230</v>
      </c>
      <c r="D137" s="215" t="s">
        <v>166</v>
      </c>
      <c r="AM137" s="172" t="s">
        <v>35</v>
      </c>
      <c r="AN137" s="210"/>
      <c r="AO137" s="200">
        <f>AN136</f>
        <v>43230</v>
      </c>
      <c r="AP137" s="193" t="s">
        <v>166</v>
      </c>
      <c r="AR137" s="205"/>
    </row>
    <row r="138" spans="1:44" ht="17" thickTop="1" x14ac:dyDescent="0.2">
      <c r="A138" s="296" t="s">
        <v>36</v>
      </c>
      <c r="B138" s="297">
        <f>IF(SUM(B136:B137)-SUM(C136:C137)&gt;=0,SUM(B136:B137)-SUM(C136:C137),0)</f>
        <v>0</v>
      </c>
      <c r="C138" s="298" t="str">
        <f>IF(SUM(B134:B137)-SUM(C134:C137)&lt;0,-1*(SUM(B134:B137)-SUM(C134:C137)),"")</f>
        <v/>
      </c>
      <c r="AM138" s="172" t="s">
        <v>36</v>
      </c>
      <c r="AN138" s="154">
        <f>IF(SUM(AN136:AN137)-SUM(AO136:AO137)&gt;=0,SUM(AN136:AN137)-SUM(AO136:AO137),0)</f>
        <v>0</v>
      </c>
      <c r="AO138" s="149"/>
      <c r="AR138" s="205"/>
    </row>
    <row r="139" spans="1:44" x14ac:dyDescent="0.2">
      <c r="AR139" s="205"/>
    </row>
    <row r="140" spans="1:44" ht="17" thickBot="1" x14ac:dyDescent="0.25">
      <c r="A140" s="6"/>
      <c r="B140" s="332" t="s">
        <v>197</v>
      </c>
      <c r="C140" s="332"/>
      <c r="D140" s="6"/>
      <c r="AM140" s="207"/>
      <c r="AN140" s="331" t="s">
        <v>197</v>
      </c>
      <c r="AO140" s="331"/>
      <c r="AP140" s="207"/>
      <c r="AR140" s="205"/>
    </row>
    <row r="141" spans="1:44" ht="17" thickTop="1" x14ac:dyDescent="0.2">
      <c r="A141" s="42"/>
      <c r="B141" s="33"/>
      <c r="C141" s="43"/>
      <c r="D141" s="40"/>
      <c r="AM141" s="172"/>
      <c r="AN141" s="200"/>
      <c r="AO141" s="200"/>
      <c r="AP141" s="193"/>
      <c r="AR141" s="205"/>
    </row>
    <row r="142" spans="1:44" x14ac:dyDescent="0.2">
      <c r="A142" s="42"/>
      <c r="B142" s="30"/>
      <c r="C142" s="64"/>
      <c r="D142" s="40"/>
      <c r="AM142" s="193"/>
      <c r="AN142" s="200"/>
      <c r="AO142" s="200"/>
      <c r="AP142" s="193"/>
      <c r="AR142" s="205"/>
    </row>
    <row r="143" spans="1:44" ht="17" thickBot="1" x14ac:dyDescent="0.25">
      <c r="A143" s="42"/>
      <c r="B143" s="52"/>
      <c r="C143" s="53"/>
      <c r="D143" s="40"/>
      <c r="AM143" s="193"/>
      <c r="AN143" s="200"/>
      <c r="AO143" s="200"/>
      <c r="AP143" s="193"/>
      <c r="AR143" s="205"/>
    </row>
    <row r="144" spans="1:44" ht="17" thickTop="1" x14ac:dyDescent="0.2">
      <c r="A144" s="19" t="s">
        <v>103</v>
      </c>
      <c r="B144" s="5">
        <f>IF(SUM(B141:B143)-SUM(C141:C143)&gt;=0,SUM(B141:B143)-SUM(C141:C143),0)</f>
        <v>0</v>
      </c>
      <c r="C144" s="68" t="str">
        <f>IF(SUM(B141:B143)-SUM(C141:C143)&lt;0,-1*(SUM(B141:B143)-SUM(C141:C143)),"")</f>
        <v/>
      </c>
      <c r="AM144" s="172" t="s">
        <v>103</v>
      </c>
      <c r="AN144" s="154">
        <f>SUM(AN141:AN143)-SUM(AO141:AO143)</f>
        <v>0</v>
      </c>
      <c r="AO144" s="149"/>
      <c r="AR144" s="205">
        <f>IF(AND(SUM(B141:C143)=0,SUM(B141:B143)=SUM(C141:C143)),$AR$18/2,0)</f>
        <v>3.125</v>
      </c>
    </row>
    <row r="145" spans="1:44" ht="17" thickBot="1" x14ac:dyDescent="0.25">
      <c r="A145" s="216" t="s">
        <v>20</v>
      </c>
      <c r="B145" s="218">
        <f>JEs!D35</f>
        <v>30799</v>
      </c>
      <c r="C145" s="219"/>
      <c r="D145" s="215" t="s">
        <v>196</v>
      </c>
      <c r="AM145" s="214" t="s">
        <v>20</v>
      </c>
      <c r="AN145" s="200">
        <f>Trx!AN17</f>
        <v>30799</v>
      </c>
      <c r="AO145" s="200"/>
      <c r="AP145" s="211" t="s">
        <v>196</v>
      </c>
      <c r="AR145" s="205"/>
    </row>
    <row r="146" spans="1:44" ht="17" thickTop="1" x14ac:dyDescent="0.2">
      <c r="A146" s="296" t="s">
        <v>34</v>
      </c>
      <c r="B146" s="5">
        <f>IF(SUM(B144:B145)-SUM(C144:C145)&gt;=0,SUM(B144:B145)-SUM(C144:C145),0)</f>
        <v>30799</v>
      </c>
      <c r="C146" s="68" t="str">
        <f>IF(SUM(B143:B145)-SUM(C143:C145)&lt;0,-1*(SUM(B143:B145)-SUM(C143:C145)),"")</f>
        <v/>
      </c>
      <c r="AM146" s="172" t="s">
        <v>34</v>
      </c>
      <c r="AN146" s="154">
        <f>SUM(AN144:AN145)-SUM(AO144:AO145)</f>
        <v>30799</v>
      </c>
      <c r="AO146" s="149"/>
      <c r="AR146" s="205">
        <f>IF(AND(SUM(B145:C145)&gt;10,SUM(C145)&lt;SUM(B145)),$AR$18/2,0)</f>
        <v>3.125</v>
      </c>
    </row>
    <row r="147" spans="1:44" ht="17" thickBot="1" x14ac:dyDescent="0.25">
      <c r="A147" s="296" t="s">
        <v>35</v>
      </c>
      <c r="B147" s="218"/>
      <c r="C147" s="219">
        <f>B146</f>
        <v>30799</v>
      </c>
      <c r="D147" s="215" t="s">
        <v>166</v>
      </c>
      <c r="AM147" s="172" t="s">
        <v>35</v>
      </c>
      <c r="AN147" s="200"/>
      <c r="AO147" s="200">
        <f>AN145</f>
        <v>30799</v>
      </c>
      <c r="AP147" s="193" t="s">
        <v>166</v>
      </c>
      <c r="AR147" s="205"/>
    </row>
    <row r="148" spans="1:44" ht="17" thickTop="1" x14ac:dyDescent="0.2">
      <c r="A148" s="296" t="s">
        <v>36</v>
      </c>
      <c r="B148" s="297">
        <f>IF(SUM(B146:B147)-SUM(C146:C147)&gt;=0,SUM(B146:B147)-SUM(C146:C147),0)</f>
        <v>0</v>
      </c>
      <c r="C148" s="298" t="str">
        <f>IF(SUM(B144:B147)-SUM(C144:C147)&lt;0,-1*(SUM(B144:B147)-SUM(C144:C147)),"")</f>
        <v/>
      </c>
      <c r="AM148" s="172" t="s">
        <v>36</v>
      </c>
      <c r="AN148" s="154">
        <f>SUM(AN146:AN147)-SUM(AO146:AO147)</f>
        <v>0</v>
      </c>
      <c r="AO148" s="149"/>
      <c r="AR148" s="205"/>
    </row>
    <row r="149" spans="1:44" x14ac:dyDescent="0.2">
      <c r="AR149" s="205"/>
    </row>
    <row r="150" spans="1:44" ht="17" thickBot="1" x14ac:dyDescent="0.25">
      <c r="A150" s="6"/>
      <c r="B150" s="332" t="s">
        <v>95</v>
      </c>
      <c r="C150" s="332"/>
      <c r="D150" s="6"/>
      <c r="AM150" s="207"/>
      <c r="AN150" s="331" t="s">
        <v>95</v>
      </c>
      <c r="AO150" s="331"/>
      <c r="AP150" s="207"/>
      <c r="AR150" s="205"/>
    </row>
    <row r="151" spans="1:44" ht="17" thickTop="1" x14ac:dyDescent="0.2">
      <c r="A151" s="42" t="s">
        <v>42</v>
      </c>
      <c r="B151" s="33">
        <f>JEs!D27</f>
        <v>177200</v>
      </c>
      <c r="C151" s="43"/>
      <c r="D151" s="40"/>
      <c r="AM151" s="172"/>
      <c r="AN151" s="200"/>
      <c r="AO151" s="200"/>
      <c r="AP151" s="193"/>
      <c r="AR151" s="205"/>
    </row>
    <row r="152" spans="1:44" x14ac:dyDescent="0.2">
      <c r="A152" s="42"/>
      <c r="B152" s="30"/>
      <c r="C152" s="64"/>
      <c r="D152" s="40"/>
      <c r="AM152" s="193"/>
      <c r="AN152" s="200"/>
      <c r="AO152" s="200"/>
      <c r="AP152" s="193"/>
      <c r="AR152" s="205"/>
    </row>
    <row r="153" spans="1:44" ht="17" thickBot="1" x14ac:dyDescent="0.25">
      <c r="A153" s="42"/>
      <c r="B153" s="52"/>
      <c r="C153" s="53"/>
      <c r="D153" s="40"/>
      <c r="AM153" s="193"/>
      <c r="AN153" s="200">
        <f>Trx!AN12</f>
        <v>177200</v>
      </c>
      <c r="AO153" s="200"/>
      <c r="AP153" s="193"/>
      <c r="AR153" s="205"/>
    </row>
    <row r="154" spans="1:44" ht="17" thickTop="1" x14ac:dyDescent="0.2">
      <c r="A154" s="19" t="s">
        <v>34</v>
      </c>
      <c r="B154" s="5">
        <f>IF(SUM(B151:B153)-SUM(C151:C153)&gt;=0,SUM(B151:B153)-SUM(C151:C153),0)</f>
        <v>177200</v>
      </c>
      <c r="C154" s="68" t="str">
        <f>IF(SUM(B151:B153)-SUM(C151:C153)&lt;0,-1*(SUM(B151:B153)-SUM(C151:C153)),"")</f>
        <v/>
      </c>
      <c r="AM154" s="172"/>
      <c r="AN154" s="154">
        <f>SUM(AN151:AN153)-SUM(AO151:AO153)</f>
        <v>177200</v>
      </c>
      <c r="AO154" s="149"/>
      <c r="AR154" s="205">
        <f>IF(AND(SUM(B151:C153)&gt;10,SUM(B151:B153)&gt;SUM(C151:C153)),$AR$18,0)</f>
        <v>6.25</v>
      </c>
    </row>
    <row r="155" spans="1:44" ht="17" thickBot="1" x14ac:dyDescent="0.25">
      <c r="A155" s="305" t="s">
        <v>35</v>
      </c>
      <c r="B155" s="218"/>
      <c r="C155" s="219">
        <f>B154</f>
        <v>177200</v>
      </c>
      <c r="D155" s="215" t="s">
        <v>167</v>
      </c>
      <c r="AM155" s="172"/>
      <c r="AN155" s="200"/>
      <c r="AO155" s="200">
        <f>AN154</f>
        <v>177200</v>
      </c>
      <c r="AP155" s="193" t="s">
        <v>167</v>
      </c>
    </row>
    <row r="156" spans="1:44" ht="17" thickTop="1" x14ac:dyDescent="0.2">
      <c r="A156" s="19" t="s">
        <v>36</v>
      </c>
      <c r="B156" s="5">
        <f>IF(SUM(B154:B155)-SUM(C154:C155)&gt;=0,SUM(B154:B155)-SUM(C154:C155),0)</f>
        <v>0</v>
      </c>
      <c r="C156" s="68" t="str">
        <f>IF(SUM(B154:B155)-SUM(C154:C155)&lt;0,-1*(SUM(B154:B155)-SUM(C154:C155)),"")</f>
        <v/>
      </c>
      <c r="AM156" s="172"/>
      <c r="AN156" s="154">
        <f>SUM(AN154:AN155)-SUM(AO154:AO155)</f>
        <v>0</v>
      </c>
      <c r="AO156" s="149"/>
      <c r="AR156" s="205"/>
    </row>
  </sheetData>
  <sheetProtection algorithmName="SHA-512" hashValue="hi9M++sREexmWj6KsrgbxRbXDo9G9EnssJneNd8eEHwf2/olu4joLNHrEUM2ph1ChcGfSgg1YEmgHUUJlzN7yA==" saltValue="yPn91SJUq/+cnetdyjDOtw==" spinCount="100000" sheet="1" formatCells="0"/>
  <mergeCells count="41">
    <mergeCell ref="AN110:AO110"/>
    <mergeCell ref="AN79:AO79"/>
    <mergeCell ref="AN84:AO84"/>
    <mergeCell ref="AN94:AO94"/>
    <mergeCell ref="AN102:AO102"/>
    <mergeCell ref="AN54:AO54"/>
    <mergeCell ref="AN11:AO11"/>
    <mergeCell ref="AN23:AO23"/>
    <mergeCell ref="AN29:AO29"/>
    <mergeCell ref="AN63:AO63"/>
    <mergeCell ref="B29:C29"/>
    <mergeCell ref="B37:C37"/>
    <mergeCell ref="AN37:AO37"/>
    <mergeCell ref="AN44:AO44"/>
    <mergeCell ref="AN49:AO49"/>
    <mergeCell ref="B110:C110"/>
    <mergeCell ref="B120:C120"/>
    <mergeCell ref="AN120:AO120"/>
    <mergeCell ref="B130:C130"/>
    <mergeCell ref="A9:D9"/>
    <mergeCell ref="A61:D61"/>
    <mergeCell ref="A77:D77"/>
    <mergeCell ref="A92:D92"/>
    <mergeCell ref="B79:C79"/>
    <mergeCell ref="B84:C84"/>
    <mergeCell ref="B44:C44"/>
    <mergeCell ref="B49:C49"/>
    <mergeCell ref="B54:C54"/>
    <mergeCell ref="B63:C63"/>
    <mergeCell ref="B11:C11"/>
    <mergeCell ref="B23:C23"/>
    <mergeCell ref="B70:C70"/>
    <mergeCell ref="AN70:AO70"/>
    <mergeCell ref="B102:C102"/>
    <mergeCell ref="B94:C94"/>
    <mergeCell ref="B93:C93"/>
    <mergeCell ref="AN130:AO130"/>
    <mergeCell ref="B140:C140"/>
    <mergeCell ref="AN140:AO140"/>
    <mergeCell ref="B150:C150"/>
    <mergeCell ref="AN150:AO150"/>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9485-1DC5-4E9C-8DF3-1F9A0964A66F}">
  <sheetPr codeName="Sheet7">
    <tabColor rgb="FF0000FF"/>
  </sheetPr>
  <dimension ref="A1:AU28"/>
  <sheetViews>
    <sheetView showGridLines="0" zoomScale="107" zoomScaleNormal="100" workbookViewId="0">
      <selection activeCell="D30" sqref="D30"/>
    </sheetView>
  </sheetViews>
  <sheetFormatPr baseColWidth="10" defaultColWidth="10.6640625" defaultRowHeight="16" x14ac:dyDescent="0.2"/>
  <cols>
    <col min="1" max="1" width="31.5" bestFit="1" customWidth="1"/>
    <col min="2" max="2" width="15.33203125" bestFit="1" customWidth="1"/>
    <col min="3" max="3" width="16.5" bestFit="1" customWidth="1"/>
    <col min="4" max="4" width="39.83203125" customWidth="1"/>
    <col min="5" max="5" width="7.5" customWidth="1"/>
    <col min="6" max="6" width="5.33203125" customWidth="1"/>
    <col min="7" max="38" width="9.5" customWidth="1"/>
    <col min="39" max="45" width="9.5" style="148" hidden="1" customWidth="1"/>
    <col min="46" max="46" width="9.5" hidden="1" customWidth="1"/>
    <col min="47" max="47" width="10.6640625" hidden="1" customWidth="1"/>
    <col min="48" max="64" width="0" hidden="1" customWidth="1"/>
  </cols>
  <sheetData>
    <row r="1" spans="1:45" x14ac:dyDescent="0.2">
      <c r="A1" s="55" t="s">
        <v>217</v>
      </c>
      <c r="B1" s="56"/>
      <c r="C1" s="56"/>
      <c r="D1" s="56"/>
      <c r="E1" s="56"/>
      <c r="AM1" s="149" t="s">
        <v>247</v>
      </c>
      <c r="AP1" s="149" t="s">
        <v>106</v>
      </c>
      <c r="AQ1" s="149">
        <f>AQ25</f>
        <v>5</v>
      </c>
      <c r="AS1" s="148" t="s">
        <v>248</v>
      </c>
    </row>
    <row r="2" spans="1:45" x14ac:dyDescent="0.2">
      <c r="A2" s="55" t="s">
        <v>219</v>
      </c>
      <c r="B2" s="56"/>
      <c r="C2" s="56"/>
      <c r="D2" s="56"/>
      <c r="E2" s="56"/>
      <c r="AM2" s="149"/>
      <c r="AP2" s="176" t="s">
        <v>87</v>
      </c>
      <c r="AQ2" s="148">
        <f>Rubric!I6</f>
        <v>5</v>
      </c>
    </row>
    <row r="3" spans="1:45" x14ac:dyDescent="0.2">
      <c r="AQ3" s="177">
        <f>AQ1/AQ2</f>
        <v>1</v>
      </c>
    </row>
    <row r="4" spans="1:45" x14ac:dyDescent="0.2">
      <c r="A4" s="3" t="str">
        <f ca="1">"Pre-Closing, Adjusted Trial Balance for "&amp;Start!C4&amp;" as of December 31, "&amp;Data!D3</f>
        <v>Pre-Closing, Adjusted Trial Balance for Accounting101 as of December 31, 2021</v>
      </c>
      <c r="AM4" s="149"/>
      <c r="AQ4" s="157" t="s">
        <v>136</v>
      </c>
    </row>
    <row r="5" spans="1:45" x14ac:dyDescent="0.2">
      <c r="A5" s="12"/>
      <c r="B5" s="13" t="s">
        <v>1</v>
      </c>
      <c r="C5" s="14" t="s">
        <v>2</v>
      </c>
      <c r="D5" s="27"/>
      <c r="AN5" s="149" t="s">
        <v>1</v>
      </c>
      <c r="AO5" s="149" t="s">
        <v>2</v>
      </c>
      <c r="AQ5" s="148" t="s">
        <v>146</v>
      </c>
      <c r="AR5" s="148" t="s">
        <v>134</v>
      </c>
      <c r="AS5" s="172">
        <f>IFERROR(VLOOKUP(AR5,Rubric!$K$2:$L$4,2,0),0)</f>
        <v>100</v>
      </c>
    </row>
    <row r="6" spans="1:45" x14ac:dyDescent="0.2">
      <c r="A6" s="18" t="s">
        <v>3</v>
      </c>
      <c r="B6" s="2">
        <f>Ledger!B21</f>
        <v>410790</v>
      </c>
      <c r="C6" s="16"/>
      <c r="AM6" s="148" t="s">
        <v>3</v>
      </c>
      <c r="AN6" s="151">
        <f>Ledger!AN21</f>
        <v>410790</v>
      </c>
      <c r="AO6" s="151"/>
    </row>
    <row r="7" spans="1:45" x14ac:dyDescent="0.2">
      <c r="A7" s="17" t="s">
        <v>4</v>
      </c>
      <c r="B7" s="15">
        <f>Ledger!B27</f>
        <v>194530</v>
      </c>
      <c r="C7" s="16"/>
      <c r="D7" s="10"/>
      <c r="AM7" s="148" t="s">
        <v>4</v>
      </c>
      <c r="AN7" s="151">
        <f>Ledger!AN27</f>
        <v>194530</v>
      </c>
      <c r="AO7" s="151"/>
      <c r="AR7" s="149" t="s">
        <v>22</v>
      </c>
    </row>
    <row r="8" spans="1:45" x14ac:dyDescent="0.2">
      <c r="A8" s="17" t="s">
        <v>5</v>
      </c>
      <c r="B8" s="15">
        <f>Ledger!B35</f>
        <v>2530</v>
      </c>
      <c r="C8" s="16"/>
      <c r="AM8" s="148" t="s">
        <v>5</v>
      </c>
      <c r="AN8" s="151">
        <f>Ledger!AN35</f>
        <v>2530</v>
      </c>
      <c r="AO8" s="151"/>
    </row>
    <row r="9" spans="1:45" x14ac:dyDescent="0.2">
      <c r="A9" s="17" t="s">
        <v>6</v>
      </c>
      <c r="B9" s="73">
        <f>Ledger!B42</f>
        <v>50080</v>
      </c>
      <c r="C9" s="16"/>
      <c r="D9" s="3"/>
      <c r="E9" s="5"/>
      <c r="AM9" s="148" t="s">
        <v>6</v>
      </c>
      <c r="AN9" s="151">
        <f>Ledger!AN42</f>
        <v>50080</v>
      </c>
      <c r="AO9" s="151"/>
    </row>
    <row r="10" spans="1:45" x14ac:dyDescent="0.2">
      <c r="A10" s="17" t="s">
        <v>18</v>
      </c>
      <c r="B10" s="15">
        <f>Ledger!B47</f>
        <v>12200</v>
      </c>
      <c r="C10" s="16"/>
      <c r="D10" s="3"/>
      <c r="AM10" s="148" t="s">
        <v>18</v>
      </c>
      <c r="AN10" s="151">
        <f>Ledger!AN47</f>
        <v>12200</v>
      </c>
      <c r="AO10" s="151"/>
    </row>
    <row r="11" spans="1:45" x14ac:dyDescent="0.2">
      <c r="A11" s="17" t="s">
        <v>7</v>
      </c>
      <c r="B11" s="15">
        <f>Ledger!B52</f>
        <v>432300</v>
      </c>
      <c r="C11" s="16"/>
      <c r="D11" s="3"/>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48" t="s">
        <v>7</v>
      </c>
      <c r="AN11" s="151">
        <f>Ledger!AN52</f>
        <v>432300</v>
      </c>
      <c r="AO11" s="151"/>
    </row>
    <row r="12" spans="1:45" x14ac:dyDescent="0.2">
      <c r="A12" s="17" t="s">
        <v>8</v>
      </c>
      <c r="B12" s="15"/>
      <c r="C12" s="16">
        <f>Ledger!C59</f>
        <v>64845</v>
      </c>
      <c r="D12" s="3"/>
      <c r="AM12" s="148" t="s">
        <v>8</v>
      </c>
      <c r="AN12" s="151"/>
      <c r="AO12" s="151">
        <f>Ledger!AO59</f>
        <v>64845</v>
      </c>
    </row>
    <row r="13" spans="1:45" x14ac:dyDescent="0.2">
      <c r="A13" s="17" t="s">
        <v>9</v>
      </c>
      <c r="B13" s="15"/>
      <c r="C13" s="16">
        <f>Ledger!C68</f>
        <v>193360</v>
      </c>
      <c r="D13" s="10"/>
      <c r="AM13" s="148" t="s">
        <v>9</v>
      </c>
      <c r="AN13" s="151"/>
      <c r="AO13" s="151">
        <f>Ledger!AO68</f>
        <v>193360</v>
      </c>
    </row>
    <row r="14" spans="1:45" x14ac:dyDescent="0.2">
      <c r="A14" s="17" t="s">
        <v>80</v>
      </c>
      <c r="B14" s="15"/>
      <c r="C14" s="16">
        <f>Ledger!C75</f>
        <v>30799</v>
      </c>
      <c r="D14" s="10"/>
      <c r="AM14" s="148" t="s">
        <v>80</v>
      </c>
      <c r="AN14" s="151"/>
      <c r="AO14" s="151">
        <f>Ledger!AO75</f>
        <v>30799</v>
      </c>
    </row>
    <row r="15" spans="1:45" x14ac:dyDescent="0.2">
      <c r="A15" s="17" t="s">
        <v>10</v>
      </c>
      <c r="B15" s="15"/>
      <c r="C15" s="16">
        <f>Ledger!C82</f>
        <v>443000</v>
      </c>
      <c r="AM15" s="148" t="s">
        <v>10</v>
      </c>
      <c r="AN15" s="151"/>
      <c r="AO15" s="151">
        <f>Ledger!AO82</f>
        <v>443000</v>
      </c>
    </row>
    <row r="16" spans="1:45" x14ac:dyDescent="0.2">
      <c r="A16" s="17" t="s">
        <v>11</v>
      </c>
      <c r="B16" s="15"/>
      <c r="C16" s="16">
        <f>Ledger!C86</f>
        <v>271625</v>
      </c>
      <c r="D16" s="113" t="str">
        <f ca="1">"NOTE: R/E represents the balance at the beginning of "&amp;Data!D3</f>
        <v>NOTE: R/E represents the balance at the beginning of 2021</v>
      </c>
      <c r="AM16" s="148" t="s">
        <v>11</v>
      </c>
      <c r="AN16" s="151"/>
      <c r="AO16" s="151">
        <f>Ledger!AO86</f>
        <v>271625</v>
      </c>
    </row>
    <row r="17" spans="1:44" x14ac:dyDescent="0.2">
      <c r="A17" s="17" t="s">
        <v>95</v>
      </c>
      <c r="B17" s="15">
        <f>Ledger!B154</f>
        <v>177200</v>
      </c>
      <c r="C17" s="16"/>
      <c r="D17" s="3"/>
      <c r="AM17" s="148" t="s">
        <v>95</v>
      </c>
      <c r="AN17" s="151">
        <f>Ledger!AN154</f>
        <v>177200</v>
      </c>
      <c r="AO17" s="151"/>
    </row>
    <row r="18" spans="1:44" x14ac:dyDescent="0.2">
      <c r="A18" s="17" t="s">
        <v>14</v>
      </c>
      <c r="B18" s="15"/>
      <c r="C18" s="16">
        <f>Ledger!C98</f>
        <v>864200</v>
      </c>
      <c r="AM18" s="148" t="s">
        <v>14</v>
      </c>
      <c r="AN18" s="151"/>
      <c r="AO18" s="151">
        <f>Ledger!AO98</f>
        <v>864200</v>
      </c>
    </row>
    <row r="19" spans="1:44" x14ac:dyDescent="0.2">
      <c r="A19" s="17" t="s">
        <v>15</v>
      </c>
      <c r="B19" s="15">
        <f>Ledger!B106</f>
        <v>353800</v>
      </c>
      <c r="C19" s="16"/>
      <c r="AM19" s="148" t="s">
        <v>15</v>
      </c>
      <c r="AN19" s="151">
        <f>Ledger!AN106</f>
        <v>353800</v>
      </c>
      <c r="AO19" s="151"/>
    </row>
    <row r="20" spans="1:44" x14ac:dyDescent="0.2">
      <c r="A20" s="17" t="s">
        <v>16</v>
      </c>
      <c r="B20" s="15">
        <f>Ledger!B116</f>
        <v>12530</v>
      </c>
      <c r="C20" s="16"/>
      <c r="AM20" s="148" t="s">
        <v>16</v>
      </c>
      <c r="AN20" s="151">
        <f>Ledger!AN116</f>
        <v>12530</v>
      </c>
      <c r="AO20" s="151"/>
    </row>
    <row r="21" spans="1:44" x14ac:dyDescent="0.2">
      <c r="A21" s="17" t="s">
        <v>12</v>
      </c>
      <c r="B21" s="15">
        <f>Ledger!B126</f>
        <v>147840</v>
      </c>
      <c r="C21" s="16"/>
      <c r="AM21" s="148" t="s">
        <v>12</v>
      </c>
      <c r="AN21" s="151">
        <f>Ledger!AN126</f>
        <v>147840</v>
      </c>
      <c r="AO21" s="151"/>
    </row>
    <row r="22" spans="1:44" x14ac:dyDescent="0.2">
      <c r="A22" s="17" t="s">
        <v>13</v>
      </c>
      <c r="B22" s="15">
        <f>Ledger!B136</f>
        <v>43230</v>
      </c>
      <c r="C22" s="16"/>
      <c r="AM22" s="148" t="s">
        <v>13</v>
      </c>
      <c r="AN22" s="151">
        <f>Ledger!AN136</f>
        <v>43230</v>
      </c>
      <c r="AO22" s="151"/>
    </row>
    <row r="23" spans="1:44" x14ac:dyDescent="0.2">
      <c r="A23" s="17" t="s">
        <v>197</v>
      </c>
      <c r="B23" s="15">
        <f>Ledger!B146</f>
        <v>30799</v>
      </c>
      <c r="C23" s="16"/>
      <c r="AM23" s="148" t="s">
        <v>197</v>
      </c>
      <c r="AN23" s="151">
        <f>Ledger!AN146</f>
        <v>30799</v>
      </c>
      <c r="AO23" s="151"/>
    </row>
    <row r="24" spans="1:44" x14ac:dyDescent="0.2">
      <c r="A24" s="1" t="s">
        <v>0</v>
      </c>
      <c r="B24" s="9">
        <f>SUM(B6:B23)</f>
        <v>1867829</v>
      </c>
      <c r="C24" s="9">
        <f>SUM(C6:C23)</f>
        <v>1867829</v>
      </c>
      <c r="D24" s="2"/>
      <c r="AM24" s="155" t="s">
        <v>0</v>
      </c>
      <c r="AN24" s="156">
        <f>SUM(AN6:AN23)</f>
        <v>1867829</v>
      </c>
      <c r="AO24" s="156">
        <f>SUM(AO6:AO23)</f>
        <v>1867829</v>
      </c>
      <c r="AQ24" s="149" t="s">
        <v>139</v>
      </c>
    </row>
    <row r="25" spans="1:44" x14ac:dyDescent="0.2">
      <c r="B25" s="75" t="str">
        <f>IF(C25=0,"","Variance:")</f>
        <v/>
      </c>
      <c r="C25" s="2">
        <f>C24-B24</f>
        <v>0</v>
      </c>
      <c r="AN25" s="173" t="str">
        <f>IF(AO25=0,"","Variance:")</f>
        <v/>
      </c>
      <c r="AO25" s="151">
        <f>AO24-AN24</f>
        <v>0</v>
      </c>
      <c r="AQ25" s="148">
        <f>IF(ABS(C25)&lt;=AS5,Rubric!$C$6,Rubric!$D$6)</f>
        <v>5</v>
      </c>
      <c r="AR25" s="148" t="str">
        <f>IFERROR(IF(AQ25=Rubric!$C$6,"The Adjusted Trial Balance is in balance!","The Adjusted Trial Balance is not in balance."),"You must enter a user ID that is at least 6 digits.")</f>
        <v>The Adjusted Trial Balance is in balance!</v>
      </c>
    </row>
    <row r="27" spans="1:44" x14ac:dyDescent="0.2">
      <c r="A27" t="s">
        <v>320</v>
      </c>
    </row>
    <row r="28" spans="1:44" x14ac:dyDescent="0.2">
      <c r="A28" t="s">
        <v>321</v>
      </c>
    </row>
  </sheetData>
  <sheetProtection algorithmName="SHA-512" hashValue="fYRFDR00W4azthyAJUKuUyneEDvgf4Trnb9fNBaTSKhBXKVZjvGdqcDDQ5J7+JtLOffGrPmlLevamKhWJTvyNA==" saltValue="/EQz1nFQP9Frd68qMoBbAg==" spinCount="100000" sheet="1" objects="1" scenarios="1"/>
  <pageMargins left="0.75" right="0.75" top="1" bottom="1" header="0.5" footer="0.5"/>
  <pageSetup orientation="landscape"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FF6E2E-2C52-40FE-860A-CF43FEDD55DD}">
          <x14:formula1>
            <xm:f>Rubric!$K$2:$K$4</xm:f>
          </x14:formula1>
          <xm:sqref>AR5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rgb="FF00B050"/>
  </sheetPr>
  <dimension ref="A1:BF31"/>
  <sheetViews>
    <sheetView showGridLines="0" tabSelected="1" zoomScaleNormal="100" workbookViewId="0">
      <selection activeCell="C28" sqref="C28"/>
    </sheetView>
  </sheetViews>
  <sheetFormatPr baseColWidth="10" defaultColWidth="10.6640625" defaultRowHeight="16" x14ac:dyDescent="0.2"/>
  <cols>
    <col min="1" max="1" width="29.1640625" customWidth="1"/>
    <col min="2" max="2" width="11.5" customWidth="1"/>
    <col min="3" max="3" width="12.6640625" customWidth="1"/>
    <col min="4" max="4" width="21" bestFit="1" customWidth="1"/>
    <col min="5" max="5" width="4.5" customWidth="1"/>
    <col min="6" max="38" width="9.5" customWidth="1"/>
    <col min="39" max="40" width="9.5" style="148" hidden="1" customWidth="1"/>
    <col min="41" max="41" width="10" style="148" hidden="1" customWidth="1"/>
    <col min="42" max="43" width="9.5" style="148" hidden="1" customWidth="1"/>
    <col min="44" max="44" width="9.5" style="274" hidden="1" customWidth="1"/>
    <col min="45" max="45" width="9.6640625" style="193" hidden="1" customWidth="1"/>
    <col min="46" max="46" width="9.33203125" style="193" hidden="1" customWidth="1"/>
    <col min="47" max="47" width="8.5" style="193" hidden="1" customWidth="1"/>
    <col min="48" max="48" width="9.5" style="193" hidden="1" customWidth="1"/>
    <col min="49" max="50" width="9.5" style="246" hidden="1" customWidth="1"/>
    <col min="51" max="53" width="9.5" style="148" hidden="1" customWidth="1"/>
    <col min="54" max="54" width="18.5" style="148" hidden="1" customWidth="1"/>
    <col min="55" max="55" width="9.5" style="194" hidden="1" customWidth="1"/>
    <col min="56" max="57" width="0" style="194" hidden="1" customWidth="1"/>
    <col min="58" max="58" width="0" style="178" hidden="1" customWidth="1"/>
    <col min="59" max="64" width="0" hidden="1" customWidth="1"/>
  </cols>
  <sheetData>
    <row r="1" spans="1:55" x14ac:dyDescent="0.2">
      <c r="A1" s="3" t="str">
        <f>"Prepared by: "&amp;Name</f>
        <v>Prepared by: Ishika Patel</v>
      </c>
      <c r="AM1" s="148" t="s">
        <v>247</v>
      </c>
      <c r="AN1" s="149"/>
      <c r="AP1" s="246"/>
      <c r="AQ1" s="246"/>
      <c r="AV1" s="157" t="s">
        <v>106</v>
      </c>
      <c r="AW1" s="157" t="s">
        <v>131</v>
      </c>
      <c r="AX1" s="157" t="s">
        <v>229</v>
      </c>
      <c r="AY1" s="150" t="s">
        <v>235</v>
      </c>
      <c r="AZ1" s="149" t="s">
        <v>22</v>
      </c>
      <c r="BB1" s="148" t="s">
        <v>248</v>
      </c>
    </row>
    <row r="2" spans="1:55" x14ac:dyDescent="0.2">
      <c r="A2" s="3" t="str">
        <f>"Student ID: "&amp;ID</f>
        <v>Student ID: 109495372</v>
      </c>
      <c r="AN2" s="149"/>
      <c r="AP2" s="176"/>
      <c r="AQ2" s="246"/>
      <c r="AR2" s="275"/>
      <c r="AS2" s="246"/>
      <c r="AT2" s="246"/>
      <c r="AV2" s="276">
        <f ca="1">SUM(AW11:AW43)</f>
        <v>100</v>
      </c>
      <c r="AW2" s="201">
        <f>'Steps &amp; Rubric'!B17/100</f>
        <v>0.45</v>
      </c>
      <c r="AX2" s="246">
        <f ca="1">AV2*AW2</f>
        <v>45</v>
      </c>
      <c r="AY2" s="277">
        <f>AW2*SUM(AX11:AX32)</f>
        <v>45</v>
      </c>
    </row>
    <row r="3" spans="1:55" x14ac:dyDescent="0.2">
      <c r="AP3" s="193"/>
      <c r="AQ3" s="278"/>
      <c r="AR3" s="274" t="s">
        <v>202</v>
      </c>
      <c r="AS3" s="193">
        <f>4*AS4</f>
        <v>20</v>
      </c>
      <c r="AT3" s="193">
        <f>4*AT4</f>
        <v>24</v>
      </c>
      <c r="AX3" s="279"/>
    </row>
    <row r="4" spans="1:55" x14ac:dyDescent="0.2">
      <c r="AS4" s="193">
        <v>5</v>
      </c>
      <c r="AT4" s="193">
        <v>6</v>
      </c>
      <c r="AV4" s="176"/>
      <c r="AW4" s="278"/>
      <c r="AX4" s="278"/>
    </row>
    <row r="5" spans="1:55" x14ac:dyDescent="0.2">
      <c r="AP5" s="157"/>
      <c r="AR5" s="148"/>
      <c r="AS5" s="280" t="s">
        <v>270</v>
      </c>
      <c r="AT5" s="246" t="s">
        <v>269</v>
      </c>
      <c r="AW5" s="246">
        <f>SUM(AS3:AT3)</f>
        <v>44</v>
      </c>
    </row>
    <row r="6" spans="1:55" ht="15" customHeight="1" x14ac:dyDescent="0.2">
      <c r="AR6" s="246"/>
      <c r="AS6" s="246"/>
      <c r="AT6" s="246"/>
      <c r="AU6" s="246"/>
      <c r="AV6" s="246"/>
    </row>
    <row r="7" spans="1:55" x14ac:dyDescent="0.2">
      <c r="A7" s="59" t="str">
        <f>Company</f>
        <v>Accounting101</v>
      </c>
      <c r="B7" s="60"/>
      <c r="AN7" s="149"/>
      <c r="AR7" s="274" t="s">
        <v>202</v>
      </c>
      <c r="AS7" s="193">
        <f>6*AS8</f>
        <v>24</v>
      </c>
      <c r="AT7" s="193">
        <f>6*AT10</f>
        <v>-18</v>
      </c>
      <c r="AU7" s="193">
        <f>12*AU10</f>
        <v>-60</v>
      </c>
      <c r="AV7" s="193">
        <f>6*AV8</f>
        <v>24</v>
      </c>
      <c r="AW7" s="246">
        <f>AS7+AV7</f>
        <v>48</v>
      </c>
    </row>
    <row r="8" spans="1:55" x14ac:dyDescent="0.2">
      <c r="A8" s="59" t="s">
        <v>49</v>
      </c>
      <c r="B8" s="60"/>
      <c r="AN8" s="149"/>
      <c r="AS8" s="193">
        <v>4</v>
      </c>
      <c r="AV8" s="193">
        <v>4</v>
      </c>
    </row>
    <row r="9" spans="1:55" x14ac:dyDescent="0.2">
      <c r="A9" s="59" t="str">
        <f ca="1">"For the year ended December 31, "&amp;Data!D3</f>
        <v>For the year ended December 31, 2021</v>
      </c>
      <c r="B9" s="60"/>
      <c r="AM9" s="281" t="s">
        <v>141</v>
      </c>
      <c r="AN9" s="149"/>
      <c r="AR9" s="274" t="s">
        <v>141</v>
      </c>
      <c r="AS9" s="246" t="s">
        <v>273</v>
      </c>
      <c r="AT9" s="246" t="s">
        <v>274</v>
      </c>
      <c r="AU9" s="246" t="s">
        <v>275</v>
      </c>
      <c r="AV9" s="246" t="s">
        <v>142</v>
      </c>
      <c r="AW9" s="150" t="s">
        <v>88</v>
      </c>
      <c r="AX9" s="150" t="s">
        <v>199</v>
      </c>
    </row>
    <row r="10" spans="1:55" x14ac:dyDescent="0.2">
      <c r="A10" s="3" t="s">
        <v>91</v>
      </c>
      <c r="B10" s="3" t="s">
        <v>55</v>
      </c>
      <c r="C10" s="3" t="s">
        <v>56</v>
      </c>
      <c r="D10" s="83" t="s">
        <v>105</v>
      </c>
      <c r="AM10" s="281">
        <f>COLUMN(AM12)</f>
        <v>39</v>
      </c>
      <c r="AN10" s="149"/>
      <c r="AR10" s="274">
        <f>COLUMN(AR12)</f>
        <v>44</v>
      </c>
      <c r="AS10" s="193">
        <v>8</v>
      </c>
      <c r="AT10" s="193">
        <v>-3</v>
      </c>
      <c r="AU10" s="193">
        <v>-5</v>
      </c>
      <c r="AV10" s="193">
        <v>8</v>
      </c>
      <c r="BB10" s="149" t="s">
        <v>22</v>
      </c>
    </row>
    <row r="11" spans="1:55" x14ac:dyDescent="0.2">
      <c r="AN11" s="149" t="s">
        <v>54</v>
      </c>
      <c r="AO11" s="149" t="s">
        <v>55</v>
      </c>
      <c r="AP11" s="149" t="s">
        <v>56</v>
      </c>
      <c r="AQ11" s="282"/>
      <c r="AT11" s="246">
        <f>AT12+AT13+AT17+AT18+AT19+AT26</f>
        <v>0</v>
      </c>
      <c r="AY11" s="283" t="s">
        <v>281</v>
      </c>
      <c r="BB11" s="149" t="s">
        <v>249</v>
      </c>
    </row>
    <row r="12" spans="1:55" x14ac:dyDescent="0.2">
      <c r="A12" s="102" t="s">
        <v>31</v>
      </c>
      <c r="B12" s="28">
        <f>'Adj TB'!C18</f>
        <v>864200</v>
      </c>
      <c r="C12" s="2"/>
      <c r="D12" s="39"/>
      <c r="AM12" s="148">
        <f>Rubric!$C$7</f>
        <v>1</v>
      </c>
      <c r="AN12" s="148" t="s">
        <v>31</v>
      </c>
      <c r="AO12" s="151">
        <f>'Adj TB'!AO18</f>
        <v>864200</v>
      </c>
      <c r="AP12" s="151"/>
      <c r="AQ12" s="284" t="s">
        <v>31</v>
      </c>
      <c r="AR12" s="285">
        <v>1</v>
      </c>
      <c r="AS12" s="193">
        <f ca="1">IFERROR(VLOOKUP(AQ12,A:AM,$AM$10,0)*$AS$8,0)</f>
        <v>4</v>
      </c>
      <c r="AT12" s="193">
        <f>IFERROR(VLOOKUP(AQ12,$A$13:$AR$29,$AR$10,0)*$AT$10,0)</f>
        <v>0</v>
      </c>
      <c r="AU12" s="193">
        <f>IFERROR(VLOOKUP(A12,$AY$12:$AZ$23,2,0)*$AU$10,0)</f>
        <v>0</v>
      </c>
      <c r="AV12" s="193">
        <f ca="1">IFERROR(IF((ABS(VLOOKUP(AQ12,A:B,2,0)))=ABS(VLOOKUP(AQ12,AN:AP,2,0)),$AV$8,0),0)</f>
        <v>4</v>
      </c>
      <c r="AW12" s="246">
        <f ca="1">SUM(AS12:AV12)</f>
        <v>8</v>
      </c>
      <c r="AX12" s="246">
        <f>$AS$8+$AV$8</f>
        <v>8</v>
      </c>
      <c r="AY12" s="148" t="s">
        <v>9</v>
      </c>
      <c r="AZ12" s="148">
        <v>1</v>
      </c>
      <c r="BA12" s="148" t="s">
        <v>250</v>
      </c>
      <c r="BB12" s="148" t="str">
        <f ca="1">BA12&amp;AQ12&amp;IF(AS12+AV12=0," is NOT included on the I/S",IF(AV12=$AV$8," is accurately presented."," is NOT accurate."))</f>
        <v xml:space="preserve">   a. Sales revenue is accurately presented.</v>
      </c>
      <c r="BC12" s="196"/>
    </row>
    <row r="13" spans="1:55" x14ac:dyDescent="0.2">
      <c r="A13" s="23" t="s">
        <v>32</v>
      </c>
      <c r="B13" s="65">
        <f>-'Adj TB'!B19</f>
        <v>-353800</v>
      </c>
      <c r="C13" s="34"/>
      <c r="D13" s="39"/>
      <c r="AM13" s="148">
        <f>Rubric!$C$7</f>
        <v>1</v>
      </c>
      <c r="AN13" s="148" t="s">
        <v>32</v>
      </c>
      <c r="AO13" s="151">
        <f>-'Adj TB'!AN19</f>
        <v>-353800</v>
      </c>
      <c r="AP13" s="151"/>
      <c r="AQ13" s="284" t="s">
        <v>15</v>
      </c>
      <c r="AR13" s="285">
        <v>1</v>
      </c>
      <c r="AS13" s="193">
        <f ca="1">IFERROR(VLOOKUP(AQ13,A:AM,$AM$10,0)*$AS$8,0)</f>
        <v>4</v>
      </c>
      <c r="AT13" s="193">
        <f>IFERROR(IFERROR(VLOOKUP(AQ13,$A$12:$AR$12,$AR$10,0)*$AT$10,0)+IFERROR(VLOOKUP(AQ13,$A$17:$AR$29,$AR$10,0)*$AT$10,0),0)</f>
        <v>0</v>
      </c>
      <c r="AU13" s="193">
        <f>IFERROR(VLOOKUP(A13,$AY$12:$AZ$27,2,0)*$AU$10,0)</f>
        <v>0</v>
      </c>
      <c r="AV13" s="193">
        <f ca="1">IFERROR(IF((ABS(VLOOKUP(AQ13,A:B,2,0)))=ABS(VLOOKUP(AQ13,AN:AP,2,0)),$AV$10,0),0)</f>
        <v>8</v>
      </c>
      <c r="AW13" s="246">
        <f ca="1">SUM(AS13:AV13)</f>
        <v>12</v>
      </c>
      <c r="AX13" s="246">
        <f>$AS$8+$AV$10</f>
        <v>12</v>
      </c>
      <c r="AY13" s="148" t="s">
        <v>4</v>
      </c>
      <c r="AZ13" s="148">
        <v>1</v>
      </c>
      <c r="BA13" s="148" t="s">
        <v>251</v>
      </c>
      <c r="BB13" s="148" t="str">
        <f ca="1">BA13&amp;AQ13&amp;IF(AS13+AV13=0," is NOT included on the I/S",IF(AV13=$AV$10," is accurately presented."," is NOT accurate."))</f>
        <v xml:space="preserve">   b. Cost of Goods Sold is accurately presented.</v>
      </c>
      <c r="BC13" s="196"/>
    </row>
    <row r="14" spans="1:55" x14ac:dyDescent="0.2">
      <c r="A14" s="3" t="s">
        <v>50</v>
      </c>
      <c r="B14" s="3"/>
      <c r="C14" s="37">
        <f>SUM(B12:B13)</f>
        <v>510400</v>
      </c>
      <c r="D14" s="82" t="str">
        <f ca="1">IFERROR(_xlfn.FORMULATEXT(C14),"   Missing Formula")</f>
        <v>=SUM(B12:B13)</v>
      </c>
      <c r="AN14" s="149" t="s">
        <v>280</v>
      </c>
      <c r="AO14" s="149"/>
      <c r="AP14" s="154">
        <f>SUM(AO12:AO13)</f>
        <v>510400</v>
      </c>
      <c r="AQ14" s="284"/>
      <c r="AR14" s="280" t="s">
        <v>270</v>
      </c>
      <c r="AS14" s="246">
        <f>IF(_xlfn.ISFORMULA(C14)=TRUE,$AS$4,0)</f>
        <v>5</v>
      </c>
      <c r="AT14" s="246">
        <f>IF(C14="",0,IF(ABS(B12)-ABS(B13)=ABS(C14),$AT$4,0))</f>
        <v>6</v>
      </c>
      <c r="AW14" s="246">
        <f t="shared" ref="AW14" si="0">SUM(AS14:AV14)</f>
        <v>11</v>
      </c>
      <c r="AX14" s="246">
        <f>$AS$4+$AT$4</f>
        <v>11</v>
      </c>
      <c r="AY14" s="148" t="s">
        <v>8</v>
      </c>
      <c r="AZ14" s="148">
        <v>1</v>
      </c>
      <c r="BA14" s="148" t="s">
        <v>252</v>
      </c>
      <c r="BB14" s="148" t="str">
        <f>BA14&amp;AN14&amp;IF(AS14+AT14=0," is NOT correct and a formula was NOT used.",IF(AS14+AT14=$AS$4+$AT$4," was correctly calculated with a formula.",IF(AS14=0," was NOT calculated with a formula, but was correct."," was calculated with a formula, but was NOT correct.")))</f>
        <v xml:space="preserve">   c. Grs Prft was correctly calculated with a formula.</v>
      </c>
    </row>
    <row r="15" spans="1:55" x14ac:dyDescent="0.2">
      <c r="D15" s="39"/>
      <c r="AQ15" s="284"/>
      <c r="AR15" s="285"/>
      <c r="AT15" s="280" t="s">
        <v>268</v>
      </c>
      <c r="AY15" s="148" t="s">
        <v>3</v>
      </c>
      <c r="AZ15" s="148">
        <v>1</v>
      </c>
      <c r="BA15" s="148" t="s">
        <v>253</v>
      </c>
      <c r="BB15" s="148" t="str">
        <f ca="1">BA15&amp;AQ17&amp;IF(AS17+AV17=0," is NOT included on the I/S",IF(AV17=$AV$10," is accurately presented."," is NOT accurate."))</f>
        <v xml:space="preserve">   d. Rent expense is accurately presented.</v>
      </c>
      <c r="BC15" s="196"/>
    </row>
    <row r="16" spans="1:55" x14ac:dyDescent="0.2">
      <c r="A16" s="3" t="s">
        <v>51</v>
      </c>
      <c r="D16" s="39"/>
      <c r="AN16" s="149" t="s">
        <v>279</v>
      </c>
      <c r="AQ16" s="284"/>
      <c r="AR16" s="285"/>
      <c r="AY16" s="148" t="s">
        <v>10</v>
      </c>
      <c r="AZ16" s="148">
        <v>1</v>
      </c>
      <c r="BA16" s="148" t="s">
        <v>254</v>
      </c>
      <c r="BB16" s="148" t="str">
        <f ca="1">BA16&amp;AQ18&amp;IF(AS18+AV18=0," is NOT included on the I/S",IF(AV18=$AV$8," is accurately presented."," is NOT accurate."))</f>
        <v xml:space="preserve">   e. Depreciation expense is accurately presented.</v>
      </c>
    </row>
    <row r="17" spans="1:54" x14ac:dyDescent="0.2">
      <c r="A17" s="102" t="s">
        <v>33</v>
      </c>
      <c r="B17" s="28">
        <f>'Adj TB'!B20</f>
        <v>12530</v>
      </c>
      <c r="D17" s="39"/>
      <c r="AM17" s="148">
        <f>Rubric!$C$7</f>
        <v>1</v>
      </c>
      <c r="AN17" s="148" t="s">
        <v>12</v>
      </c>
      <c r="AO17" s="151">
        <f>'Adj TB'!AN21</f>
        <v>147840</v>
      </c>
      <c r="AQ17" s="284" t="s">
        <v>12</v>
      </c>
      <c r="AR17" s="285">
        <v>1</v>
      </c>
      <c r="AS17" s="193">
        <f ca="1">IFERROR(VLOOKUP(AQ17,A:AM,$AM$10,0)*$AS$8,0)</f>
        <v>4</v>
      </c>
      <c r="AT17" s="193">
        <f>IFERROR(VLOOKUP(AQ17,$A$12:$AR$13,$AR$10,0)*$AT$10,0)</f>
        <v>0</v>
      </c>
      <c r="AU17" s="193">
        <f>IFERROR(VLOOKUP(A17,$AY$12:$AZ$27,2,0)*$AU$10,0)</f>
        <v>0</v>
      </c>
      <c r="AV17" s="193">
        <f ca="1">IFERROR(IF((ABS(VLOOKUP(AQ17,A:B,2,0)))=ABS(VLOOKUP(AQ17,AN:AP,2,0)),$AV$10,0),0)</f>
        <v>8</v>
      </c>
      <c r="AW17" s="246">
        <f ca="1">SUM(AS17:AV17)</f>
        <v>12</v>
      </c>
      <c r="AX17" s="246">
        <f>$AS$8+$AV$10</f>
        <v>12</v>
      </c>
      <c r="AY17" s="148" t="s">
        <v>7</v>
      </c>
      <c r="AZ17" s="148">
        <v>1</v>
      </c>
      <c r="BA17" s="148" t="s">
        <v>255</v>
      </c>
      <c r="BB17" s="148" t="str">
        <f ca="1">BA17&amp;AQ19&amp;IF(AS19+AV19=0," is NOT included on the I/S",IF(AV19=$AV$8," is accurately presented."," is NOT accurate."))</f>
        <v xml:space="preserve">   f. Supplies Expense is accurately presented.</v>
      </c>
    </row>
    <row r="18" spans="1:54" x14ac:dyDescent="0.2">
      <c r="A18" s="24" t="s">
        <v>12</v>
      </c>
      <c r="B18" s="28">
        <f>'Adj TB'!B21</f>
        <v>147840</v>
      </c>
      <c r="D18" s="39"/>
      <c r="AM18" s="148">
        <f>Rubric!$C$7</f>
        <v>1</v>
      </c>
      <c r="AN18" s="148" t="s">
        <v>13</v>
      </c>
      <c r="AO18" s="151">
        <f>'Adj TB'!AN22</f>
        <v>43230</v>
      </c>
      <c r="AQ18" s="284" t="s">
        <v>13</v>
      </c>
      <c r="AR18" s="285">
        <v>1</v>
      </c>
      <c r="AS18" s="193">
        <f ca="1">IFERROR(VLOOKUP(AQ18,A:AM,$AM$10,0)*$AS$8,0)</f>
        <v>4</v>
      </c>
      <c r="AT18" s="193">
        <f>IFERROR(VLOOKUP(AQ18,$A$12:$AR$13,$AR$10,0)*$AT$10,0)</f>
        <v>0</v>
      </c>
      <c r="AU18" s="193">
        <f>IFERROR(VLOOKUP(A18,$AY$12:$AZ$27,2,0)*$AU$10,0)</f>
        <v>0</v>
      </c>
      <c r="AV18" s="193">
        <f ca="1">IFERROR(IF((ABS(VLOOKUP(AQ18,A:B,2,0)))=ABS(VLOOKUP(AQ18,AN:AP,2,0)),$AV$8,0),0)</f>
        <v>4</v>
      </c>
      <c r="AW18" s="246">
        <f t="shared" ref="AW18:AW21" ca="1" si="1">SUM(AS18:AV18)</f>
        <v>8</v>
      </c>
      <c r="AX18" s="246">
        <f>$AS$8+$AV$8</f>
        <v>8</v>
      </c>
      <c r="AY18" s="148" t="s">
        <v>18</v>
      </c>
      <c r="AZ18" s="148">
        <v>1</v>
      </c>
      <c r="BA18" s="148" t="s">
        <v>265</v>
      </c>
      <c r="BB18" s="148" t="str">
        <f>BA18&amp;AN22&amp;IF(AS22+AT22=0," is NOT correct and a formula was NOT used.",IF(AS22+AT22=$AS$4+$AT$4," was correctly calculated with a formula.",IF(AS22=0," was NOT calculated with a formula, but was correct."," was calculated with a formula, but was NOT correct.")))</f>
        <v xml:space="preserve">   g. Tot OpEx was correctly calculated with a formula.</v>
      </c>
    </row>
    <row r="19" spans="1:54" x14ac:dyDescent="0.2">
      <c r="A19" s="24" t="s">
        <v>13</v>
      </c>
      <c r="B19" s="28">
        <f>'Adj TB'!B22</f>
        <v>43230</v>
      </c>
      <c r="D19" s="39"/>
      <c r="AM19" s="148">
        <f>Rubric!$C$7</f>
        <v>1</v>
      </c>
      <c r="AN19" s="148" t="s">
        <v>33</v>
      </c>
      <c r="AO19" s="151">
        <f>'Adj TB'!AN20</f>
        <v>12530</v>
      </c>
      <c r="AQ19" s="284" t="s">
        <v>16</v>
      </c>
      <c r="AR19" s="285">
        <v>1</v>
      </c>
      <c r="AS19" s="193">
        <f ca="1">IFERROR(VLOOKUP(AQ19,A:AM,$AM$10,0)*$AS$8,0)</f>
        <v>4</v>
      </c>
      <c r="AT19" s="193">
        <f>IFERROR(VLOOKUP(AQ19,$A$12:$AR$13,$AR$10,0)*$AT$10,0)</f>
        <v>0</v>
      </c>
      <c r="AU19" s="193">
        <f>IFERROR(VLOOKUP(A19,$AY$12:$AZ$27,2,0)*$AU$10,0)</f>
        <v>0</v>
      </c>
      <c r="AV19" s="193">
        <f ca="1">IFERROR(IF((ABS(VLOOKUP(AQ19,A:B,2,0)))=ABS(VLOOKUP(AQ19,AN:AP,2,0)),$AV$8,0),0)</f>
        <v>4</v>
      </c>
      <c r="AW19" s="246">
        <f t="shared" ca="1" si="1"/>
        <v>8</v>
      </c>
      <c r="AX19" s="246">
        <f>$AS$8+$AV$8</f>
        <v>8</v>
      </c>
      <c r="AY19" s="148" t="s">
        <v>80</v>
      </c>
      <c r="AZ19" s="148">
        <v>1</v>
      </c>
      <c r="BA19" s="148" t="s">
        <v>256</v>
      </c>
      <c r="BB19" s="148" t="str">
        <f>BA19&amp;AN24&amp;IF(AS24+AT24=0," is NOT correct and a formula was NOT used.",IF(AS24+AT24=$AS$4+$AT$4," was correctly calculated with a formula.",IF(AS24=0," was NOT calculated with a formula, but was correct."," was calculated with a formula, but was NOT correct.")))</f>
        <v xml:space="preserve">   h. Inc. preTx was correctly calculated with a formula.</v>
      </c>
    </row>
    <row r="20" spans="1:54" x14ac:dyDescent="0.2">
      <c r="A20" s="24"/>
      <c r="B20" s="28"/>
      <c r="D20" s="39"/>
      <c r="AM20" s="148">
        <f>Rubric!$C$7</f>
        <v>1</v>
      </c>
      <c r="AO20" s="151"/>
      <c r="AQ20" s="284"/>
      <c r="AR20" s="285">
        <v>1</v>
      </c>
      <c r="AU20" s="193">
        <f>IFERROR(VLOOKUP(A20,$AY$12:$AZ$27,2,0)*$AU$10,0)</f>
        <v>0</v>
      </c>
      <c r="AW20" s="246">
        <f t="shared" si="1"/>
        <v>0</v>
      </c>
      <c r="AY20" s="148" t="s">
        <v>6</v>
      </c>
      <c r="AZ20" s="148">
        <v>1</v>
      </c>
      <c r="BA20" s="148" t="s">
        <v>257</v>
      </c>
      <c r="BB20" s="148" t="str">
        <f ca="1">BA20&amp;AQ26&amp;IF(AS26+AV26=0," is NOT included on the I/S",IF(AV26=$AV$8," is accurately presented."," is NOT accurate."))</f>
        <v xml:space="preserve">   i. Tax Expense is accurately presented.</v>
      </c>
    </row>
    <row r="21" spans="1:54" x14ac:dyDescent="0.2">
      <c r="A21" s="24"/>
      <c r="B21" s="28"/>
      <c r="D21" s="39"/>
      <c r="AM21" s="148">
        <f>Rubric!$C$7</f>
        <v>1</v>
      </c>
      <c r="AO21" s="151"/>
      <c r="AQ21" s="284"/>
      <c r="AR21" s="285">
        <v>1</v>
      </c>
      <c r="AU21" s="193">
        <f>IFERROR(VLOOKUP(A21,$AY$12:$AZ$27,2,0)*$AU$10,0)</f>
        <v>0</v>
      </c>
      <c r="AW21" s="246">
        <f t="shared" si="1"/>
        <v>0</v>
      </c>
      <c r="AY21" s="148" t="s">
        <v>11</v>
      </c>
      <c r="AZ21" s="148">
        <v>1</v>
      </c>
      <c r="BA21" s="148" t="s">
        <v>258</v>
      </c>
      <c r="BB21" s="148" t="str">
        <f>BA21&amp;AN28&amp;IF(AS28+AT28=0," is NOT correct and a formula was NOT used.",IF(AS28+AT28=$AS$4+$AT$4," was correctly calculated with a formula.",IF(AS28=0," was NOT calculated with a formula, but was correct."," was calculated with a formula, but was NOT correct.")))</f>
        <v xml:space="preserve">   j. Net Inc. was correctly calculated with a formula.</v>
      </c>
    </row>
    <row r="22" spans="1:54" ht="17" thickBot="1" x14ac:dyDescent="0.25">
      <c r="A22" s="35" t="s">
        <v>52</v>
      </c>
      <c r="B22" s="35"/>
      <c r="C22" s="38">
        <f>SUM(B17:B19)</f>
        <v>203600</v>
      </c>
      <c r="D22" s="82" t="str">
        <f ca="1">IFERROR(_xlfn.FORMULATEXT(C22),"   Missing Formula")</f>
        <v>=SUM(B17:B19)</v>
      </c>
      <c r="AN22" s="149" t="s">
        <v>278</v>
      </c>
      <c r="AO22" s="149"/>
      <c r="AP22" s="154">
        <f>SUM(AO17:AO21)</f>
        <v>203600</v>
      </c>
      <c r="AQ22" s="284"/>
      <c r="AR22" s="280" t="s">
        <v>270</v>
      </c>
      <c r="AS22" s="246">
        <f>IF(_xlfn.ISFORMULA(C22)=TRUE,$AS$4,0)</f>
        <v>5</v>
      </c>
      <c r="AT22" s="246">
        <f>IF(C22="",0,IF(ABS(B17)+ABS(B18)+ABS(B19)+ABS(B20)+ABS(B21)=ABS(C22),$AT$4,0))</f>
        <v>6</v>
      </c>
      <c r="AW22" s="246">
        <f>SUM(AS22:AV22)</f>
        <v>11</v>
      </c>
      <c r="AX22" s="246">
        <f>$AS$4+$AT$4</f>
        <v>11</v>
      </c>
      <c r="AY22" s="148" t="s">
        <v>5</v>
      </c>
      <c r="AZ22" s="148">
        <v>1</v>
      </c>
      <c r="BA22" s="148" t="s">
        <v>259</v>
      </c>
      <c r="BB22" s="148" t="str">
        <f>BA22&amp;IF(AT11=0,"All income statement accounts were properly classified.","There were "&amp;AT11/AT10&amp;" accounts NOT properly classified.")</f>
        <v xml:space="preserve">   k. All income statement accounts were properly classified.</v>
      </c>
    </row>
    <row r="23" spans="1:54" ht="17" thickTop="1" x14ac:dyDescent="0.2">
      <c r="D23" s="39"/>
      <c r="AQ23" s="284"/>
      <c r="AT23" s="246" t="s">
        <v>269</v>
      </c>
      <c r="AY23" s="148" t="s">
        <v>95</v>
      </c>
      <c r="AZ23" s="148">
        <v>1</v>
      </c>
      <c r="BA23" s="148" t="s">
        <v>260</v>
      </c>
      <c r="BB23" s="148" t="str">
        <f>BA23&amp;IF(SUM(AU12:AU29)=0,"All accounts presented were income statement accounts.","At least one non-income statement account was ERRONEOUSLY presented.")</f>
        <v xml:space="preserve">   l. All accounts presented were income statement accounts.</v>
      </c>
    </row>
    <row r="24" spans="1:54" x14ac:dyDescent="0.2">
      <c r="A24" s="36" t="s">
        <v>194</v>
      </c>
      <c r="B24" s="101"/>
      <c r="C24" s="37">
        <f>C14-C22</f>
        <v>306800</v>
      </c>
      <c r="D24" s="82" t="str">
        <f ca="1">IFERROR(_xlfn.FORMULATEXT(C24),"   Missing Formula")</f>
        <v>=C14-C22</v>
      </c>
      <c r="AN24" s="149" t="s">
        <v>276</v>
      </c>
      <c r="AP24" s="154">
        <f>AP14-AP22</f>
        <v>306800</v>
      </c>
      <c r="AQ24" s="284"/>
      <c r="AR24" s="280" t="s">
        <v>270</v>
      </c>
      <c r="AS24" s="246">
        <f>IF(_xlfn.ISFORMULA(C24)=TRUE,$AS$4,0)</f>
        <v>5</v>
      </c>
      <c r="AT24" s="246">
        <f>IF(C24="",0,IF(ABS(C14)-ABS(C22)=ABS(C24),$AT$4,0))</f>
        <v>6</v>
      </c>
      <c r="AW24" s="246">
        <f>SUM(AS24:AV24)</f>
        <v>11</v>
      </c>
      <c r="AX24" s="246">
        <f>$AS$4+$AT$4</f>
        <v>11</v>
      </c>
    </row>
    <row r="25" spans="1:54" x14ac:dyDescent="0.2">
      <c r="D25" s="39"/>
      <c r="AQ25" s="284"/>
      <c r="AR25" s="280"/>
      <c r="AS25" s="246"/>
      <c r="AT25" s="246" t="s">
        <v>269</v>
      </c>
    </row>
    <row r="26" spans="1:54" x14ac:dyDescent="0.2">
      <c r="A26" s="102" t="s">
        <v>200</v>
      </c>
      <c r="B26" s="28">
        <f>'Adj TB'!B23</f>
        <v>30799</v>
      </c>
      <c r="D26" s="39"/>
      <c r="AM26" s="148">
        <v>1</v>
      </c>
      <c r="AN26" s="148" t="s">
        <v>197</v>
      </c>
      <c r="AO26" s="286">
        <f>Trx!AN17</f>
        <v>30799</v>
      </c>
      <c r="AQ26" s="284" t="s">
        <v>197</v>
      </c>
      <c r="AR26" s="285">
        <v>1</v>
      </c>
      <c r="AS26" s="193">
        <f ca="1">IFERROR(VLOOKUP(AQ26,A:AM,$AM$10,0)*$AS$8,0)</f>
        <v>4</v>
      </c>
      <c r="AT26" s="193">
        <f>IFERROR(VLOOKUP(AQ26,$A$12:$AR$21,$AR$10,0)*$AT$10,0)</f>
        <v>0</v>
      </c>
      <c r="AU26" s="193">
        <f>IFERROR(VLOOKUP(A26,$AY$12:$AZ$27,2,0)*$AU$10,0)</f>
        <v>0</v>
      </c>
      <c r="AV26" s="193">
        <f ca="1">IFERROR(IF((ABS(VLOOKUP(AQ26,A:B,2,0)))=ABS(VLOOKUP(AQ26,AN:AP,2,0)),$AV$8,0),0)</f>
        <v>4</v>
      </c>
      <c r="AW26" s="246">
        <f ca="1">SUM(AS26:AV26)</f>
        <v>8</v>
      </c>
      <c r="AX26" s="246">
        <f>$AS$8+$AV$8</f>
        <v>8</v>
      </c>
    </row>
    <row r="27" spans="1:54" x14ac:dyDescent="0.2">
      <c r="D27" s="39"/>
      <c r="AQ27" s="284"/>
      <c r="AT27" s="246"/>
    </row>
    <row r="28" spans="1:54" ht="17" thickBot="1" x14ac:dyDescent="0.25">
      <c r="A28" s="36" t="s">
        <v>53</v>
      </c>
      <c r="B28" s="36"/>
      <c r="C28" s="38">
        <f>C24-B26</f>
        <v>276001</v>
      </c>
      <c r="D28" s="82" t="str">
        <f ca="1">IFERROR(_xlfn.FORMULATEXT(C28),"   Missing Formula")</f>
        <v>=C24-B26</v>
      </c>
      <c r="AN28" s="149" t="s">
        <v>277</v>
      </c>
      <c r="AO28" s="149"/>
      <c r="AP28" s="154">
        <f>AP24-AO26</f>
        <v>276001</v>
      </c>
      <c r="AQ28" s="284"/>
      <c r="AR28" s="280" t="s">
        <v>270</v>
      </c>
      <c r="AS28" s="246">
        <f>IF(_xlfn.ISFORMULA(C28)=TRUE,$AS$4,0)</f>
        <v>5</v>
      </c>
      <c r="AT28" s="246">
        <f>IF(C28="",0,IF(ABS(C24)-ABS(B26)=ABS(C28),$AT$4,0))</f>
        <v>6</v>
      </c>
      <c r="AW28" s="246">
        <f>SUM(AS28:AV28)</f>
        <v>11</v>
      </c>
      <c r="AX28" s="246">
        <f>$AS$4+$AT$4</f>
        <v>11</v>
      </c>
    </row>
    <row r="29" spans="1:54" ht="17" thickTop="1" x14ac:dyDescent="0.2">
      <c r="D29" s="39"/>
      <c r="AQ29" s="284"/>
      <c r="AT29" s="246" t="s">
        <v>269</v>
      </c>
    </row>
    <row r="30" spans="1:54" x14ac:dyDescent="0.2">
      <c r="B30" s="75" t="s">
        <v>310</v>
      </c>
      <c r="C30" s="186">
        <f>Grs_Prft</f>
        <v>510400</v>
      </c>
    </row>
    <row r="31" spans="1:54" x14ac:dyDescent="0.2">
      <c r="B31" s="75" t="s">
        <v>311</v>
      </c>
      <c r="C31" s="186">
        <f>Tot_Op_Ex</f>
        <v>203600</v>
      </c>
    </row>
  </sheetData>
  <sheetProtection algorithmName="SHA-512" hashValue="GObgEq99+YZGfEkS7T21GM13Qu2g9zj2nJT6t8X+xpXrCfI9OERMYUwMMmYQvkj9a9PvQfONZJEDQdSzzFXwHQ==" saltValue="udEbQn8LTIvpqBeW1S7PcA==" spinCount="100000" sheet="1" formatCells="0" selectLockedCells="1"/>
  <dataValidations count="1">
    <dataValidation type="list" allowBlank="1" showInputMessage="1" showErrorMessage="1" sqref="AN12:AN13 A12:A13 AN17:AN21 A17:A21 A26" xr:uid="{C364764A-DE2F-4308-A3AF-E55594B1E28D}">
      <formula1>Account</formula1>
    </dataValidation>
  </dataValidations>
  <pageMargins left="0.75" right="0.75" top="1" bottom="1" header="0.5" footer="0.5"/>
  <pageSetup orientation="portrait" horizontalDpi="4294967292"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tabColor rgb="FF00B050"/>
    <pageSetUpPr fitToPage="1"/>
  </sheetPr>
  <dimension ref="A1:BL43"/>
  <sheetViews>
    <sheetView showGridLines="0" topLeftCell="A9" zoomScaleNormal="100" workbookViewId="0">
      <selection activeCell="B32" sqref="B32"/>
    </sheetView>
  </sheetViews>
  <sheetFormatPr baseColWidth="10" defaultColWidth="10.6640625" defaultRowHeight="16" x14ac:dyDescent="0.2"/>
  <cols>
    <col min="1" max="1" width="32.5" style="178" customWidth="1"/>
    <col min="2" max="2" width="13" style="178" customWidth="1"/>
    <col min="3" max="3" width="15.1640625" style="178" customWidth="1"/>
    <col min="4" max="4" width="18.5" style="178" customWidth="1"/>
    <col min="5" max="5" width="3" customWidth="1"/>
    <col min="6" max="37" width="9.33203125" customWidth="1"/>
    <col min="38" max="38" width="9.33203125" style="194" customWidth="1"/>
    <col min="39" max="41" width="9.33203125" style="148" hidden="1" customWidth="1"/>
    <col min="42" max="42" width="12.5" style="148" hidden="1" customWidth="1"/>
    <col min="43" max="43" width="9.33203125" style="148" hidden="1" customWidth="1"/>
    <col min="44" max="44" width="9.33203125" style="274" hidden="1" customWidth="1"/>
    <col min="45" max="47" width="9.33203125" style="193" hidden="1" customWidth="1"/>
    <col min="48" max="48" width="10.6640625" style="193" hidden="1" customWidth="1"/>
    <col min="49" max="50" width="9.33203125" style="291" hidden="1" customWidth="1"/>
    <col min="51" max="53" width="9.33203125" style="148" hidden="1" customWidth="1"/>
    <col min="54" max="54" width="60" style="148" hidden="1" customWidth="1"/>
    <col min="55" max="57" width="9.33203125" style="194" hidden="1" customWidth="1"/>
    <col min="58" max="64" width="10.6640625" style="194" hidden="1" customWidth="1"/>
    <col min="65" max="16384" width="10.6640625" style="194"/>
  </cols>
  <sheetData>
    <row r="1" spans="1:54" x14ac:dyDescent="0.2">
      <c r="A1" s="247" t="str">
        <f>"Prepared by: "&amp;Name</f>
        <v>Prepared by: Ishika Patel</v>
      </c>
      <c r="AM1" s="148" t="s">
        <v>247</v>
      </c>
      <c r="AN1" s="149"/>
      <c r="AU1" s="291"/>
      <c r="AV1" s="157" t="s">
        <v>106</v>
      </c>
      <c r="AW1" s="157" t="s">
        <v>131</v>
      </c>
      <c r="AX1" s="157" t="s">
        <v>229</v>
      </c>
      <c r="AY1" s="150" t="s">
        <v>235</v>
      </c>
      <c r="AZ1" s="149" t="s">
        <v>22</v>
      </c>
      <c r="BB1" s="148" t="s">
        <v>248</v>
      </c>
    </row>
    <row r="2" spans="1:54" x14ac:dyDescent="0.2">
      <c r="A2" s="247" t="str">
        <f>"Student ID: "&amp;ID</f>
        <v>Student ID: 109495372</v>
      </c>
      <c r="AN2" s="149"/>
      <c r="AV2" s="279">
        <f ca="1">SUM(AW11:AW44)</f>
        <v>100</v>
      </c>
      <c r="AW2" s="201">
        <f>'Steps &amp; Rubric'!B18/100</f>
        <v>0.45</v>
      </c>
      <c r="AX2" s="291">
        <f ca="1">AV2*AW2</f>
        <v>45</v>
      </c>
      <c r="AY2" s="277">
        <f>SUM(AX13:AX39)*AW2</f>
        <v>45</v>
      </c>
    </row>
    <row r="3" spans="1:54" x14ac:dyDescent="0.2">
      <c r="AW3" s="176"/>
    </row>
    <row r="4" spans="1:54" x14ac:dyDescent="0.2">
      <c r="AR4" s="274" t="s">
        <v>202</v>
      </c>
      <c r="AS4" s="193">
        <f>6*AS5</f>
        <v>18</v>
      </c>
      <c r="AT4" s="193">
        <f>5*AT5</f>
        <v>20</v>
      </c>
      <c r="AU4" s="193">
        <f>AU5</f>
        <v>5</v>
      </c>
      <c r="AV4" s="193">
        <f>AV5</f>
        <v>3</v>
      </c>
      <c r="AW4" s="193"/>
      <c r="AX4" s="291">
        <f>SUM(AS4:AV4)</f>
        <v>46</v>
      </c>
      <c r="AY4" s="291"/>
    </row>
    <row r="5" spans="1:54" x14ac:dyDescent="0.2">
      <c r="AS5" s="193">
        <v>3</v>
      </c>
      <c r="AT5" s="193">
        <v>4</v>
      </c>
      <c r="AU5" s="193">
        <v>5</v>
      </c>
      <c r="AV5" s="193">
        <v>3</v>
      </c>
    </row>
    <row r="6" spans="1:54" x14ac:dyDescent="0.2">
      <c r="AS6" s="280" t="s">
        <v>270</v>
      </c>
      <c r="AT6" s="291" t="s">
        <v>269</v>
      </c>
      <c r="AU6" s="291" t="s">
        <v>198</v>
      </c>
      <c r="AV6" s="291" t="s">
        <v>272</v>
      </c>
    </row>
    <row r="7" spans="1:54" x14ac:dyDescent="0.2">
      <c r="A7" s="248" t="str">
        <f>Company</f>
        <v>Accounting101</v>
      </c>
      <c r="AN7" s="149"/>
      <c r="AR7" s="291">
        <v>0</v>
      </c>
    </row>
    <row r="8" spans="1:54" x14ac:dyDescent="0.2">
      <c r="A8" s="248" t="s">
        <v>57</v>
      </c>
      <c r="AN8" s="149"/>
      <c r="AR8" s="274" t="s">
        <v>202</v>
      </c>
      <c r="AS8" s="193">
        <f>9*AS9</f>
        <v>31.5</v>
      </c>
      <c r="AT8" s="193">
        <f>9*AT11</f>
        <v>-27</v>
      </c>
      <c r="AU8" s="193">
        <f>7*AU11</f>
        <v>-35</v>
      </c>
      <c r="AV8" s="193">
        <f>10*AV9</f>
        <v>20</v>
      </c>
      <c r="AX8" s="291">
        <f>AS8+AV8</f>
        <v>51.5</v>
      </c>
    </row>
    <row r="9" spans="1:54" x14ac:dyDescent="0.2">
      <c r="A9" s="248" t="str">
        <f ca="1">"As of December 31, "&amp;Data!D3</f>
        <v>As of December 31, 2021</v>
      </c>
      <c r="AN9" s="149"/>
      <c r="AS9" s="193">
        <v>3.5</v>
      </c>
      <c r="AV9" s="193">
        <v>2</v>
      </c>
    </row>
    <row r="10" spans="1:54" x14ac:dyDescent="0.2">
      <c r="AM10" s="281" t="s">
        <v>141</v>
      </c>
      <c r="AR10" s="274" t="s">
        <v>141</v>
      </c>
      <c r="AS10" s="291" t="s">
        <v>273</v>
      </c>
      <c r="AT10" s="291" t="s">
        <v>289</v>
      </c>
      <c r="AU10" s="291" t="s">
        <v>290</v>
      </c>
      <c r="AV10" s="291" t="s">
        <v>142</v>
      </c>
      <c r="AW10" s="150" t="s">
        <v>88</v>
      </c>
      <c r="AX10" s="150" t="s">
        <v>239</v>
      </c>
    </row>
    <row r="11" spans="1:54" x14ac:dyDescent="0.2">
      <c r="A11" s="247" t="s">
        <v>19</v>
      </c>
      <c r="B11" s="247" t="s">
        <v>55</v>
      </c>
      <c r="C11" s="247" t="s">
        <v>56</v>
      </c>
      <c r="D11" s="249" t="s">
        <v>78</v>
      </c>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306"/>
      <c r="AM11" s="281">
        <f>COLUMN(AM11)</f>
        <v>39</v>
      </c>
      <c r="AN11" s="149" t="s">
        <v>19</v>
      </c>
      <c r="AO11" s="149" t="s">
        <v>55</v>
      </c>
      <c r="AP11" s="149" t="s">
        <v>56</v>
      </c>
      <c r="AQ11" s="282"/>
      <c r="AR11" s="281">
        <f>COLUMN(AR11)</f>
        <v>44</v>
      </c>
      <c r="AS11" s="281"/>
      <c r="AT11" s="281">
        <v>-3</v>
      </c>
      <c r="AU11" s="193">
        <v>-5</v>
      </c>
      <c r="AV11" s="193">
        <v>4.5</v>
      </c>
      <c r="BB11" s="149" t="s">
        <v>22</v>
      </c>
    </row>
    <row r="12" spans="1:54" x14ac:dyDescent="0.2">
      <c r="A12" s="250" t="s">
        <v>58</v>
      </c>
      <c r="D12" s="251"/>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07"/>
      <c r="AN12" s="284" t="s">
        <v>58</v>
      </c>
      <c r="AQ12" s="284"/>
      <c r="AY12" s="287" t="s">
        <v>282</v>
      </c>
      <c r="BB12" s="148" t="s">
        <v>266</v>
      </c>
    </row>
    <row r="13" spans="1:54" x14ac:dyDescent="0.2">
      <c r="A13" s="252" t="s">
        <v>3</v>
      </c>
      <c r="B13" s="253">
        <f>'Adj TB'!B6</f>
        <v>410790</v>
      </c>
      <c r="C13" s="254"/>
      <c r="D13" s="251"/>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07"/>
      <c r="AM13" s="148">
        <f>Rubric!$C$13</f>
        <v>1</v>
      </c>
      <c r="AN13" s="148" t="s">
        <v>3</v>
      </c>
      <c r="AO13" s="151">
        <f>'Adj TB'!AN6</f>
        <v>410790</v>
      </c>
      <c r="AP13" s="151"/>
      <c r="AQ13" s="284" t="s">
        <v>3</v>
      </c>
      <c r="AR13" s="285">
        <v>1</v>
      </c>
      <c r="AS13" s="193">
        <f ca="1">IFERROR(VLOOKUP(AQ13,A:AM,$AM$11,0)*$AS$9,0)</f>
        <v>3.5</v>
      </c>
      <c r="AT13" s="193">
        <f>IFERROR(VLOOKUP(AQ13,$A$21:$AR$32,$AR$11,0)*$AT$11,0)</f>
        <v>0</v>
      </c>
      <c r="AU13" s="193">
        <f>IFERROR(VLOOKUP(A13,$AY$13:$AZ$19,2,0)*$AU$11,0)</f>
        <v>0</v>
      </c>
      <c r="AV13" s="193">
        <f ca="1">IFERROR(IF(ABS(VLOOKUP(AQ13,A:B,2,0))=ABS(VLOOKUP(AQ13,AN:AO,2,0)),$AV$9,0),0)</f>
        <v>2</v>
      </c>
      <c r="AW13" s="291">
        <f ca="1">SUM(AS13:AV13)</f>
        <v>5.5</v>
      </c>
      <c r="AX13" s="291">
        <f>$AS$9+$AV$9</f>
        <v>5.5</v>
      </c>
      <c r="AY13" s="148" t="s">
        <v>32</v>
      </c>
      <c r="AZ13" s="148">
        <v>1</v>
      </c>
      <c r="BA13" s="148" t="s">
        <v>250</v>
      </c>
      <c r="BB13" s="148" t="str">
        <f ca="1">BA13&amp;AQ13&amp;IF(AS13+AV13=0," is NOT included on the I/S",IF(AV13=$AV$9," is accurately presented."," is NOT accurate."))</f>
        <v xml:space="preserve">   a. Cash is accurately presented.</v>
      </c>
    </row>
    <row r="14" spans="1:54" x14ac:dyDescent="0.2">
      <c r="A14" s="252" t="s">
        <v>4</v>
      </c>
      <c r="B14" s="253">
        <f>'Adj TB'!B7</f>
        <v>194530</v>
      </c>
      <c r="D14" s="255"/>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308"/>
      <c r="AM14" s="148">
        <v>1</v>
      </c>
      <c r="AN14" s="148" t="s">
        <v>4</v>
      </c>
      <c r="AO14" s="151">
        <f>'Adj TB'!AN7</f>
        <v>194530</v>
      </c>
      <c r="AQ14" s="284" t="s">
        <v>4</v>
      </c>
      <c r="AR14" s="285">
        <v>1</v>
      </c>
      <c r="AS14" s="193">
        <f ca="1">IFERROR(VLOOKUP(AQ14,A:AM,$AM$11,0)*$AS$9,0)</f>
        <v>3.5</v>
      </c>
      <c r="AT14" s="193">
        <f>IFERROR(VLOOKUP(AQ14,$A$21:$AR$32,$AR$11,0)*$AT$11,0)</f>
        <v>0</v>
      </c>
      <c r="AU14" s="193">
        <f t="shared" ref="AU14:AU18" si="0">IFERROR(VLOOKUP(A14,$AY$13:$AZ$19,2,0)*$AU$11,0)</f>
        <v>0</v>
      </c>
      <c r="AV14" s="193">
        <f ca="1">IFERROR(IF(ABS(VLOOKUP(AQ14,A:B,2,0))=ABS(VLOOKUP(AQ14,AN:AO,2,0)),$AV$9,0),0)</f>
        <v>2</v>
      </c>
      <c r="AW14" s="291">
        <f t="shared" ref="AW14:AW21" ca="1" si="1">SUM(AS14:AV14)</f>
        <v>5.5</v>
      </c>
      <c r="AX14" s="291">
        <f>$AS$9+$AV$9</f>
        <v>5.5</v>
      </c>
      <c r="AY14" s="148" t="s">
        <v>200</v>
      </c>
      <c r="AZ14" s="148">
        <v>1</v>
      </c>
      <c r="BA14" s="148" t="s">
        <v>251</v>
      </c>
      <c r="BB14" s="148" t="str">
        <f ca="1">BA14&amp;AQ14&amp;IF(AS14+AV14=0," is NOT included on the I/S",IF(AV14=$AV$9," is accurately presented."," is NOT accurate."))</f>
        <v xml:space="preserve">   b. Accounts receivable is accurately presented.</v>
      </c>
    </row>
    <row r="15" spans="1:54" x14ac:dyDescent="0.2">
      <c r="A15" s="252" t="s">
        <v>5</v>
      </c>
      <c r="B15" s="253">
        <f>'Adj TB'!B8</f>
        <v>2530</v>
      </c>
      <c r="C15" s="254"/>
      <c r="D15" s="251"/>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07"/>
      <c r="AM15" s="148">
        <f>Rubric!$C$13</f>
        <v>1</v>
      </c>
      <c r="AN15" s="148" t="s">
        <v>5</v>
      </c>
      <c r="AO15" s="151">
        <f>'Adj TB'!AN8</f>
        <v>2530</v>
      </c>
      <c r="AP15" s="151"/>
      <c r="AQ15" s="284" t="s">
        <v>5</v>
      </c>
      <c r="AR15" s="285">
        <v>1</v>
      </c>
      <c r="AS15" s="193">
        <f ca="1">IFERROR(VLOOKUP(AQ15,A:AM,$AM$11,0)*$AS$9,0)</f>
        <v>3.5</v>
      </c>
      <c r="AT15" s="193">
        <f>IFERROR(VLOOKUP(AQ15,$A$21:$AR$32,$AR$11,0)*$AT$11,0)</f>
        <v>0</v>
      </c>
      <c r="AU15" s="193">
        <f t="shared" si="0"/>
        <v>0</v>
      </c>
      <c r="AV15" s="193">
        <f ca="1">IFERROR(IF(ABS(VLOOKUP(AQ15,A:B,2,0))=ABS(VLOOKUP(AQ15,AN:AO,2,0)),$AV$9,0),0)</f>
        <v>2</v>
      </c>
      <c r="AW15" s="291">
        <f t="shared" ca="1" si="1"/>
        <v>5.5</v>
      </c>
      <c r="AX15" s="291">
        <f>$AS$9+$AV$9</f>
        <v>5.5</v>
      </c>
      <c r="AY15" s="148" t="s">
        <v>13</v>
      </c>
      <c r="AZ15" s="148">
        <v>1</v>
      </c>
      <c r="BA15" s="148" t="s">
        <v>252</v>
      </c>
      <c r="BB15" s="148" t="str">
        <f ca="1">BA15&amp;AQ15&amp;IF(AS15+AV15=0," is NOT included on the I/S",IF(AV15=$AV$9," is accurately presented."," is NOT accurate."))</f>
        <v xml:space="preserve">   c. Supplies is accurately presented.</v>
      </c>
    </row>
    <row r="16" spans="1:54" x14ac:dyDescent="0.2">
      <c r="A16" s="252" t="s">
        <v>6</v>
      </c>
      <c r="B16" s="253">
        <f>'Adj TB'!B9</f>
        <v>50080</v>
      </c>
      <c r="C16" s="254"/>
      <c r="D16" s="251"/>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07"/>
      <c r="AM16" s="148">
        <f>Rubric!$C$13</f>
        <v>1</v>
      </c>
      <c r="AO16" s="151"/>
      <c r="AP16" s="151"/>
      <c r="AQ16" s="284"/>
      <c r="AR16" s="285">
        <v>1</v>
      </c>
      <c r="AU16" s="193">
        <f t="shared" si="0"/>
        <v>0</v>
      </c>
      <c r="AW16" s="291">
        <f>SUM(AS16:AV16)</f>
        <v>0</v>
      </c>
      <c r="AY16" s="148" t="s">
        <v>12</v>
      </c>
      <c r="AZ16" s="148">
        <v>1</v>
      </c>
      <c r="BA16" s="148" t="s">
        <v>253</v>
      </c>
      <c r="BB16" s="148" t="str">
        <f ca="1">BA16&amp;AQ17&amp;IF(AS17+AV17=0," is NOT included on the I/S",IF(AV17=$AV$9," is accurately presented."," is NOT accurate."))</f>
        <v xml:space="preserve">   d. Prepaid rent is accurately presented.</v>
      </c>
    </row>
    <row r="17" spans="1:54" x14ac:dyDescent="0.2">
      <c r="A17" s="252" t="s">
        <v>18</v>
      </c>
      <c r="B17" s="253">
        <f>'Adj TB'!B10</f>
        <v>12200</v>
      </c>
      <c r="C17" s="254"/>
      <c r="D17" s="251"/>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07"/>
      <c r="AM17" s="148">
        <f>Rubric!$C$13</f>
        <v>1</v>
      </c>
      <c r="AN17" s="148" t="s">
        <v>6</v>
      </c>
      <c r="AO17" s="151">
        <f>'Adj TB'!AN9</f>
        <v>50080</v>
      </c>
      <c r="AP17" s="151"/>
      <c r="AQ17" s="284" t="s">
        <v>6</v>
      </c>
      <c r="AR17" s="285">
        <v>1</v>
      </c>
      <c r="AS17" s="193">
        <f ca="1">IFERROR(VLOOKUP(AQ17,A:AM,$AM$11,0)*$AS$9,0)</f>
        <v>3.5</v>
      </c>
      <c r="AT17" s="193">
        <f>IFERROR(VLOOKUP(AQ17,$A$21:$AR$32,$AR$11,0)*$AT$11,0)</f>
        <v>0</v>
      </c>
      <c r="AU17" s="193">
        <f t="shared" si="0"/>
        <v>0</v>
      </c>
      <c r="AV17" s="193">
        <f ca="1">IFERROR(IF(ABS(VLOOKUP(AQ17,A:B,2,0))=ABS(VLOOKUP(AQ17,AN:AO,2,0)),$AV$9,0),0)</f>
        <v>2</v>
      </c>
      <c r="AW17" s="291">
        <f t="shared" ca="1" si="1"/>
        <v>5.5</v>
      </c>
      <c r="AX17" s="291">
        <f>$AS$9+$AV$9</f>
        <v>5.5</v>
      </c>
      <c r="AY17" s="148" t="s">
        <v>31</v>
      </c>
      <c r="AZ17" s="148">
        <v>1</v>
      </c>
      <c r="BA17" s="148" t="s">
        <v>254</v>
      </c>
      <c r="BB17" s="148" t="str">
        <f ca="1">BA17&amp;AQ18&amp;IF(AS18+AV18=0," is NOT included on the I/S",IF(AV18=$AV$9," is accurately presented."," is NOT accurate."))</f>
        <v xml:space="preserve">   e. Inventory is accurately presented.</v>
      </c>
    </row>
    <row r="18" spans="1:54" x14ac:dyDescent="0.2">
      <c r="A18" s="256"/>
      <c r="B18" s="253"/>
      <c r="C18" s="254"/>
      <c r="D18" s="251"/>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07"/>
      <c r="AM18" s="148">
        <f>Rubric!$C$13</f>
        <v>1</v>
      </c>
      <c r="AN18" s="148" t="s">
        <v>18</v>
      </c>
      <c r="AO18" s="151">
        <f>'Adj TB'!AN10</f>
        <v>12200</v>
      </c>
      <c r="AP18" s="151"/>
      <c r="AQ18" s="284" t="s">
        <v>18</v>
      </c>
      <c r="AR18" s="285">
        <v>1</v>
      </c>
      <c r="AS18" s="193">
        <f ca="1">IFERROR(VLOOKUP(AQ18,A:AM,$AM$11,0)*$AS$9,0)</f>
        <v>3.5</v>
      </c>
      <c r="AT18" s="193">
        <f>IFERROR(VLOOKUP(AQ18,$A$21:$AR$32,$AR$11,0)*$AT$11,0)</f>
        <v>0</v>
      </c>
      <c r="AU18" s="193">
        <f t="shared" si="0"/>
        <v>0</v>
      </c>
      <c r="AV18" s="193">
        <f ca="1">IFERROR(IF(ABS(VLOOKUP(AQ18,A:B,2,0))=ABS(VLOOKUP(AQ18,AN:AO,2,0)),$AV$9,0),0)</f>
        <v>2</v>
      </c>
      <c r="AW18" s="291">
        <f t="shared" ca="1" si="1"/>
        <v>5.5</v>
      </c>
      <c r="AX18" s="291">
        <f>$AS$9+$AV$9</f>
        <v>5.5</v>
      </c>
      <c r="AY18" s="148" t="s">
        <v>33</v>
      </c>
      <c r="AZ18" s="148">
        <v>1</v>
      </c>
      <c r="BA18" s="148" t="s">
        <v>255</v>
      </c>
      <c r="BB18" s="148" t="str">
        <f>BA18&amp;AN19&amp;IF(AS19+AT19=0," is NOT correct and a formula was NOT used.",IF(AS19+AT19=$AS$5+$AT$5," was correctly calculated with a formula.",IF(AS19=0," was NOT calculated with a formula, but was correct."," was calculated with a formula, but was NOT correct.")))</f>
        <v xml:space="preserve">   f. Tot Cur A was correctly calculated with a formula.</v>
      </c>
    </row>
    <row r="19" spans="1:54" x14ac:dyDescent="0.2">
      <c r="A19" s="257" t="s">
        <v>59</v>
      </c>
      <c r="B19" s="257"/>
      <c r="C19" s="258">
        <f>SUM(B13:B18)</f>
        <v>670130</v>
      </c>
      <c r="D19" s="259" t="str">
        <f ca="1">IFERROR(_xlfn.FORMULATEXT(C19),"   Missing Formula")</f>
        <v>=SUM(B13:B18)</v>
      </c>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07"/>
      <c r="AN19" s="149" t="s">
        <v>283</v>
      </c>
      <c r="AO19" s="149"/>
      <c r="AP19" s="154">
        <f>SUM(AO13:AO18)</f>
        <v>670130</v>
      </c>
      <c r="AR19" s="280" t="s">
        <v>270</v>
      </c>
      <c r="AS19" s="291">
        <f>IF(_xlfn.ISFORMULA(C19)=TRUE,$AS$5,0)</f>
        <v>3</v>
      </c>
      <c r="AT19" s="291">
        <f>IF(C19="",0,IF(ABS(B13)+ABS(B14)+ABS(B15)+ABS(B16)+ABS(B17)+ABS(B18)=ABS(C19),$AT$5,0))</f>
        <v>4</v>
      </c>
      <c r="AW19" s="291">
        <f t="shared" si="1"/>
        <v>7</v>
      </c>
      <c r="AX19" s="291">
        <f>$AS$5+$AT$5</f>
        <v>7</v>
      </c>
      <c r="AY19" s="148" t="s">
        <v>95</v>
      </c>
      <c r="AZ19" s="148">
        <v>1</v>
      </c>
      <c r="BA19" s="148" t="s">
        <v>265</v>
      </c>
      <c r="BB19" s="148" t="str">
        <f>BA19&amp;AQ21&amp;IF(C21=""," is NOT included on the I/S",IF(AV21=$AV$11," is accurately presented."," is NOT accurate."))</f>
        <v xml:space="preserve">   g. Net Equipment is accurately presented.</v>
      </c>
    </row>
    <row r="20" spans="1:54" x14ac:dyDescent="0.2">
      <c r="A20" s="260"/>
      <c r="B20" s="260"/>
      <c r="C20" s="261"/>
      <c r="D20" s="25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07"/>
      <c r="AN20" s="149"/>
      <c r="AO20" s="149"/>
      <c r="AP20" s="154"/>
      <c r="AR20" s="280"/>
      <c r="AS20" s="291"/>
      <c r="AT20" s="291" t="s">
        <v>269</v>
      </c>
      <c r="BA20" s="148" t="s">
        <v>256</v>
      </c>
      <c r="BB20" s="148" t="str">
        <f>BA20&amp;AN23&amp;IF(AS23+AT23=0," is NOT correct and a formula was NOT used.",IF(AS23+AT23=$AS$5+$AT$5," was correctly calculated with a formula.",IF(AS23=0," was NOT calculated with a formula, but was correct."," was calculated with a formula, but was NOT correct.")))</f>
        <v xml:space="preserve">   h. Tot Asset was correctly calculated with a formula.</v>
      </c>
    </row>
    <row r="21" spans="1:54" x14ac:dyDescent="0.2">
      <c r="A21" s="262" t="s">
        <v>156</v>
      </c>
      <c r="B21" s="262"/>
      <c r="C21" s="263">
        <f>'Adj TB'!B11-'Adj TB'!C12</f>
        <v>367455</v>
      </c>
      <c r="D21" s="251"/>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07"/>
      <c r="AN21" s="148" t="s">
        <v>60</v>
      </c>
      <c r="AP21" s="151">
        <f>'Adj TB'!AN11-'Adj TB'!AO12</f>
        <v>367455</v>
      </c>
      <c r="AQ21" s="148" t="s">
        <v>60</v>
      </c>
      <c r="AV21" s="193">
        <f>IFERROR(IF(C21=AP21,$AV$11,0),0)</f>
        <v>4.5</v>
      </c>
      <c r="AW21" s="291">
        <f t="shared" si="1"/>
        <v>4.5</v>
      </c>
      <c r="AX21" s="291">
        <f>AV11</f>
        <v>4.5</v>
      </c>
      <c r="BA21" s="148" t="s">
        <v>257</v>
      </c>
      <c r="BB21" s="148" t="str">
        <f ca="1">BA21&amp;AQ26&amp;IF(AS26+AV26=0," is NOT included on the I/S",IF(AV26=$AV$9," is accurately presented."," is NOT accurate."))</f>
        <v xml:space="preserve">   i. Accounts payable is accurately presented.</v>
      </c>
    </row>
    <row r="22" spans="1:54" x14ac:dyDescent="0.2">
      <c r="C22" s="264"/>
      <c r="D22" s="251"/>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07"/>
      <c r="AP22" s="151"/>
      <c r="AQ22" s="284"/>
      <c r="BA22" s="148" t="s">
        <v>258</v>
      </c>
      <c r="BB22" s="148" t="str">
        <f ca="1">BA22&amp;AQ27&amp;IF(AS27+AV27=0," is NOT included on the I/S",IF(AV27=$AV$9," is accurately presented."," is NOT accurate."))</f>
        <v xml:space="preserve">   j. Taxes payable is accurately presented.</v>
      </c>
    </row>
    <row r="23" spans="1:54" ht="17" thickBot="1" x14ac:dyDescent="0.25">
      <c r="A23" s="265" t="s">
        <v>61</v>
      </c>
      <c r="B23" s="265"/>
      <c r="C23" s="266">
        <f>C19+C21</f>
        <v>1037585</v>
      </c>
      <c r="D23" s="259" t="str">
        <f ca="1">IFERROR(_xlfn.FORMULATEXT(C23),"   Missing Formula")</f>
        <v>=C19+C21</v>
      </c>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07"/>
      <c r="AN23" s="149" t="s">
        <v>284</v>
      </c>
      <c r="AO23" s="149"/>
      <c r="AP23" s="154">
        <f>SUM(AP19:AP21)</f>
        <v>1037585</v>
      </c>
      <c r="AQ23" s="284"/>
      <c r="AR23" s="280" t="s">
        <v>270</v>
      </c>
      <c r="AS23" s="291">
        <f>IF(_xlfn.ISFORMULA(C23)=TRUE,$AS$5,0)</f>
        <v>3</v>
      </c>
      <c r="AT23" s="291">
        <f>IF(C23="",0,IF(ABS(C19)+ABS(C21)=ABS(C23),$AT$5,0))</f>
        <v>4</v>
      </c>
      <c r="AW23" s="291">
        <f>SUM(AS23:AV23)</f>
        <v>7</v>
      </c>
      <c r="AX23" s="291">
        <f>$AS$5+$AT$5</f>
        <v>7</v>
      </c>
      <c r="BA23" s="148" t="s">
        <v>259</v>
      </c>
      <c r="BB23" s="148" t="str">
        <f>BA23&amp;AN29&amp;IF(AS29+AT29=0," is NOT correct and a formula was NOT used.",IF(AS29+AT29=$AS$5+$AT$5," was correctly calculated with a formula.",IF(AS29=0," was NOT calculated with a formula, but was correct."," was calculated with a formula, but was NOT correct.")))</f>
        <v xml:space="preserve">   k. Tot Liab was correctly calculated with a formula.</v>
      </c>
    </row>
    <row r="24" spans="1:54" ht="15" customHeight="1" thickTop="1" x14ac:dyDescent="0.2">
      <c r="D24" s="251"/>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07"/>
      <c r="AQ24" s="284"/>
      <c r="AT24" s="291" t="s">
        <v>269</v>
      </c>
      <c r="BA24" s="148" t="s">
        <v>260</v>
      </c>
      <c r="BB24" s="148" t="str">
        <f ca="1">BA24&amp;AQ31&amp;IF(AS31+AV31=0," is NOT included on the I/S",IF(AV31=$AV$9," is accurately presented."," is NOT accurate."))</f>
        <v xml:space="preserve">   l. Common stock is accurately presented.</v>
      </c>
    </row>
    <row r="25" spans="1:54" x14ac:dyDescent="0.2">
      <c r="A25" s="247" t="s">
        <v>25</v>
      </c>
      <c r="D25" s="251"/>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07"/>
      <c r="AN25" s="149" t="s">
        <v>25</v>
      </c>
      <c r="AQ25" s="284"/>
      <c r="BA25" s="148" t="s">
        <v>261</v>
      </c>
      <c r="BB25" s="148" t="str">
        <f ca="1">BA25&amp;AQ32&amp;IF(AS32+AV32=0," is NOT included on the I/S",IF(AV32=$AV$9," is accurately presented."," is NOT accurate."))</f>
        <v xml:space="preserve">   m. Retained earnings is accurately presented.</v>
      </c>
    </row>
    <row r="26" spans="1:54" x14ac:dyDescent="0.2">
      <c r="A26" s="267" t="s">
        <v>9</v>
      </c>
      <c r="B26" s="253">
        <f>'Adj TB'!C13</f>
        <v>193360</v>
      </c>
      <c r="D26" s="251"/>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07"/>
      <c r="AM26" s="148">
        <f>Rubric!$C$13</f>
        <v>1</v>
      </c>
      <c r="AN26" s="148" t="s">
        <v>9</v>
      </c>
      <c r="AO26" s="151">
        <f>'Adj TB'!AO13</f>
        <v>193360</v>
      </c>
      <c r="AQ26" s="284" t="s">
        <v>9</v>
      </c>
      <c r="AR26" s="285">
        <v>1</v>
      </c>
      <c r="AS26" s="193">
        <f ca="1">IFERROR(VLOOKUP(AQ26,A:AM,$AM$11,0)*$AS$9,0)</f>
        <v>3.5</v>
      </c>
      <c r="AT26" s="193">
        <f>IFERROR(IFERROR(VLOOKUP(AQ26,$A$12:$AR$19,$AR$11,0)*$AT$11,0)+IFERROR(VLOOKUP(AQ26,$A$29:$AR$32,$AR$11,0)*$AT$11,0),0)</f>
        <v>0</v>
      </c>
      <c r="AU26" s="193">
        <f>IFERROR(VLOOKUP(A26,$AY$13:$AZ$19,2,0)*$AU$11,0)</f>
        <v>0</v>
      </c>
      <c r="AV26" s="193">
        <f ca="1">IFERROR(IF(ABS(VLOOKUP(AQ26,A:B,2,0))=ABS(VLOOKUP(AQ26,AN:AO,2,0)),$AV$9,0),0)</f>
        <v>2</v>
      </c>
      <c r="AW26" s="291">
        <f ca="1">SUM(AS26:AV26)</f>
        <v>5.5</v>
      </c>
      <c r="AX26" s="291">
        <f>$AS$9+$AV$9</f>
        <v>5.5</v>
      </c>
      <c r="BA26" s="148" t="s">
        <v>262</v>
      </c>
      <c r="BB26" s="148" t="str">
        <f>BA26&amp;AN33&amp;IF(AS33+AT33=0," is NOT correct and a formula was NOT used.",IF(AS33+AT33=$AS$5+$AT$5," was correctly calculated with a formula.",IF(AS33=0," was NOT calculated with a formula, but was correct."," was calculated with a formula, but was NOT correct.")))</f>
        <v xml:space="preserve">   n. Tot SE was correctly calculated with a formula.</v>
      </c>
    </row>
    <row r="27" spans="1:54" x14ac:dyDescent="0.2">
      <c r="A27" s="252" t="s">
        <v>80</v>
      </c>
      <c r="B27" s="268">
        <f>'Adj TB'!C14</f>
        <v>30799</v>
      </c>
      <c r="C27" s="254"/>
      <c r="D27" s="251"/>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07"/>
      <c r="AM27" s="148">
        <f>Rubric!$C$13</f>
        <v>1</v>
      </c>
      <c r="AN27" s="148" t="s">
        <v>80</v>
      </c>
      <c r="AO27" s="151">
        <f>'Adj TB'!AO14</f>
        <v>30799</v>
      </c>
      <c r="AP27" s="151"/>
      <c r="AQ27" s="284" t="s">
        <v>80</v>
      </c>
      <c r="AR27" s="285">
        <v>1</v>
      </c>
      <c r="AS27" s="193">
        <f ca="1">IFERROR(VLOOKUP(AQ27,A:AM,$AM$11,0)*$AS$9,0)</f>
        <v>3.5</v>
      </c>
      <c r="AT27" s="193">
        <f>IFERROR(IFERROR(VLOOKUP(AQ27,$A$12:$AR$19,$AR$11,0)*$AT$11,0)+IFERROR(VLOOKUP(AQ27,$A$29:$AR$32,$AR$11,0)*$AT$11,0),0)</f>
        <v>0</v>
      </c>
      <c r="AU27" s="193">
        <f t="shared" ref="AU27" si="2">IFERROR(VLOOKUP(A27,$AY$13:$AZ$19,2,0)*$AU$11,0)</f>
        <v>0</v>
      </c>
      <c r="AV27" s="193">
        <f ca="1">IFERROR(IF(ABS(VLOOKUP(AQ27,A:B,2,0))=ABS(VLOOKUP(AQ27,AN:AO,2,0)),$AV$9,0),0)</f>
        <v>2</v>
      </c>
      <c r="AW27" s="291">
        <f ca="1">SUM(AS27:AV27)</f>
        <v>5.5</v>
      </c>
      <c r="AX27" s="291">
        <f>$AS$9+$AV$9</f>
        <v>5.5</v>
      </c>
      <c r="BA27" s="148" t="s">
        <v>263</v>
      </c>
      <c r="BB27" s="148" t="str">
        <f ca="1">BA27&amp;IF(AS37=$AU$5,"An If/Then statement was used to check the balance sheet.","An If/Then statement was NOT used to check the balance sheet.")</f>
        <v xml:space="preserve">   o. An If/Then statement was used to check the balance sheet.</v>
      </c>
    </row>
    <row r="28" spans="1:54" x14ac:dyDescent="0.2">
      <c r="A28" s="256"/>
      <c r="B28" s="268"/>
      <c r="C28" s="269"/>
      <c r="D28" s="251"/>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07"/>
      <c r="AM28" s="148">
        <f>Rubric!$C$13</f>
        <v>1</v>
      </c>
      <c r="AP28" s="151"/>
      <c r="AQ28" s="284"/>
      <c r="AR28" s="285">
        <v>1</v>
      </c>
      <c r="AU28" s="193">
        <f>IFERROR(VLOOKUP(A28,$AY$13:$AZ$19,2,0)*$AU$11,0)</f>
        <v>0</v>
      </c>
      <c r="AW28" s="291">
        <f>SUM(AS28:AV28)</f>
        <v>0</v>
      </c>
      <c r="BA28" s="148" t="s">
        <v>264</v>
      </c>
      <c r="BB28" s="148" t="str">
        <f>BA28&amp;IF(AS39=$AV$5,"The balance sheet is in balance!","The balance sheet is NOT in balance.")</f>
        <v xml:space="preserve">   p. The balance sheet is in balance!</v>
      </c>
    </row>
    <row r="29" spans="1:54" x14ac:dyDescent="0.2">
      <c r="A29" s="257" t="s">
        <v>62</v>
      </c>
      <c r="B29" s="257"/>
      <c r="C29" s="258">
        <f>SUM(B26:B28)</f>
        <v>224159</v>
      </c>
      <c r="D29" s="259" t="str">
        <f ca="1">IFERROR(_xlfn.FORMULATEXT(C29),"   Missing Formula")</f>
        <v>=SUM(B26:B28)</v>
      </c>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07"/>
      <c r="AN29" s="149" t="s">
        <v>285</v>
      </c>
      <c r="AO29" s="149"/>
      <c r="AP29" s="154">
        <f>SUM(AO26:AO28)</f>
        <v>224159</v>
      </c>
      <c r="AQ29" s="284"/>
      <c r="AR29" s="280" t="s">
        <v>270</v>
      </c>
      <c r="AS29" s="291">
        <f>IF(_xlfn.ISFORMULA(C29)=TRUE,$AS$5,0)</f>
        <v>3</v>
      </c>
      <c r="AT29" s="291">
        <f>IF(C29="",0,IF(ABS(B26)+ABS(B27)+ABS(B28)=ABS(C29),$AT$5,0))</f>
        <v>4</v>
      </c>
      <c r="AW29" s="291">
        <f>SUM(AS29:AV29)</f>
        <v>7</v>
      </c>
      <c r="AX29" s="291">
        <f>$AS$5+$AT$5</f>
        <v>7</v>
      </c>
    </row>
    <row r="30" spans="1:54" x14ac:dyDescent="0.2">
      <c r="A30" s="250" t="s">
        <v>63</v>
      </c>
      <c r="D30" s="251"/>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07"/>
      <c r="AN30" s="284" t="s">
        <v>63</v>
      </c>
      <c r="AQ30" s="284"/>
      <c r="AT30" s="291" t="s">
        <v>269</v>
      </c>
    </row>
    <row r="31" spans="1:54" x14ac:dyDescent="0.2">
      <c r="A31" s="270" t="s">
        <v>10</v>
      </c>
      <c r="B31" s="253">
        <f>'Adj TB'!C15</f>
        <v>443000</v>
      </c>
      <c r="D31" s="251"/>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07"/>
      <c r="AM31" s="148">
        <f>Rubric!$C$13</f>
        <v>1</v>
      </c>
      <c r="AN31" s="148" t="s">
        <v>10</v>
      </c>
      <c r="AO31" s="151">
        <f>'Adj TB'!AO15</f>
        <v>443000</v>
      </c>
      <c r="AQ31" s="284" t="s">
        <v>10</v>
      </c>
      <c r="AR31" s="285">
        <v>1</v>
      </c>
      <c r="AS31" s="193">
        <f ca="1">IFERROR(VLOOKUP(AQ31,A:AM,$AM$11,0)*$AS$9,0)</f>
        <v>3.5</v>
      </c>
      <c r="AT31" s="193">
        <f>IFERROR(IFERROR(VLOOKUP(AQ31,$A$12:$AR$19,$AR$11,0)*$AT$11,0)+IFERROR(VLOOKUP(AQ31,$A$25:$AR$28,$AR$11,0)*$AT$11,0),0)</f>
        <v>0</v>
      </c>
      <c r="AU31" s="193">
        <f>IFERROR(VLOOKUP(A31,$AY$13:$AZ$19,2,0)*$AU$11,0)</f>
        <v>0</v>
      </c>
      <c r="AV31" s="193">
        <f ca="1">IFERROR(IF(ABS(VLOOKUP(AQ31,A:C,2,0))=ABS(VLOOKUP(AQ31,AN:AP,2,0)),$AV$9,0),0)</f>
        <v>2</v>
      </c>
      <c r="AW31" s="291">
        <f ca="1">SUM(AS31:AV31)</f>
        <v>5.5</v>
      </c>
      <c r="AX31" s="291">
        <f>$AS$9+$AV$9</f>
        <v>5.5</v>
      </c>
    </row>
    <row r="32" spans="1:54" x14ac:dyDescent="0.2">
      <c r="A32" s="252" t="s">
        <v>11</v>
      </c>
      <c r="B32" s="253">
        <f>'Scratch Paper'!D19</f>
        <v>370426</v>
      </c>
      <c r="D32" s="251"/>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07"/>
      <c r="AM32" s="148">
        <f>Rubric!$C$13</f>
        <v>1</v>
      </c>
      <c r="AN32" s="148" t="s">
        <v>11</v>
      </c>
      <c r="AO32" s="151">
        <f>'Adj TB'!AO16+'Adj TB'!AO18-SUM('Adj TB'!AN17:AN23)</f>
        <v>370426</v>
      </c>
      <c r="AQ32" s="284" t="s">
        <v>11</v>
      </c>
      <c r="AR32" s="285">
        <v>1</v>
      </c>
      <c r="AS32" s="193">
        <f ca="1">IFERROR(VLOOKUP(AQ32,A:AM,$AM$11,0)*$AS$9,0)</f>
        <v>3.5</v>
      </c>
      <c r="AT32" s="193">
        <f>IFERROR(IFERROR(VLOOKUP(AQ32,$A$12:$AR$19,$AR$11,0)*$AT$11,0)+IFERROR(VLOOKUP(AQ32,$A$25:$AR$28,$AR$11,0)*$AT$11,0),0)</f>
        <v>0</v>
      </c>
      <c r="AU32" s="193">
        <f>IFERROR(VLOOKUP(A32,$AY$13:$AZ$19,2,0)*$AU$11,0)</f>
        <v>0</v>
      </c>
      <c r="AV32" s="193">
        <f ca="1">IFERROR(IF(ABS(VLOOKUP(AQ32,A:C,2,0))=ABS(VLOOKUP(AQ32,AN:AP,2,0)),$AV$9,0),0)</f>
        <v>2</v>
      </c>
      <c r="AW32" s="291">
        <f ca="1">SUM(AS32:AV32)</f>
        <v>5.5</v>
      </c>
      <c r="AX32" s="291">
        <f>$AS$9+$AV$9</f>
        <v>5.5</v>
      </c>
    </row>
    <row r="33" spans="1:50" x14ac:dyDescent="0.2">
      <c r="A33" s="257" t="s">
        <v>238</v>
      </c>
      <c r="B33" s="257"/>
      <c r="C33" s="258">
        <f>SUM(B31:B32)</f>
        <v>813426</v>
      </c>
      <c r="D33" s="259" t="str">
        <f ca="1">IFERROR(_xlfn.FORMULATEXT(C33),"   Missing Formula")</f>
        <v>=SUM(B31:B32)</v>
      </c>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07"/>
      <c r="AN33" s="149" t="s">
        <v>286</v>
      </c>
      <c r="AO33" s="149"/>
      <c r="AP33" s="154">
        <f>SUM(AO31:AO32)</f>
        <v>813426</v>
      </c>
      <c r="AQ33" s="284"/>
      <c r="AR33" s="280" t="s">
        <v>270</v>
      </c>
      <c r="AS33" s="291">
        <f>IF(_xlfn.ISFORMULA(C33)=TRUE,$AS$5,0)</f>
        <v>3</v>
      </c>
      <c r="AT33" s="291">
        <f>IF(C33="",0,IF(ABS(B31)+ABS(B32)=ABS(C33),$AT$5,0))</f>
        <v>4</v>
      </c>
      <c r="AW33" s="291">
        <f>SUM(AS33:AV33)</f>
        <v>7</v>
      </c>
      <c r="AX33" s="291">
        <f>$AS$5+$AT$5</f>
        <v>7</v>
      </c>
    </row>
    <row r="34" spans="1:50" ht="9" customHeight="1" x14ac:dyDescent="0.2">
      <c r="D34" s="251"/>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07"/>
      <c r="AQ34" s="284"/>
      <c r="AT34" s="291" t="s">
        <v>269</v>
      </c>
    </row>
    <row r="35" spans="1:50" ht="17" thickBot="1" x14ac:dyDescent="0.25">
      <c r="A35" s="265" t="s">
        <v>64</v>
      </c>
      <c r="B35" s="265"/>
      <c r="C35" s="266">
        <f>C29+C33</f>
        <v>1037585</v>
      </c>
      <c r="D35" s="259" t="str">
        <f ca="1">IFERROR(_xlfn.FORMULATEXT(C35),"   Missing Formula")</f>
        <v>=C29+C33</v>
      </c>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07"/>
      <c r="AN35" s="149" t="s">
        <v>287</v>
      </c>
      <c r="AO35" s="149"/>
      <c r="AP35" s="154">
        <f>SUM(AP29:AP33)</f>
        <v>1037585</v>
      </c>
      <c r="AQ35" s="284"/>
      <c r="AR35" s="280" t="s">
        <v>270</v>
      </c>
      <c r="AS35" s="291">
        <f>IF(_xlfn.ISFORMULA(C35)=TRUE,$AS$5,0)</f>
        <v>3</v>
      </c>
      <c r="AT35" s="291">
        <f>IF(C35="",0,IF(ABS(C29)+ABS(B31)+ABS(B32)=ABS(C35),$AT$5,0))</f>
        <v>4</v>
      </c>
      <c r="AW35" s="291">
        <f>SUM(AS35:AV35)</f>
        <v>7</v>
      </c>
      <c r="AX35" s="291">
        <f>$AS$5+$AT$5</f>
        <v>7</v>
      </c>
    </row>
    <row r="36" spans="1:50" ht="9" customHeight="1" thickTop="1" x14ac:dyDescent="0.2">
      <c r="AT36" s="291" t="s">
        <v>269</v>
      </c>
    </row>
    <row r="37" spans="1:50" x14ac:dyDescent="0.2">
      <c r="A37" s="271" t="s">
        <v>323</v>
      </c>
      <c r="B37" s="338" t="str">
        <f>IF(C23=C35,"BALANCED","NOT BALANCED")</f>
        <v>BALANCED</v>
      </c>
      <c r="C37" s="339"/>
      <c r="AN37" s="173" t="s">
        <v>288</v>
      </c>
      <c r="AO37" s="340" t="str">
        <f>IF(AP35=AP23,"In Balance",AP35-AP23)</f>
        <v>In Balance</v>
      </c>
      <c r="AP37" s="340"/>
      <c r="AR37" s="280" t="s">
        <v>271</v>
      </c>
      <c r="AS37" s="288">
        <f ca="1">IFERROR(IF(FIND("IF(",B38)&gt;=0,$AU$5,0),0)</f>
        <v>5</v>
      </c>
      <c r="AW37" s="291">
        <f t="shared" ref="AW37:AW39" ca="1" si="3">SUM(AS37:AV37)</f>
        <v>5</v>
      </c>
      <c r="AX37" s="291">
        <f>$AU$5</f>
        <v>5</v>
      </c>
    </row>
    <row r="38" spans="1:50" x14ac:dyDescent="0.2">
      <c r="B38" s="272" t="str">
        <f ca="1">IFERROR(_xlfn.FORMULATEXT(B37),"Missing Formula")</f>
        <v>=IF(C23=C35,"BALANCED","NOT BALANCED")</v>
      </c>
      <c r="AR38" s="280" t="s">
        <v>270</v>
      </c>
      <c r="AS38" s="291">
        <f>IF(_xlfn.ISFORMULA(B37)=TRUE,$AS$5,0)</f>
        <v>3</v>
      </c>
      <c r="AW38" s="291">
        <f t="shared" si="3"/>
        <v>3</v>
      </c>
      <c r="AX38" s="291">
        <f>$AS$5</f>
        <v>3</v>
      </c>
    </row>
    <row r="39" spans="1:50" x14ac:dyDescent="0.2">
      <c r="AR39" s="280" t="s">
        <v>272</v>
      </c>
      <c r="AS39" s="291">
        <f>IF(OR(C35="",C35=0),0,IF(AND(ABS(C35)-ABS(C23)&lt;10,ABS(C23)-ABS(C35)&lt;10),$AV$5,0))</f>
        <v>3</v>
      </c>
      <c r="AW39" s="291">
        <f t="shared" si="3"/>
        <v>3</v>
      </c>
      <c r="AX39" s="291">
        <f>$AV$5</f>
        <v>3</v>
      </c>
    </row>
    <row r="40" spans="1:50" x14ac:dyDescent="0.2">
      <c r="B40" s="271" t="s">
        <v>312</v>
      </c>
      <c r="C40" s="273">
        <f>Tot_Curr_Assets</f>
        <v>670130</v>
      </c>
      <c r="AS40" s="289"/>
    </row>
    <row r="41" spans="1:50" x14ac:dyDescent="0.2">
      <c r="B41" s="271" t="s">
        <v>322</v>
      </c>
      <c r="C41" s="273">
        <f>Tot_Liab</f>
        <v>224159</v>
      </c>
    </row>
    <row r="43" spans="1:50" x14ac:dyDescent="0.2">
      <c r="A43" s="309" t="s">
        <v>324</v>
      </c>
    </row>
  </sheetData>
  <sheetProtection algorithmName="SHA-512" hashValue="8SOtfQz+4BREqtOAL+MSP6pecc1VQEasxV2vWXInWU+728NV6nV5Drdh6vRz+hVIYcoPgI+MiBBGgZY/TKB3rw==" saltValue="h3Wl19iNtRGoiSJaV7o3eg==" spinCount="100000" sheet="1" formatCells="0" selectLockedCells="1"/>
  <mergeCells count="2">
    <mergeCell ref="B37:C37"/>
    <mergeCell ref="AO37:AP37"/>
  </mergeCells>
  <dataValidations count="1">
    <dataValidation type="list" allowBlank="1" showInputMessage="1" showErrorMessage="1" sqref="A31:A32 AQ14 A13:A18 AN13:AN18 AN26:AN28 A26:A28 AN31:AN32" xr:uid="{738B8982-4989-4DAF-B712-684A8AD3572B}">
      <formula1>Account</formula1>
    </dataValidation>
  </dataValidations>
  <pageMargins left="0.75" right="0.75" top="1" bottom="1" header="0.5" footer="0.5"/>
  <pageSetup orientation="portrait" horizontalDpi="1200" verticalDpi="1200"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52</vt:i4>
      </vt:variant>
    </vt:vector>
  </HeadingPairs>
  <TitlesOfParts>
    <vt:vector size="65" baseType="lpstr">
      <vt:lpstr>Start</vt:lpstr>
      <vt:lpstr>Steps &amp; Rubric</vt:lpstr>
      <vt:lpstr>Beg TB</vt:lpstr>
      <vt:lpstr>Trx</vt:lpstr>
      <vt:lpstr>JEs</vt:lpstr>
      <vt:lpstr>Ledger</vt:lpstr>
      <vt:lpstr>Adj TB</vt:lpstr>
      <vt:lpstr>IS</vt:lpstr>
      <vt:lpstr>BS</vt:lpstr>
      <vt:lpstr>Scratch Paper</vt:lpstr>
      <vt:lpstr>Grade</vt:lpstr>
      <vt:lpstr>Data</vt:lpstr>
      <vt:lpstr>Rubric</vt:lpstr>
      <vt:lpstr>Account</vt:lpstr>
      <vt:lpstr>Beg_AccumDep</vt:lpstr>
      <vt:lpstr>Beg_AP</vt:lpstr>
      <vt:lpstr>Beg_AR</vt:lpstr>
      <vt:lpstr>Beg_Cash</vt:lpstr>
      <vt:lpstr>Beg_CS</vt:lpstr>
      <vt:lpstr>Beg_Equip</vt:lpstr>
      <vt:lpstr>Beg_Inv</vt:lpstr>
      <vt:lpstr>Beg_PPd</vt:lpstr>
      <vt:lpstr>Beg_RE</vt:lpstr>
      <vt:lpstr>Beg_Supp</vt:lpstr>
      <vt:lpstr>Beg_TaxPay</vt:lpstr>
      <vt:lpstr>Chk_Assets</vt:lpstr>
      <vt:lpstr>Chk_NI</vt:lpstr>
      <vt:lpstr>Company</vt:lpstr>
      <vt:lpstr>E_1</vt:lpstr>
      <vt:lpstr>E_2</vt:lpstr>
      <vt:lpstr>E_3</vt:lpstr>
      <vt:lpstr>E_3a</vt:lpstr>
      <vt:lpstr>E_4</vt:lpstr>
      <vt:lpstr>E_5</vt:lpstr>
      <vt:lpstr>E_6</vt:lpstr>
      <vt:lpstr>E_7</vt:lpstr>
      <vt:lpstr>E_8</vt:lpstr>
      <vt:lpstr>E_A1</vt:lpstr>
      <vt:lpstr>E_A2</vt:lpstr>
      <vt:lpstr>E_A3</vt:lpstr>
      <vt:lpstr>E_A4</vt:lpstr>
      <vt:lpstr>E_Adj</vt:lpstr>
      <vt:lpstr>E_C1</vt:lpstr>
      <vt:lpstr>E_C2</vt:lpstr>
      <vt:lpstr>E_C3</vt:lpstr>
      <vt:lpstr>E_Close</vt:lpstr>
      <vt:lpstr>E_Trx</vt:lpstr>
      <vt:lpstr>Grs_Prft</vt:lpstr>
      <vt:lpstr>ID</vt:lpstr>
      <vt:lpstr>ID_2</vt:lpstr>
      <vt:lpstr>Name</vt:lpstr>
      <vt:lpstr>NewRent</vt:lpstr>
      <vt:lpstr>'Adj TB'!Print_Area</vt:lpstr>
      <vt:lpstr>'Beg TB'!Print_Area</vt:lpstr>
      <vt:lpstr>BS!Print_Area</vt:lpstr>
      <vt:lpstr>IS!Print_Area</vt:lpstr>
      <vt:lpstr>JEs!Print_Area</vt:lpstr>
      <vt:lpstr>Ledger!Print_Area</vt:lpstr>
      <vt:lpstr>Start!Print_Area</vt:lpstr>
      <vt:lpstr>'Steps &amp; Rubric'!Print_Area</vt:lpstr>
      <vt:lpstr>Trx!Print_Area</vt:lpstr>
      <vt:lpstr>Tot_Curr_Assets</vt:lpstr>
      <vt:lpstr>Tot_Liab</vt:lpstr>
      <vt:lpstr>Tot_Op_Ex</vt:lpstr>
      <vt:lpstr>Tot_SE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Neil</dc:creator>
  <cp:lastModifiedBy>Microsoft Office User</cp:lastModifiedBy>
  <cp:lastPrinted>2021-02-11T20:27:07Z</cp:lastPrinted>
  <dcterms:created xsi:type="dcterms:W3CDTF">2014-02-15T21:38:16Z</dcterms:created>
  <dcterms:modified xsi:type="dcterms:W3CDTF">2021-02-18T00:33:21Z</dcterms:modified>
</cp:coreProperties>
</file>