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ipatel/Desktop/"/>
    </mc:Choice>
  </mc:AlternateContent>
  <xr:revisionPtr revIDLastSave="0" documentId="13_ncr:1_{114B4579-0178-974F-826A-BAB3771BE45C}" xr6:coauthVersionLast="47" xr6:coauthVersionMax="47" xr10:uidLastSave="{00000000-0000-0000-0000-000000000000}"/>
  <bookViews>
    <workbookView xWindow="0" yWindow="540" windowWidth="28800" windowHeight="16260" tabRatio="500" activeTab="8" xr2:uid="{00000000-000D-0000-FFFF-FFFF00000000}"/>
  </bookViews>
  <sheets>
    <sheet name="Descriptive Stats" sheetId="1" r:id="rId1"/>
    <sheet name="Frequency" sheetId="2" r:id="rId2"/>
    <sheet name="Discrete" sheetId="3" r:id="rId3"/>
    <sheet name="Probability Distributions" sheetId="4" r:id="rId4"/>
    <sheet name="Sample Sizes" sheetId="5" r:id="rId5"/>
    <sheet name="Contingency Probability" sheetId="6" r:id="rId6"/>
    <sheet name="Confidence Intervals" sheetId="7" r:id="rId7"/>
    <sheet name="1 Sample Tests" sheetId="8" r:id="rId8"/>
    <sheet name="2 Sample Tests" sheetId="9" r:id="rId9"/>
    <sheet name="Correlation" sheetId="10" r:id="rId10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0" l="1"/>
  <c r="D6" i="10" s="1"/>
  <c r="D3" i="10"/>
  <c r="D7" i="10" s="1"/>
  <c r="E11" i="10" l="1"/>
  <c r="G11" i="10" s="1"/>
  <c r="E12" i="10"/>
  <c r="G12" i="10" s="1"/>
  <c r="E10" i="10"/>
  <c r="G10" i="10" s="1"/>
  <c r="F10" i="10"/>
  <c r="D12" i="10"/>
  <c r="F12" i="10" s="1"/>
  <c r="D11" i="10"/>
  <c r="F11" i="10" s="1"/>
  <c r="D10" i="10"/>
  <c r="C5" i="7" l="1"/>
  <c r="C6" i="7"/>
  <c r="C4" i="7"/>
  <c r="C13" i="8"/>
  <c r="C9" i="8"/>
  <c r="C6" i="3"/>
  <c r="C5" i="3"/>
  <c r="C4" i="3"/>
  <c r="C3" i="3"/>
  <c r="C2" i="3"/>
  <c r="K7" i="4"/>
  <c r="H20" i="4"/>
  <c r="H19" i="4"/>
  <c r="B10" i="4"/>
  <c r="D21" i="4"/>
  <c r="H4" i="9"/>
  <c r="I4" i="9"/>
  <c r="H9" i="9" s="1"/>
  <c r="H5" i="9"/>
  <c r="I5" i="9"/>
  <c r="H6" i="9"/>
  <c r="D8" i="9"/>
  <c r="D9" i="9"/>
  <c r="E9" i="9"/>
  <c r="H10" i="9"/>
  <c r="L10" i="9"/>
  <c r="L9" i="9" s="1"/>
  <c r="L11" i="9"/>
  <c r="H14" i="9"/>
  <c r="H17" i="9" s="1"/>
  <c r="H18" i="9"/>
  <c r="C10" i="8"/>
  <c r="G10" i="8"/>
  <c r="G11" i="8"/>
  <c r="H11" i="8" s="1"/>
  <c r="F6" i="7"/>
  <c r="C7" i="7"/>
  <c r="F7" i="7"/>
  <c r="E10" i="7"/>
  <c r="F10" i="7"/>
  <c r="E15" i="7"/>
  <c r="C8" i="7" l="1"/>
  <c r="B13" i="7" s="1"/>
  <c r="C9" i="7"/>
  <c r="B17" i="7" s="1"/>
  <c r="G9" i="8"/>
  <c r="H9" i="8" s="1"/>
  <c r="D14" i="8"/>
  <c r="F14" i="8" s="1"/>
  <c r="C14" i="8"/>
  <c r="E14" i="8" s="1"/>
  <c r="D13" i="8"/>
  <c r="F13" i="8" s="1"/>
  <c r="C15" i="8"/>
  <c r="E15" i="8" s="1"/>
  <c r="E13" i="8"/>
  <c r="D15" i="8"/>
  <c r="F15" i="8" s="1"/>
  <c r="D11" i="9"/>
  <c r="E17" i="9" s="1"/>
  <c r="D12" i="9"/>
  <c r="D17" i="9" s="1"/>
  <c r="H11" i="9"/>
  <c r="H13" i="9" s="1"/>
  <c r="E15" i="9"/>
  <c r="H19" i="9"/>
  <c r="H10" i="8"/>
  <c r="I4" i="6"/>
  <c r="I5" i="6"/>
  <c r="I6" i="6"/>
  <c r="I7" i="6"/>
  <c r="I8" i="6"/>
  <c r="D9" i="6"/>
  <c r="E9" i="6"/>
  <c r="F9" i="6"/>
  <c r="G9" i="6"/>
  <c r="H9" i="6"/>
  <c r="D14" i="6"/>
  <c r="N14" i="6" s="1"/>
  <c r="E14" i="6"/>
  <c r="O14" i="6" s="1"/>
  <c r="F14" i="6"/>
  <c r="P14" i="6" s="1"/>
  <c r="G14" i="6"/>
  <c r="H14" i="6"/>
  <c r="Q14" i="6"/>
  <c r="R14" i="6"/>
  <c r="C15" i="6"/>
  <c r="M15" i="6" s="1"/>
  <c r="C16" i="6"/>
  <c r="C26" i="6" s="1"/>
  <c r="C17" i="6"/>
  <c r="M17" i="6" s="1"/>
  <c r="C18" i="6"/>
  <c r="M18" i="6" s="1"/>
  <c r="C19" i="6"/>
  <c r="M19" i="6" s="1"/>
  <c r="D24" i="6"/>
  <c r="E24" i="6"/>
  <c r="F24" i="6"/>
  <c r="G24" i="6"/>
  <c r="H24" i="6"/>
  <c r="C27" i="6"/>
  <c r="C28" i="6"/>
  <c r="D33" i="6"/>
  <c r="E33" i="6"/>
  <c r="F33" i="6"/>
  <c r="G33" i="6"/>
  <c r="H33" i="6"/>
  <c r="C34" i="6"/>
  <c r="C35" i="6"/>
  <c r="C36" i="6"/>
  <c r="C37" i="6"/>
  <c r="C38" i="6"/>
  <c r="B5" i="5"/>
  <c r="B6" i="5" s="1"/>
  <c r="B7" i="5" s="1"/>
  <c r="E5" i="5"/>
  <c r="E6" i="5" s="1"/>
  <c r="E7" i="5" s="1"/>
  <c r="C17" i="7" l="1"/>
  <c r="C13" i="7"/>
  <c r="I9" i="6"/>
  <c r="D15" i="6" s="1" a="1"/>
  <c r="I18" i="6" s="1"/>
  <c r="E16" i="9"/>
  <c r="D16" i="9"/>
  <c r="D15" i="9"/>
  <c r="I17" i="9"/>
  <c r="I19" i="9"/>
  <c r="I18" i="9"/>
  <c r="C29" i="6"/>
  <c r="C25" i="6"/>
  <c r="M16" i="6"/>
  <c r="H27" i="6" l="1"/>
  <c r="F27" i="6"/>
  <c r="F28" i="6"/>
  <c r="R17" i="6"/>
  <c r="Q19" i="6"/>
  <c r="F37" i="6"/>
  <c r="D28" i="6"/>
  <c r="E28" i="6"/>
  <c r="N18" i="6"/>
  <c r="I17" i="6"/>
  <c r="H38" i="6"/>
  <c r="H37" i="6"/>
  <c r="R18" i="6"/>
  <c r="N17" i="6"/>
  <c r="P18" i="6"/>
  <c r="E29" i="6"/>
  <c r="H29" i="6"/>
  <c r="R15" i="6"/>
  <c r="G35" i="6"/>
  <c r="D29" i="6"/>
  <c r="H28" i="6"/>
  <c r="G28" i="6"/>
  <c r="E27" i="6"/>
  <c r="E20" i="6"/>
  <c r="E26" i="6" s="1"/>
  <c r="Q18" i="6"/>
  <c r="D36" i="6"/>
  <c r="P19" i="6"/>
  <c r="F20" i="6"/>
  <c r="F25" i="6" s="1"/>
  <c r="I16" i="6"/>
  <c r="N16" i="6" s="1"/>
  <c r="P17" i="6"/>
  <c r="D27" i="6"/>
  <c r="Q17" i="6"/>
  <c r="H20" i="6"/>
  <c r="H34" i="6"/>
  <c r="R16" i="6"/>
  <c r="F38" i="6"/>
  <c r="H25" i="6"/>
  <c r="Q16" i="6"/>
  <c r="O19" i="6"/>
  <c r="G27" i="6"/>
  <c r="G36" i="6"/>
  <c r="E36" i="6"/>
  <c r="D37" i="6"/>
  <c r="D15" i="6"/>
  <c r="I15" i="6" s="1"/>
  <c r="N15" i="6" s="1"/>
  <c r="Q15" i="6"/>
  <c r="G26" i="6"/>
  <c r="O18" i="6"/>
  <c r="F29" i="6"/>
  <c r="G38" i="6"/>
  <c r="D38" i="6"/>
  <c r="H35" i="6"/>
  <c r="G25" i="6"/>
  <c r="P16" i="6"/>
  <c r="O17" i="6"/>
  <c r="G20" i="6"/>
  <c r="H26" i="6"/>
  <c r="E37" i="6"/>
  <c r="R19" i="6"/>
  <c r="E38" i="6"/>
  <c r="G29" i="6"/>
  <c r="H36" i="6"/>
  <c r="G37" i="6"/>
  <c r="N19" i="6"/>
  <c r="F36" i="6"/>
  <c r="G34" i="6"/>
  <c r="I19" i="6"/>
  <c r="D20" i="6"/>
  <c r="D25" i="6" s="1"/>
  <c r="F26" i="6" l="1"/>
  <c r="F35" i="6"/>
  <c r="F34" i="6"/>
  <c r="P15" i="6"/>
  <c r="O16" i="6"/>
  <c r="E25" i="6"/>
  <c r="E35" i="6"/>
  <c r="D34" i="6"/>
  <c r="I20" i="6"/>
  <c r="D35" i="6"/>
  <c r="D26" i="6"/>
  <c r="E34" i="6"/>
  <c r="O15" i="6"/>
  <c r="K3" i="4"/>
  <c r="E4" i="4"/>
  <c r="B5" i="4"/>
  <c r="E5" i="4"/>
  <c r="B6" i="4"/>
  <c r="E6" i="4"/>
  <c r="B7" i="4"/>
  <c r="E7" i="4"/>
  <c r="H7" i="4"/>
  <c r="H8" i="4" s="1"/>
  <c r="K8" i="4"/>
  <c r="B8" i="4"/>
  <c r="E8" i="4"/>
  <c r="B9" i="4"/>
  <c r="H9" i="4"/>
  <c r="K12" i="4"/>
  <c r="H13" i="4"/>
  <c r="K13" i="4"/>
  <c r="H14" i="4"/>
  <c r="H15" i="4"/>
  <c r="H26" i="4"/>
  <c r="H27" i="4"/>
  <c r="H2" i="3"/>
  <c r="D2" i="3" s="1"/>
  <c r="D2" i="2"/>
  <c r="E2" i="2"/>
  <c r="H2" i="2"/>
  <c r="I2" i="2" a="1"/>
  <c r="I2" i="2" s="1"/>
  <c r="D5" i="2" s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G2" i="2" l="1"/>
  <c r="D4" i="3"/>
  <c r="D6" i="3"/>
  <c r="E2" i="3"/>
  <c r="I2" i="3"/>
  <c r="D3" i="3"/>
  <c r="D8" i="3"/>
  <c r="D5" i="3"/>
  <c r="D7" i="3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C17" i="1"/>
  <c r="C16" i="1"/>
  <c r="C15" i="1"/>
  <c r="C13" i="1"/>
  <c r="C12" i="1"/>
  <c r="C11" i="1"/>
  <c r="C10" i="1"/>
  <c r="C9" i="1"/>
  <c r="C8" i="1"/>
  <c r="C7" i="1"/>
  <c r="C6" i="1"/>
  <c r="C5" i="1"/>
  <c r="C4" i="1"/>
  <c r="C3" i="1"/>
  <c r="K13" i="1" s="1"/>
  <c r="C2" i="1"/>
  <c r="G17" i="1" l="1"/>
  <c r="G16" i="1"/>
  <c r="G18" i="1" s="1"/>
  <c r="E3" i="3"/>
  <c r="E4" i="3" s="1"/>
  <c r="E5" i="3" s="1"/>
  <c r="E6" i="3" s="1"/>
  <c r="E7" i="3" s="1"/>
  <c r="E8" i="3" s="1"/>
  <c r="F8" i="3"/>
  <c r="F7" i="3" s="1"/>
  <c r="F6" i="3" s="1"/>
  <c r="F5" i="3" s="1"/>
  <c r="F4" i="3" s="1"/>
  <c r="F3" i="3" s="1"/>
  <c r="F2" i="3" s="1"/>
  <c r="E5" i="2" a="1"/>
  <c r="K6" i="1"/>
  <c r="K7" i="1"/>
  <c r="K8" i="1"/>
  <c r="K9" i="1"/>
  <c r="K2" i="1"/>
  <c r="K10" i="1"/>
  <c r="K3" i="1"/>
  <c r="K11" i="1"/>
  <c r="K4" i="1"/>
  <c r="K12" i="1"/>
  <c r="K5" i="1"/>
  <c r="C14" i="1"/>
  <c r="C19" i="1"/>
  <c r="C18" i="1"/>
  <c r="E5" i="2" l="1"/>
  <c r="E13" i="2"/>
  <c r="F13" i="2" s="1"/>
  <c r="E8" i="2"/>
  <c r="F8" i="2" s="1"/>
  <c r="E12" i="2"/>
  <c r="F12" i="2" s="1"/>
  <c r="E16" i="2"/>
  <c r="F16" i="2" s="1"/>
  <c r="E20" i="2"/>
  <c r="F20" i="2" s="1"/>
  <c r="E24" i="2"/>
  <c r="F24" i="2" s="1"/>
  <c r="E7" i="2"/>
  <c r="F7" i="2" s="1"/>
  <c r="E11" i="2"/>
  <c r="F11" i="2" s="1"/>
  <c r="E15" i="2"/>
  <c r="F15" i="2" s="1"/>
  <c r="E19" i="2"/>
  <c r="F19" i="2" s="1"/>
  <c r="E23" i="2"/>
  <c r="F23" i="2" s="1"/>
  <c r="E6" i="2"/>
  <c r="F6" i="2" s="1"/>
  <c r="E10" i="2"/>
  <c r="F10" i="2" s="1"/>
  <c r="E14" i="2"/>
  <c r="F14" i="2" s="1"/>
  <c r="E18" i="2"/>
  <c r="F18" i="2" s="1"/>
  <c r="E22" i="2"/>
  <c r="F22" i="2" s="1"/>
  <c r="E21" i="2"/>
  <c r="F21" i="2" s="1"/>
  <c r="E9" i="2"/>
  <c r="F9" i="2" s="1"/>
  <c r="E17" i="2"/>
  <c r="F17" i="2" s="1"/>
  <c r="F5" i="2" l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Schaub</author>
  </authors>
  <commentList>
    <comment ref="D3" authorId="0" shapeId="0" xr:uid="{00000000-0006-0000-0000-000001000000}">
      <text>
        <r>
          <rPr>
            <sz val="10"/>
            <color rgb="FF000000"/>
            <rFont val="Verdana"/>
            <family val="2"/>
          </rPr>
          <t>You may enter a short name for the column here.</t>
        </r>
      </text>
    </comment>
    <comment ref="C4" authorId="0" shapeId="0" xr:uid="{00000000-0006-0000-0000-000002000000}">
      <text>
        <r>
          <rPr>
            <sz val="10"/>
            <color rgb="FF000000"/>
            <rFont val="Verdana"/>
            <family val="2"/>
          </rPr>
          <t>You may enter a short name for the row here.</t>
        </r>
      </text>
    </comment>
    <comment ref="D4" authorId="0" shapeId="0" xr:uid="{00000000-0006-0000-0000-000003000000}">
      <text>
        <r>
          <rPr>
            <sz val="10"/>
            <color rgb="FF000000"/>
            <rFont val="Verdana"/>
            <family val="2"/>
          </rPr>
          <t>This is the cell frequency.  If the data you have is joint probability, then enter the joint probability in each of these cells.</t>
        </r>
      </text>
    </comment>
    <comment ref="D15" authorId="0" shapeId="0" xr:uid="{00000000-0006-0000-0000-000004000000}">
      <text>
        <r>
          <rPr>
            <sz val="10"/>
            <color rgb="FF000000"/>
            <rFont val="Verdana"/>
            <family val="2"/>
          </rPr>
          <t>This is the joint probability of Row 1 and Column 1.</t>
        </r>
      </text>
    </comment>
    <comment ref="N15" authorId="0" shapeId="0" xr:uid="{00000000-0006-0000-0000-000006000000}">
      <text>
        <r>
          <rPr>
            <sz val="10"/>
            <color rgb="FF000000"/>
            <rFont val="Verdana"/>
            <family val="2"/>
          </rPr>
          <t>This is the conditional probability of Col 1 given Row 1, or P(Col1 | Row 1).</t>
        </r>
      </text>
    </comment>
    <comment ref="D25" authorId="0" shapeId="0" xr:uid="{00000000-0006-0000-0000-000008000000}">
      <text>
        <r>
          <rPr>
            <sz val="10"/>
            <color rgb="FF000000"/>
            <rFont val="Verdana"/>
            <family val="2"/>
          </rPr>
          <t>This is the conditional probability of Row 1 given Col 1, or P(Row 1 | Col 1).</t>
        </r>
      </text>
    </comment>
    <comment ref="D34" authorId="0" shapeId="0" xr:uid="{00000000-0006-0000-0000-000009000000}">
      <text>
        <r>
          <rPr>
            <sz val="10"/>
            <color rgb="FF000000"/>
            <rFont val="Verdana"/>
            <family val="2"/>
          </rPr>
          <t>This is the conditional probability of Row 1 given Col 1, or P(Row 1 | Col 1).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<sst xmlns="http://schemas.openxmlformats.org/spreadsheetml/2006/main" count="244" uniqueCount="148">
  <si>
    <t>Descriptive Statistics</t>
  </si>
  <si>
    <t>Mean</t>
  </si>
  <si>
    <t>Median</t>
  </si>
  <si>
    <t>Mode</t>
  </si>
  <si>
    <t>Std. Deviation</t>
  </si>
  <si>
    <t>Variance</t>
  </si>
  <si>
    <t>Pop Std Dev.</t>
  </si>
  <si>
    <t>Pop. Variance</t>
  </si>
  <si>
    <t>Skewness</t>
  </si>
  <si>
    <t>Kurtosis</t>
  </si>
  <si>
    <t>Minimum</t>
  </si>
  <si>
    <t>Maximum</t>
  </si>
  <si>
    <t>Sum</t>
  </si>
  <si>
    <t>Count</t>
  </si>
  <si>
    <t>Range</t>
  </si>
  <si>
    <t>1st Quartile</t>
  </si>
  <si>
    <t>3rd Quartile</t>
  </si>
  <si>
    <t>Interquartile Range</t>
  </si>
  <si>
    <t>CV</t>
  </si>
  <si>
    <t>peakness of the data</t>
  </si>
  <si>
    <t>stdev/mean = coefficient of variance</t>
  </si>
  <si>
    <t>skewed to the left if negative value</t>
  </si>
  <si>
    <t>Cum. %</t>
  </si>
  <si>
    <t>Cum. Freq.</t>
  </si>
  <si>
    <t>%</t>
  </si>
  <si>
    <t>Freq</t>
  </si>
  <si>
    <t>End</t>
  </si>
  <si>
    <t>Start</t>
  </si>
  <si>
    <t>Max Decimals</t>
  </si>
  <si>
    <t>n</t>
  </si>
  <si>
    <t>App. Width</t>
  </si>
  <si>
    <t>No. Of Bins</t>
  </si>
  <si>
    <t>Width</t>
  </si>
  <si>
    <t xml:space="preserve"> </t>
  </si>
  <si>
    <t>Stdev</t>
  </si>
  <si>
    <t>Mean E(X)</t>
  </si>
  <si>
    <t>n or Sum</t>
  </si>
  <si>
    <t>P(X ≥ x)</t>
  </si>
  <si>
    <t>P(X ≤ x)</t>
  </si>
  <si>
    <t>P(X)</t>
  </si>
  <si>
    <t>f or P(X)</t>
  </si>
  <si>
    <t>x</t>
  </si>
  <si>
    <t>Mu - Right Tail p</t>
  </si>
  <si>
    <t>Mu - Left Tail p</t>
  </si>
  <si>
    <t>P</t>
  </si>
  <si>
    <t>Std Dev.</t>
  </si>
  <si>
    <t>x (MEAN)</t>
  </si>
  <si>
    <t>Calculating Mu</t>
  </si>
  <si>
    <t>P(X &gt; x)</t>
  </si>
  <si>
    <t>P(X&lt; x)</t>
  </si>
  <si>
    <t>z</t>
  </si>
  <si>
    <t>z - Score Probabilities</t>
  </si>
  <si>
    <t>|z|</t>
  </si>
  <si>
    <t>x - upper tail</t>
  </si>
  <si>
    <t>x - lower tail</t>
  </si>
  <si>
    <t>Inverse Calculations</t>
  </si>
  <si>
    <t>right</t>
  </si>
  <si>
    <t>P(X &lt; x)</t>
  </si>
  <si>
    <t>left</t>
  </si>
  <si>
    <t>P(X≤ x)</t>
  </si>
  <si>
    <t>P(x)</t>
  </si>
  <si>
    <t>Probabilities</t>
  </si>
  <si>
    <t>E(X)</t>
  </si>
  <si>
    <t>mu = 1/lambda</t>
  </si>
  <si>
    <t>pi</t>
  </si>
  <si>
    <t>is a rate</t>
  </si>
  <si>
    <t>Lambda</t>
  </si>
  <si>
    <t>Lambda(mean number of  occurances)</t>
  </si>
  <si>
    <t>Exponential Distribution</t>
  </si>
  <si>
    <t>Normal Distribution</t>
  </si>
  <si>
    <t>Poisson Distribution</t>
  </si>
  <si>
    <t>Binomial Distribution</t>
  </si>
  <si>
    <t>n (rounded)</t>
  </si>
  <si>
    <t>Sample Size(n)</t>
  </si>
  <si>
    <t>Sample Size (n)</t>
  </si>
  <si>
    <t>Alpha</t>
  </si>
  <si>
    <t>MOE</t>
  </si>
  <si>
    <t>MoE</t>
  </si>
  <si>
    <t>π</t>
  </si>
  <si>
    <t>sigma</t>
  </si>
  <si>
    <t>Confidence</t>
  </si>
  <si>
    <t>Sample Size Proportions</t>
  </si>
  <si>
    <t>Sample Size Means</t>
  </si>
  <si>
    <t>Union Probabilities</t>
  </si>
  <si>
    <t>Column-Conditional Probabilities</t>
  </si>
  <si>
    <t>Marginal</t>
  </si>
  <si>
    <t>Row-Conditional Probabilities</t>
  </si>
  <si>
    <t>Joint Probabilities</t>
  </si>
  <si>
    <t>Total</t>
  </si>
  <si>
    <t>Contingency Table</t>
  </si>
  <si>
    <t>Contingency Table and Probabilities</t>
  </si>
  <si>
    <t>Upper</t>
  </si>
  <si>
    <t>Lower</t>
  </si>
  <si>
    <t>st dev of population</t>
  </si>
  <si>
    <r>
      <t xml:space="preserve">z- Score Using </t>
    </r>
    <r>
      <rPr>
        <sz val="12"/>
        <color theme="1"/>
        <rFont val="Symbol"/>
        <charset val="2"/>
      </rPr>
      <t xml:space="preserve">s 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Calibri (Body)"/>
      </rPr>
      <t>not s</t>
    </r>
    <r>
      <rPr>
        <sz val="12"/>
        <color theme="1"/>
        <rFont val="Calibri"/>
        <family val="2"/>
        <scheme val="minor"/>
      </rPr>
      <t>)</t>
    </r>
  </si>
  <si>
    <t>st dev of sample</t>
  </si>
  <si>
    <r>
      <t xml:space="preserve">t- Score Using s (not </t>
    </r>
    <r>
      <rPr>
        <sz val="12"/>
        <color theme="1"/>
        <rFont val="Symbol"/>
        <charset val="2"/>
      </rPr>
      <t>s</t>
    </r>
    <r>
      <rPr>
        <sz val="12"/>
        <color theme="1"/>
        <rFont val="Calibri"/>
        <family val="2"/>
        <scheme val="minor"/>
      </rPr>
      <t>)</t>
    </r>
  </si>
  <si>
    <t>margin of error</t>
  </si>
  <si>
    <t>MOE_z</t>
  </si>
  <si>
    <t>MOE_t</t>
  </si>
  <si>
    <t>p</t>
  </si>
  <si>
    <t>Std Dev</t>
  </si>
  <si>
    <t>Proportions</t>
  </si>
  <si>
    <t>Means</t>
  </si>
  <si>
    <t>Confidence Intervals</t>
  </si>
  <si>
    <t>Data</t>
  </si>
  <si>
    <t>Right Tail</t>
  </si>
  <si>
    <t>Left Tail</t>
  </si>
  <si>
    <t>Two Tailed</t>
  </si>
  <si>
    <t>p-value</t>
  </si>
  <si>
    <t>t_critical</t>
  </si>
  <si>
    <t>df</t>
  </si>
  <si>
    <t>standard error = st dev/ sqrt sample size</t>
  </si>
  <si>
    <t>Test Statistic t_calc</t>
  </si>
  <si>
    <t>Significance</t>
  </si>
  <si>
    <t>Hyp. Mean</t>
  </si>
  <si>
    <t>Hyp. Proportion</t>
  </si>
  <si>
    <t>Sample Stdev.</t>
  </si>
  <si>
    <t>Sample Mean</t>
  </si>
  <si>
    <t>Sample Size</t>
  </si>
  <si>
    <t>Proportions (Exact)</t>
  </si>
  <si>
    <t>1 Sample Tests</t>
  </si>
  <si>
    <t>Std Dev. Diff</t>
  </si>
  <si>
    <t>Correl.</t>
  </si>
  <si>
    <t>Mean Diff</t>
  </si>
  <si>
    <t>Hyp Mean</t>
  </si>
  <si>
    <t>Mean Difference</t>
  </si>
  <si>
    <t>Sample 2</t>
  </si>
  <si>
    <t>Sample 1</t>
  </si>
  <si>
    <t>Independent Proportions (Exact)</t>
  </si>
  <si>
    <t>Dependent Means</t>
  </si>
  <si>
    <t>Independent Means</t>
  </si>
  <si>
    <t>2 Sample Tests</t>
  </si>
  <si>
    <t>Data 2</t>
  </si>
  <si>
    <t>Data 1</t>
  </si>
  <si>
    <t>one</t>
  </si>
  <si>
    <t>two</t>
  </si>
  <si>
    <t>three</t>
  </si>
  <si>
    <t>yes</t>
  </si>
  <si>
    <t>no</t>
  </si>
  <si>
    <t>Metals</t>
  </si>
  <si>
    <t>Income</t>
  </si>
  <si>
    <t>Cavities</t>
  </si>
  <si>
    <t>t_calc</t>
  </si>
  <si>
    <t>Correl Coeff.</t>
  </si>
  <si>
    <t>Correlation Test for Rho = 0</t>
  </si>
  <si>
    <t>Healthcare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</si>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</sst>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0.00000"/>
    <numFmt numFmtId="166" formatCode="0.000000000000000"/>
    <numFmt numFmtId="167" formatCode="0.000000"/>
    <numFmt numFmtId="168" formatCode="0.000"/>
    <numFmt numFmtId="169" formatCode="0.00000000"/>
    <numFmt numFmtId="170" formatCode="0.0000000"/>
    <numFmt numFmtId="171" formatCode="0.0000E+0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252525"/>
      <name val="Arial"/>
      <family val="2"/>
    </font>
    <font>
      <sz val="12"/>
      <color rgb="FF252525"/>
      <name val="Inherit"/>
    </font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10"/>
      <name val="Helvetica"/>
      <family val="2"/>
    </font>
    <font>
      <b/>
      <i/>
      <sz val="10"/>
      <name val="Arial"/>
      <family val="2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indexed="12"/>
      <name val="Arial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0070C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rgb="FF000000"/>
      <name val="Verdana"/>
      <family val="2"/>
    </font>
    <font>
      <sz val="12"/>
      <color theme="1"/>
      <name val="Symbol"/>
      <charset val="2"/>
    </font>
    <font>
      <sz val="12"/>
      <color theme="1"/>
      <name val="Calibri (Body)"/>
    </font>
    <font>
      <b/>
      <sz val="14"/>
      <color indexed="12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8" fillId="0" borderId="0"/>
    <xf numFmtId="0" fontId="14" fillId="0" borderId="0"/>
    <xf numFmtId="0" fontId="14" fillId="0" borderId="0"/>
    <xf numFmtId="0" fontId="6" fillId="0" borderId="0"/>
  </cellStyleXfs>
  <cellXfs count="10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10" fontId="2" fillId="0" borderId="0" xfId="1" applyNumberFormat="1" applyFont="1"/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164" fontId="6" fillId="0" borderId="2" xfId="2" applyNumberFormat="1" applyFont="1" applyBorder="1" applyAlignment="1">
      <alignment horizontal="center"/>
    </xf>
    <xf numFmtId="164" fontId="6" fillId="0" borderId="3" xfId="2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3" borderId="5" xfId="2" applyFont="1" applyFill="1" applyBorder="1" applyAlignment="1">
      <alignment horizontal="center"/>
    </xf>
    <xf numFmtId="0" fontId="7" fillId="3" borderId="2" xfId="3" applyFont="1" applyFill="1" applyBorder="1" applyAlignment="1">
      <alignment horizontal="center"/>
    </xf>
    <xf numFmtId="0" fontId="7" fillId="3" borderId="5" xfId="3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11" fillId="0" borderId="0" xfId="0" applyFont="1"/>
    <xf numFmtId="165" fontId="2" fillId="0" borderId="0" xfId="0" applyNumberFormat="1" applyFont="1" applyAlignment="1">
      <alignment horizontal="center"/>
    </xf>
    <xf numFmtId="166" fontId="10" fillId="0" borderId="0" xfId="0" applyNumberFormat="1" applyFont="1"/>
    <xf numFmtId="165" fontId="10" fillId="0" borderId="0" xfId="0" applyNumberFormat="1" applyFont="1"/>
    <xf numFmtId="2" fontId="0" fillId="2" borderId="0" xfId="0" applyNumberFormat="1" applyFill="1" applyAlignment="1">
      <alignment horizontal="center"/>
    </xf>
    <xf numFmtId="0" fontId="12" fillId="0" borderId="0" xfId="2" applyFont="1"/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2" borderId="0" xfId="1" applyNumberFormat="1" applyFont="1" applyFill="1" applyAlignment="1">
      <alignment horizontal="center"/>
    </xf>
    <xf numFmtId="0" fontId="13" fillId="0" borderId="0" xfId="0" applyFont="1"/>
    <xf numFmtId="9" fontId="0" fillId="2" borderId="0" xfId="1" applyFont="1" applyFill="1" applyAlignment="1">
      <alignment horizontal="center"/>
    </xf>
    <xf numFmtId="0" fontId="14" fillId="0" borderId="0" xfId="4"/>
    <xf numFmtId="164" fontId="14" fillId="3" borderId="7" xfId="4" applyNumberFormat="1" applyFill="1" applyBorder="1" applyAlignment="1">
      <alignment horizontal="center"/>
    </xf>
    <xf numFmtId="164" fontId="14" fillId="3" borderId="1" xfId="4" applyNumberFormat="1" applyFill="1" applyBorder="1" applyAlignment="1">
      <alignment horizontal="center"/>
    </xf>
    <xf numFmtId="164" fontId="15" fillId="3" borderId="1" xfId="4" applyNumberFormat="1" applyFont="1" applyFill="1" applyBorder="1" applyAlignment="1">
      <alignment horizontal="center"/>
    </xf>
    <xf numFmtId="0" fontId="7" fillId="3" borderId="1" xfId="4" applyFont="1" applyFill="1" applyBorder="1" applyAlignment="1">
      <alignment horizontal="center"/>
    </xf>
    <xf numFmtId="0" fontId="14" fillId="3" borderId="8" xfId="4" applyFill="1" applyBorder="1"/>
    <xf numFmtId="164" fontId="15" fillId="3" borderId="9" xfId="4" applyNumberFormat="1" applyFont="1" applyFill="1" applyBorder="1" applyAlignment="1">
      <alignment horizontal="center"/>
    </xf>
    <xf numFmtId="0" fontId="14" fillId="3" borderId="0" xfId="4" applyFill="1"/>
    <xf numFmtId="164" fontId="16" fillId="0" borderId="10" xfId="4" applyNumberFormat="1" applyFont="1" applyBorder="1" applyAlignment="1">
      <alignment horizontal="center"/>
    </xf>
    <xf numFmtId="0" fontId="7" fillId="3" borderId="5" xfId="4" applyFont="1" applyFill="1" applyBorder="1" applyAlignment="1">
      <alignment horizontal="center"/>
    </xf>
    <xf numFmtId="0" fontId="14" fillId="3" borderId="11" xfId="4" applyFill="1" applyBorder="1"/>
    <xf numFmtId="0" fontId="7" fillId="3" borderId="9" xfId="4" applyFont="1" applyFill="1" applyBorder="1" applyAlignment="1">
      <alignment horizontal="center"/>
    </xf>
    <xf numFmtId="0" fontId="7" fillId="3" borderId="12" xfId="4" applyFont="1" applyFill="1" applyBorder="1" applyAlignment="1">
      <alignment horizontal="center"/>
    </xf>
    <xf numFmtId="0" fontId="14" fillId="3" borderId="13" xfId="4" applyFill="1" applyBorder="1"/>
    <xf numFmtId="0" fontId="14" fillId="3" borderId="14" xfId="4" applyFill="1" applyBorder="1"/>
    <xf numFmtId="0" fontId="17" fillId="3" borderId="14" xfId="4" applyFont="1" applyFill="1" applyBorder="1" applyAlignment="1">
      <alignment horizontal="left"/>
    </xf>
    <xf numFmtId="0" fontId="14" fillId="3" borderId="15" xfId="4" applyFill="1" applyBorder="1"/>
    <xf numFmtId="0" fontId="14" fillId="3" borderId="7" xfId="4" applyFill="1" applyBorder="1"/>
    <xf numFmtId="0" fontId="14" fillId="3" borderId="1" xfId="4" applyFill="1" applyBorder="1"/>
    <xf numFmtId="0" fontId="14" fillId="3" borderId="9" xfId="4" applyFill="1" applyBorder="1"/>
    <xf numFmtId="164" fontId="16" fillId="0" borderId="16" xfId="4" applyNumberFormat="1" applyFont="1" applyBorder="1" applyAlignment="1">
      <alignment horizontal="center"/>
    </xf>
    <xf numFmtId="164" fontId="16" fillId="0" borderId="17" xfId="4" applyNumberFormat="1" applyFont="1" applyBorder="1" applyAlignment="1">
      <alignment horizontal="center"/>
    </xf>
    <xf numFmtId="164" fontId="14" fillId="3" borderId="9" xfId="4" applyNumberFormat="1" applyFill="1" applyBorder="1" applyAlignment="1">
      <alignment horizontal="center"/>
    </xf>
    <xf numFmtId="167" fontId="18" fillId="0" borderId="4" xfId="4" applyNumberFormat="1" applyFont="1" applyBorder="1" applyAlignment="1">
      <alignment horizontal="center"/>
    </xf>
    <xf numFmtId="0" fontId="18" fillId="0" borderId="18" xfId="4" applyFont="1" applyBorder="1" applyAlignment="1">
      <alignment horizontal="center"/>
    </xf>
    <xf numFmtId="0" fontId="7" fillId="3" borderId="19" xfId="4" applyFont="1" applyFill="1" applyBorder="1" applyAlignment="1">
      <alignment horizontal="center"/>
    </xf>
    <xf numFmtId="164" fontId="16" fillId="0" borderId="20" xfId="4" applyNumberFormat="1" applyFont="1" applyBorder="1" applyAlignment="1">
      <alignment horizontal="center"/>
    </xf>
    <xf numFmtId="0" fontId="18" fillId="0" borderId="4" xfId="4" applyFont="1" applyBorder="1" applyAlignment="1">
      <alignment horizontal="center"/>
    </xf>
    <xf numFmtId="164" fontId="16" fillId="0" borderId="21" xfId="4" applyNumberFormat="1" applyFont="1" applyBorder="1" applyAlignment="1">
      <alignment horizontal="center"/>
    </xf>
    <xf numFmtId="164" fontId="16" fillId="0" borderId="22" xfId="4" applyNumberFormat="1" applyFont="1" applyBorder="1" applyAlignment="1">
      <alignment horizontal="center"/>
    </xf>
    <xf numFmtId="164" fontId="16" fillId="0" borderId="23" xfId="4" applyNumberFormat="1" applyFont="1" applyBorder="1" applyAlignment="1">
      <alignment horizontal="center"/>
    </xf>
    <xf numFmtId="164" fontId="16" fillId="0" borderId="24" xfId="4" applyNumberFormat="1" applyFont="1" applyBorder="1" applyAlignment="1">
      <alignment horizontal="center"/>
    </xf>
    <xf numFmtId="164" fontId="16" fillId="0" borderId="2" xfId="4" applyNumberFormat="1" applyFont="1" applyBorder="1" applyAlignment="1">
      <alignment horizontal="center"/>
    </xf>
    <xf numFmtId="0" fontId="7" fillId="3" borderId="3" xfId="4" applyFont="1" applyFill="1" applyBorder="1" applyAlignment="1">
      <alignment horizontal="center"/>
    </xf>
    <xf numFmtId="0" fontId="14" fillId="3" borderId="9" xfId="4" applyFill="1" applyBorder="1" applyAlignment="1">
      <alignment horizontal="center"/>
    </xf>
    <xf numFmtId="0" fontId="14" fillId="4" borderId="21" xfId="4" applyFill="1" applyBorder="1" applyAlignment="1" applyProtection="1">
      <alignment horizontal="center"/>
      <protection locked="0"/>
    </xf>
    <xf numFmtId="0" fontId="14" fillId="4" borderId="22" xfId="4" applyFill="1" applyBorder="1" applyAlignment="1" applyProtection="1">
      <alignment horizontal="center"/>
      <protection locked="0"/>
    </xf>
    <xf numFmtId="0" fontId="14" fillId="4" borderId="23" xfId="4" applyFill="1" applyBorder="1" applyAlignment="1" applyProtection="1">
      <alignment horizontal="center"/>
      <protection locked="0"/>
    </xf>
    <xf numFmtId="0" fontId="7" fillId="5" borderId="25" xfId="4" applyFont="1" applyFill="1" applyBorder="1" applyAlignment="1" applyProtection="1">
      <alignment horizontal="center"/>
      <protection locked="0"/>
    </xf>
    <xf numFmtId="0" fontId="14" fillId="4" borderId="24" xfId="4" applyFill="1" applyBorder="1" applyAlignment="1" applyProtection="1">
      <alignment horizontal="center"/>
      <protection locked="0"/>
    </xf>
    <xf numFmtId="0" fontId="14" fillId="4" borderId="2" xfId="4" applyFill="1" applyBorder="1" applyAlignment="1" applyProtection="1">
      <alignment horizontal="center"/>
      <protection locked="0"/>
    </xf>
    <xf numFmtId="0" fontId="14" fillId="4" borderId="20" xfId="4" applyFill="1" applyBorder="1" applyAlignment="1" applyProtection="1">
      <alignment horizontal="center"/>
      <protection locked="0"/>
    </xf>
    <xf numFmtId="0" fontId="7" fillId="5" borderId="5" xfId="4" applyFont="1" applyFill="1" applyBorder="1" applyAlignment="1" applyProtection="1">
      <alignment horizontal="center"/>
      <protection locked="0"/>
    </xf>
    <xf numFmtId="0" fontId="14" fillId="4" borderId="16" xfId="4" applyFill="1" applyBorder="1" applyAlignment="1" applyProtection="1">
      <alignment horizontal="center"/>
      <protection locked="0"/>
    </xf>
    <xf numFmtId="0" fontId="14" fillId="4" borderId="17" xfId="4" applyFill="1" applyBorder="1" applyAlignment="1" applyProtection="1">
      <alignment horizontal="center"/>
      <protection locked="0"/>
    </xf>
    <xf numFmtId="0" fontId="14" fillId="4" borderId="10" xfId="4" applyFill="1" applyBorder="1" applyAlignment="1" applyProtection="1">
      <alignment horizontal="center"/>
      <protection locked="0"/>
    </xf>
    <xf numFmtId="0" fontId="7" fillId="5" borderId="12" xfId="4" applyFont="1" applyFill="1" applyBorder="1" applyAlignment="1" applyProtection="1">
      <alignment horizontal="center"/>
      <protection locked="0"/>
    </xf>
    <xf numFmtId="0" fontId="17" fillId="3" borderId="14" xfId="4" applyFont="1" applyFill="1" applyBorder="1"/>
    <xf numFmtId="0" fontId="12" fillId="0" borderId="0" xfId="4" applyFont="1"/>
    <xf numFmtId="165" fontId="2" fillId="0" borderId="26" xfId="0" applyNumberFormat="1" applyFont="1" applyBorder="1" applyAlignment="1">
      <alignment horizontal="center"/>
    </xf>
    <xf numFmtId="2" fontId="2" fillId="0" borderId="26" xfId="0" applyNumberFormat="1" applyFont="1" applyBorder="1" applyAlignment="1">
      <alignment horizontal="center"/>
    </xf>
    <xf numFmtId="167" fontId="2" fillId="0" borderId="26" xfId="0" applyNumberFormat="1" applyFont="1" applyBorder="1" applyAlignment="1">
      <alignment horizontal="center"/>
    </xf>
    <xf numFmtId="168" fontId="0" fillId="0" borderId="0" xfId="0" applyNumberFormat="1" applyAlignment="1">
      <alignment horizontal="center"/>
    </xf>
    <xf numFmtId="0" fontId="22" fillId="0" borderId="0" xfId="5" applyFont="1"/>
    <xf numFmtId="0" fontId="2" fillId="0" borderId="2" xfId="0" applyFont="1" applyBorder="1" applyAlignment="1">
      <alignment horizontal="center"/>
    </xf>
    <xf numFmtId="165" fontId="2" fillId="0" borderId="2" xfId="0" applyNumberFormat="1" applyFont="1" applyBorder="1"/>
    <xf numFmtId="164" fontId="2" fillId="0" borderId="2" xfId="0" applyNumberFormat="1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169" fontId="2" fillId="0" borderId="2" xfId="0" applyNumberFormat="1" applyFont="1" applyBorder="1"/>
    <xf numFmtId="164" fontId="2" fillId="0" borderId="2" xfId="0" applyNumberFormat="1" applyFont="1" applyBorder="1"/>
    <xf numFmtId="0" fontId="2" fillId="0" borderId="2" xfId="0" applyFont="1" applyBorder="1"/>
    <xf numFmtId="167" fontId="2" fillId="0" borderId="2" xfId="0" applyNumberFormat="1" applyFont="1" applyBorder="1"/>
    <xf numFmtId="164" fontId="0" fillId="2" borderId="0" xfId="0" applyNumberFormat="1" applyFill="1"/>
    <xf numFmtId="0" fontId="0" fillId="2" borderId="0" xfId="0" applyFill="1"/>
    <xf numFmtId="165" fontId="0" fillId="0" borderId="0" xfId="0" applyNumberFormat="1"/>
    <xf numFmtId="165" fontId="11" fillId="0" borderId="0" xfId="0" applyNumberFormat="1" applyFont="1"/>
    <xf numFmtId="170" fontId="0" fillId="0" borderId="0" xfId="0" applyNumberFormat="1"/>
    <xf numFmtId="0" fontId="23" fillId="0" borderId="0" xfId="0" applyFo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vertical="center"/>
    </xf>
    <xf numFmtId="171" fontId="2" fillId="0" borderId="2" xfId="0" applyNumberFormat="1" applyFont="1" applyBorder="1" applyAlignment="1">
      <alignment horizontal="center"/>
    </xf>
    <xf numFmtId="0" fontId="22" fillId="0" borderId="0" xfId="6" applyFont="1"/>
  </cellXfs>
  <cellStyles count="7">
    <cellStyle name="Normal" xfId="0" builtinId="0"/>
    <cellStyle name="Normal 2" xfId="4" xr:uid="{52F9C32E-1880-CE41-89C5-3A6118D62A36}"/>
    <cellStyle name="Normal_Binomial.xls" xfId="2" xr:uid="{381CD76B-A3D6-E642-BECE-6DD73DB80E0D}"/>
    <cellStyle name="Normal_Estimating Mean.xls" xfId="5" xr:uid="{A5A06E9B-53BD-B047-A533-74B7B9FA42E1}"/>
    <cellStyle name="Normal_Estimating Mean.xls 2" xfId="6" xr:uid="{F16FD3E1-4D61-0244-82B6-AFE3DBF50B95}"/>
    <cellStyle name="Normal_Poisson.xls_1" xfId="3" xr:uid="{C6A5D4AF-7A85-6346-8066-86C468E1525F}"/>
    <cellStyle name="Percent" xfId="1" builtinId="5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the Distribution of Returns on Income Investment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Frequency!$E$4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 w="15875">
              <a:solidFill>
                <a:schemeClr val="tx1"/>
              </a:solidFill>
            </a:ln>
            <a:effectLst/>
          </c:spPr>
          <c:invertIfNegative val="0"/>
          <c:cat>
            <c:numRef>
              <c:f>Frequency!$D$5:$D$24</c:f>
              <c:numCache>
                <c:formatCode>General</c:formatCode>
                <c:ptCount val="20"/>
                <c:pt idx="0">
                  <c:v>-5.0010000000000003</c:v>
                </c:pt>
                <c:pt idx="1">
                  <c:v>4.9989999999999997</c:v>
                </c:pt>
                <c:pt idx="2">
                  <c:v>14.998999999999999</c:v>
                </c:pt>
                <c:pt idx="3">
                  <c:v>24.998999999999999</c:v>
                </c:pt>
                <c:pt idx="4">
                  <c:v>34.998999999999995</c:v>
                </c:pt>
                <c:pt idx="5">
                  <c:v>44.998999999999995</c:v>
                </c:pt>
                <c:pt idx="6">
                  <c:v>54.998999999999995</c:v>
                </c:pt>
                <c:pt idx="7">
                  <c:v>64.998999999999995</c:v>
                </c:pt>
                <c:pt idx="8">
                  <c:v>74.998999999999995</c:v>
                </c:pt>
                <c:pt idx="9">
                  <c:v>84.998999999999995</c:v>
                </c:pt>
                <c:pt idx="10">
                  <c:v>94.998999999999995</c:v>
                </c:pt>
                <c:pt idx="11">
                  <c:v>104.999</c:v>
                </c:pt>
                <c:pt idx="12">
                  <c:v>114.999</c:v>
                </c:pt>
                <c:pt idx="13">
                  <c:v>124.999</c:v>
                </c:pt>
                <c:pt idx="14">
                  <c:v>134.999</c:v>
                </c:pt>
                <c:pt idx="15">
                  <c:v>144.999</c:v>
                </c:pt>
                <c:pt idx="16">
                  <c:v>154.999</c:v>
                </c:pt>
                <c:pt idx="17">
                  <c:v>164.999</c:v>
                </c:pt>
                <c:pt idx="18">
                  <c:v>174.999</c:v>
                </c:pt>
                <c:pt idx="19">
                  <c:v>184.999</c:v>
                </c:pt>
              </c:numCache>
            </c:numRef>
          </c:cat>
          <c:val>
            <c:numRef>
              <c:f>Frequency!$E$5:$E$9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A-EE41-B8A0-41A9C1D6F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6010143"/>
        <c:axId val="186011791"/>
      </c:barChart>
      <c:catAx>
        <c:axId val="186010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End Limit</a:t>
                </a:r>
                <a:r>
                  <a:rPr lang="en-US" baseline="0"/>
                  <a:t> for Bins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1791"/>
        <c:crosses val="autoZero"/>
        <c:auto val="1"/>
        <c:lblAlgn val="ctr"/>
        <c:lblOffset val="100"/>
        <c:noMultiLvlLbl val="0"/>
      </c:catAx>
      <c:valAx>
        <c:axId val="1860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6</xdr:row>
      <xdr:rowOff>95250</xdr:rowOff>
    </xdr:from>
    <xdr:to>
      <xdr:col>19</xdr:col>
      <xdr:colOff>533400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34E439-856D-4841-ACBA-68BCA1100E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</xdr:row>
      <xdr:rowOff>72390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BBBD79-5072-7E44-AE4F-050C1A2C6A1B}"/>
            </a:ext>
          </a:extLst>
        </xdr:cNvPr>
        <xdr:cNvSpPr txBox="1"/>
      </xdr:nvSpPr>
      <xdr:spPr>
        <a:xfrm>
          <a:off x="4648200" y="19011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142" workbookViewId="0">
      <selection activeCell="E3" sqref="E3"/>
    </sheetView>
  </sheetViews>
  <sheetFormatPr baseColWidth="10" defaultRowHeight="16"/>
  <cols>
    <col min="1" max="1" width="8.83203125"/>
    <col min="2" max="2" width="17.83203125" bestFit="1" customWidth="1"/>
    <col min="3" max="3" width="12.1640625" bestFit="1" customWidth="1"/>
  </cols>
  <sheetData>
    <row r="1" spans="1:11" ht="17" thickBot="1">
      <c r="A1" t="s">
        <v>140</v>
      </c>
      <c r="B1" s="103" t="s">
        <v>0</v>
      </c>
      <c r="C1" s="103"/>
    </row>
    <row r="2" spans="1:11">
      <c r="A2">
        <v>-7.34</v>
      </c>
      <c r="B2" s="1" t="s">
        <v>13</v>
      </c>
      <c r="C2" s="2">
        <f>COUNT(A:A)</f>
        <v>10</v>
      </c>
      <c r="K2">
        <f>112-C3</f>
        <v>87.346000000000004</v>
      </c>
    </row>
    <row r="3" spans="1:11">
      <c r="A3">
        <v>18.329999999999998</v>
      </c>
      <c r="B3" s="1" t="s">
        <v>1</v>
      </c>
      <c r="C3" s="2">
        <f>AVERAGE(A:A)</f>
        <v>24.654000000000003</v>
      </c>
      <c r="K3">
        <f>0-C3</f>
        <v>-24.654000000000003</v>
      </c>
    </row>
    <row r="4" spans="1:11">
      <c r="A4">
        <v>33.35</v>
      </c>
      <c r="B4" s="1" t="s">
        <v>2</v>
      </c>
      <c r="C4" s="2">
        <f>MEDIAN(A:A)</f>
        <v>33.825000000000003</v>
      </c>
      <c r="K4">
        <f>0-C3</f>
        <v>-24.654000000000003</v>
      </c>
    </row>
    <row r="5" spans="1:11">
      <c r="A5">
        <v>59.45</v>
      </c>
      <c r="B5" s="1" t="s">
        <v>3</v>
      </c>
      <c r="C5" s="2" t="e">
        <f>_xlfn.MODE.SNGL(A:A)</f>
        <v>#N/A</v>
      </c>
      <c r="D5" s="2"/>
      <c r="E5" s="2"/>
      <c r="F5" s="2"/>
      <c r="G5" s="2"/>
      <c r="H5" s="2"/>
      <c r="K5">
        <f>12-C3</f>
        <v>-12.654000000000003</v>
      </c>
    </row>
    <row r="6" spans="1:11">
      <c r="A6">
        <v>8.09</v>
      </c>
      <c r="B6" s="1" t="s">
        <v>4</v>
      </c>
      <c r="C6" s="2">
        <f>_xlfn.STDEV.S(A:A)</f>
        <v>37.129568091571798</v>
      </c>
      <c r="K6">
        <f>7-C3</f>
        <v>-17.654000000000003</v>
      </c>
    </row>
    <row r="7" spans="1:11">
      <c r="A7">
        <v>43.79</v>
      </c>
      <c r="B7" s="1" t="s">
        <v>6</v>
      </c>
      <c r="C7" s="2">
        <f>_xlfn.STDEV.P(A:A)</f>
        <v>35.224201112303454</v>
      </c>
      <c r="K7">
        <f>18-C3</f>
        <v>-6.6540000000000035</v>
      </c>
    </row>
    <row r="8" spans="1:11">
      <c r="A8">
        <v>34.299999999999997</v>
      </c>
      <c r="B8" s="1" t="s">
        <v>5</v>
      </c>
      <c r="C8" s="2">
        <f>_xlfn.VAR.S(A:A)</f>
        <v>1378.6048266666664</v>
      </c>
      <c r="K8">
        <f>0-C3</f>
        <v>-24.654000000000003</v>
      </c>
    </row>
    <row r="9" spans="1:11">
      <c r="A9">
        <v>36.130000000000003</v>
      </c>
      <c r="B9" s="1" t="s">
        <v>7</v>
      </c>
      <c r="C9" s="2">
        <f>_xlfn.VAR.P(A:A)</f>
        <v>1240.7443439999997</v>
      </c>
      <c r="K9">
        <f>25-C3</f>
        <v>0.34599999999999653</v>
      </c>
    </row>
    <row r="10" spans="1:11">
      <c r="A10">
        <v>-56.02</v>
      </c>
      <c r="B10" s="1" t="s">
        <v>8</v>
      </c>
      <c r="C10" s="2">
        <f>SKEW(A:A)</f>
        <v>-1.0076169012365548</v>
      </c>
      <c r="D10" t="s">
        <v>21</v>
      </c>
      <c r="K10">
        <f>0-C3</f>
        <v>-24.654000000000003</v>
      </c>
    </row>
    <row r="11" spans="1:11">
      <c r="A11">
        <v>76.459999999999994</v>
      </c>
      <c r="B11" s="1" t="s">
        <v>9</v>
      </c>
      <c r="C11" s="2">
        <f>KURT(A:A)</f>
        <v>1.6687009993720343</v>
      </c>
      <c r="D11" t="s">
        <v>19</v>
      </c>
      <c r="K11">
        <f>13-C3</f>
        <v>-11.654000000000003</v>
      </c>
    </row>
    <row r="12" spans="1:11">
      <c r="B12" s="1" t="s">
        <v>10</v>
      </c>
      <c r="C12" s="2">
        <f>MIN(A:A)</f>
        <v>-56.02</v>
      </c>
      <c r="K12">
        <f>0-C3</f>
        <v>-24.654000000000003</v>
      </c>
    </row>
    <row r="13" spans="1:11">
      <c r="B13" s="1" t="s">
        <v>11</v>
      </c>
      <c r="C13" s="2">
        <f>MAX(A:A)</f>
        <v>76.459999999999994</v>
      </c>
      <c r="K13">
        <f>35-C3</f>
        <v>10.345999999999997</v>
      </c>
    </row>
    <row r="14" spans="1:11">
      <c r="B14" s="1" t="s">
        <v>14</v>
      </c>
      <c r="C14" s="2">
        <f>C13-C12</f>
        <v>132.47999999999999</v>
      </c>
    </row>
    <row r="15" spans="1:11">
      <c r="B15" s="1" t="s">
        <v>12</v>
      </c>
      <c r="C15" s="2">
        <f>SUM(A:A)</f>
        <v>246.54000000000002</v>
      </c>
    </row>
    <row r="16" spans="1:11">
      <c r="B16" s="1" t="s">
        <v>15</v>
      </c>
      <c r="C16" s="2">
        <f>_xlfn.QUARTILE.EXC(A:A,1)</f>
        <v>4.2324999999999999</v>
      </c>
      <c r="G16">
        <f>1.5*(C17-C16)</f>
        <v>65.208749999999995</v>
      </c>
    </row>
    <row r="17" spans="2:7">
      <c r="B17" s="1" t="s">
        <v>16</v>
      </c>
      <c r="C17" s="2">
        <f>_xlfn.QUARTILE.EXC(A:A,3)</f>
        <v>47.704999999999998</v>
      </c>
      <c r="G17">
        <f>C16-G16</f>
        <v>-60.976249999999993</v>
      </c>
    </row>
    <row r="18" spans="2:7">
      <c r="B18" s="1" t="s">
        <v>17</v>
      </c>
      <c r="C18" s="2">
        <f>C17-C16</f>
        <v>43.472499999999997</v>
      </c>
      <c r="G18">
        <f>C17+G16</f>
        <v>112.91374999999999</v>
      </c>
    </row>
    <row r="19" spans="2:7">
      <c r="B19" s="1" t="s">
        <v>18</v>
      </c>
      <c r="C19" s="3">
        <f>C6/C3</f>
        <v>1.50602612523614</v>
      </c>
      <c r="D19" t="s">
        <v>20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2616-40E7-C341-8A27-01BB44801A5A}">
  <dimension ref="A1:I24"/>
  <sheetViews>
    <sheetView workbookViewId="0">
      <selection activeCell="N32" sqref="N32"/>
    </sheetView>
  </sheetViews>
  <sheetFormatPr baseColWidth="10" defaultColWidth="11" defaultRowHeight="16"/>
  <cols>
    <col min="1" max="1" width="8.83203125"/>
    <col min="7" max="7" width="12.83203125" bestFit="1" customWidth="1"/>
    <col min="9" max="9" width="12.33203125" bestFit="1" customWidth="1"/>
  </cols>
  <sheetData>
    <row r="1" spans="1:9">
      <c r="A1" t="s">
        <v>141</v>
      </c>
      <c r="C1" s="5" t="s">
        <v>32</v>
      </c>
      <c r="D1" s="5" t="s">
        <v>10</v>
      </c>
      <c r="E1" s="5" t="s">
        <v>11</v>
      </c>
      <c r="F1" s="5" t="s">
        <v>31</v>
      </c>
      <c r="G1" s="5" t="s">
        <v>30</v>
      </c>
      <c r="H1" s="5" t="s">
        <v>29</v>
      </c>
      <c r="I1" s="5" t="s">
        <v>28</v>
      </c>
    </row>
    <row r="2" spans="1:9">
      <c r="A2">
        <v>4.07</v>
      </c>
      <c r="C2" s="7">
        <v>10</v>
      </c>
      <c r="D2" s="5">
        <f>MIN(A:A)</f>
        <v>-11.37</v>
      </c>
      <c r="E2" s="5">
        <f>MAX(A:A)</f>
        <v>31.77</v>
      </c>
      <c r="F2" s="7">
        <v>10</v>
      </c>
      <c r="G2" s="5">
        <f>(E2-D2)/F2</f>
        <v>4.3140000000000001</v>
      </c>
      <c r="H2" s="5">
        <f>COUNT(A:A)</f>
        <v>10</v>
      </c>
      <c r="I2">
        <f t="array" aca="1" ref="I2" ca="1">MAX(LEN(OFFSET(A:A,1,0,ROWS(A:A)-1))-LEN(INT(OFFSET(A:A,1,0,ROWS(A:A)-1))))-1</f>
        <v>2</v>
      </c>
    </row>
    <row r="3" spans="1:9">
      <c r="A3">
        <v>6.52</v>
      </c>
      <c r="C3" s="5"/>
      <c r="D3" s="5"/>
      <c r="E3" s="5"/>
      <c r="F3" s="5"/>
      <c r="G3" s="5"/>
      <c r="H3" s="5"/>
    </row>
    <row r="4" spans="1:9">
      <c r="A4">
        <v>9.3800000000000008</v>
      </c>
      <c r="C4" s="5" t="s">
        <v>27</v>
      </c>
      <c r="D4" s="5" t="s">
        <v>26</v>
      </c>
      <c r="E4" s="5" t="s">
        <v>25</v>
      </c>
      <c r="F4" s="5" t="s">
        <v>24</v>
      </c>
      <c r="G4" s="5" t="s">
        <v>23</v>
      </c>
      <c r="H4" s="5" t="s">
        <v>22</v>
      </c>
    </row>
    <row r="5" spans="1:9">
      <c r="A5">
        <v>18.62</v>
      </c>
      <c r="C5" s="7">
        <v>-15</v>
      </c>
      <c r="D5" s="5">
        <f ca="1">IF(I2&lt;=0,C6-0.1,C6-10^-(I2+1))</f>
        <v>-5.0010000000000003</v>
      </c>
      <c r="E5" s="5">
        <f t="array" aca="1" ref="E5:E24" ca="1">FREQUENCY(A:A,D5:D24)</f>
        <v>1</v>
      </c>
      <c r="F5" s="6">
        <f t="shared" ref="F5:F24" ca="1" si="0">E5/$H$2</f>
        <v>0.1</v>
      </c>
      <c r="G5" s="5">
        <f ca="1">E5</f>
        <v>1</v>
      </c>
      <c r="H5" s="4">
        <f ca="1">F5</f>
        <v>0.1</v>
      </c>
    </row>
    <row r="6" spans="1:9">
      <c r="A6">
        <v>9.44</v>
      </c>
      <c r="C6" s="5">
        <f t="shared" ref="C6:C24" si="1">C5+$C$2</f>
        <v>-5</v>
      </c>
      <c r="D6" s="5">
        <f t="shared" ref="D6:D24" ca="1" si="2">$C$2+D5</f>
        <v>4.9989999999999997</v>
      </c>
      <c r="E6" s="5">
        <f ca="1"/>
        <v>2</v>
      </c>
      <c r="F6" s="6">
        <f t="shared" ca="1" si="0"/>
        <v>0.2</v>
      </c>
      <c r="G6" s="5">
        <f t="shared" ref="G6:G24" ca="1" si="3">G5+E6</f>
        <v>3</v>
      </c>
      <c r="H6" s="4">
        <f t="shared" ref="H6:H24" ca="1" si="4">H5+F6</f>
        <v>0.30000000000000004</v>
      </c>
    </row>
    <row r="7" spans="1:9">
      <c r="A7">
        <v>3.12</v>
      </c>
      <c r="C7" s="5">
        <f t="shared" si="1"/>
        <v>5</v>
      </c>
      <c r="D7" s="5">
        <f t="shared" ca="1" si="2"/>
        <v>14.998999999999999</v>
      </c>
      <c r="E7" s="5">
        <f ca="1"/>
        <v>5</v>
      </c>
      <c r="F7" s="6">
        <f t="shared" ca="1" si="0"/>
        <v>0.5</v>
      </c>
      <c r="G7" s="5">
        <f t="shared" ca="1" si="3"/>
        <v>8</v>
      </c>
      <c r="H7" s="4">
        <f t="shared" ca="1" si="4"/>
        <v>0.8</v>
      </c>
    </row>
    <row r="8" spans="1:9">
      <c r="A8">
        <v>8.15</v>
      </c>
      <c r="C8" s="5">
        <f t="shared" si="1"/>
        <v>15</v>
      </c>
      <c r="D8" s="5">
        <f t="shared" ca="1" si="2"/>
        <v>24.998999999999999</v>
      </c>
      <c r="E8" s="5">
        <f ca="1"/>
        <v>1</v>
      </c>
      <c r="F8" s="6">
        <f t="shared" ca="1" si="0"/>
        <v>0.1</v>
      </c>
      <c r="G8" s="5">
        <f t="shared" ca="1" si="3"/>
        <v>9</v>
      </c>
      <c r="H8" s="4">
        <f t="shared" ca="1" si="4"/>
        <v>0.9</v>
      </c>
    </row>
    <row r="9" spans="1:9">
      <c r="A9">
        <v>5.44</v>
      </c>
      <c r="C9" s="5">
        <f t="shared" si="1"/>
        <v>25</v>
      </c>
      <c r="D9" s="5">
        <f t="shared" ca="1" si="2"/>
        <v>34.998999999999995</v>
      </c>
      <c r="E9" s="5">
        <f ca="1"/>
        <v>1</v>
      </c>
      <c r="F9" s="6">
        <f t="shared" ca="1" si="0"/>
        <v>0.1</v>
      </c>
      <c r="G9" s="5">
        <f t="shared" ca="1" si="3"/>
        <v>10</v>
      </c>
      <c r="H9" s="4">
        <f t="shared" ca="1" si="4"/>
        <v>1</v>
      </c>
    </row>
    <row r="10" spans="1:9">
      <c r="A10">
        <v>-11.37</v>
      </c>
      <c r="C10" s="5">
        <f t="shared" si="1"/>
        <v>35</v>
      </c>
      <c r="D10" s="5">
        <f t="shared" ca="1" si="2"/>
        <v>44.998999999999995</v>
      </c>
      <c r="E10" s="5">
        <f ca="1"/>
        <v>0</v>
      </c>
      <c r="F10" s="6">
        <f t="shared" ca="1" si="0"/>
        <v>0</v>
      </c>
      <c r="G10" s="5">
        <f t="shared" ca="1" si="3"/>
        <v>10</v>
      </c>
      <c r="H10" s="4">
        <f t="shared" ca="1" si="4"/>
        <v>1</v>
      </c>
    </row>
    <row r="11" spans="1:9">
      <c r="A11">
        <v>31.77</v>
      </c>
      <c r="C11" s="5">
        <f t="shared" si="1"/>
        <v>45</v>
      </c>
      <c r="D11" s="5">
        <f t="shared" ca="1" si="2"/>
        <v>54.998999999999995</v>
      </c>
      <c r="E11" s="5">
        <f ca="1"/>
        <v>0</v>
      </c>
      <c r="F11" s="6">
        <f t="shared" ca="1" si="0"/>
        <v>0</v>
      </c>
      <c r="G11" s="5">
        <f t="shared" ca="1" si="3"/>
        <v>10</v>
      </c>
      <c r="H11" s="4">
        <f t="shared" ca="1" si="4"/>
        <v>1</v>
      </c>
    </row>
    <row r="12" spans="1:9">
      <c r="C12" s="5">
        <f t="shared" si="1"/>
        <v>55</v>
      </c>
      <c r="D12" s="5">
        <f t="shared" ca="1" si="2"/>
        <v>64.998999999999995</v>
      </c>
      <c r="E12" s="5">
        <f ca="1"/>
        <v>0</v>
      </c>
      <c r="F12" s="6">
        <f t="shared" ca="1" si="0"/>
        <v>0</v>
      </c>
      <c r="G12" s="5">
        <f t="shared" ca="1" si="3"/>
        <v>10</v>
      </c>
      <c r="H12" s="4">
        <f t="shared" ca="1" si="4"/>
        <v>1</v>
      </c>
    </row>
    <row r="13" spans="1:9">
      <c r="C13" s="5">
        <f t="shared" si="1"/>
        <v>65</v>
      </c>
      <c r="D13" s="5">
        <f t="shared" ca="1" si="2"/>
        <v>74.998999999999995</v>
      </c>
      <c r="E13" s="5">
        <f ca="1"/>
        <v>0</v>
      </c>
      <c r="F13" s="6">
        <f t="shared" ca="1" si="0"/>
        <v>0</v>
      </c>
      <c r="G13" s="5">
        <f t="shared" ca="1" si="3"/>
        <v>10</v>
      </c>
      <c r="H13" s="4">
        <f t="shared" ca="1" si="4"/>
        <v>1</v>
      </c>
    </row>
    <row r="14" spans="1:9">
      <c r="C14" s="5">
        <f t="shared" si="1"/>
        <v>75</v>
      </c>
      <c r="D14" s="5">
        <f t="shared" ca="1" si="2"/>
        <v>84.998999999999995</v>
      </c>
      <c r="E14" s="5">
        <f ca="1"/>
        <v>0</v>
      </c>
      <c r="F14" s="6">
        <f t="shared" ca="1" si="0"/>
        <v>0</v>
      </c>
      <c r="G14" s="5">
        <f t="shared" ca="1" si="3"/>
        <v>10</v>
      </c>
      <c r="H14" s="4">
        <f t="shared" ca="1" si="4"/>
        <v>1</v>
      </c>
    </row>
    <row r="15" spans="1:9">
      <c r="C15" s="5">
        <f t="shared" si="1"/>
        <v>85</v>
      </c>
      <c r="D15" s="5">
        <f t="shared" ca="1" si="2"/>
        <v>94.998999999999995</v>
      </c>
      <c r="E15" s="5">
        <f ca="1"/>
        <v>0</v>
      </c>
      <c r="F15" s="6">
        <f t="shared" ca="1" si="0"/>
        <v>0</v>
      </c>
      <c r="G15" s="5">
        <f t="shared" ca="1" si="3"/>
        <v>10</v>
      </c>
      <c r="H15" s="4">
        <f t="shared" ca="1" si="4"/>
        <v>1</v>
      </c>
    </row>
    <row r="16" spans="1:9">
      <c r="C16" s="5">
        <f t="shared" si="1"/>
        <v>95</v>
      </c>
      <c r="D16" s="5">
        <f t="shared" ca="1" si="2"/>
        <v>104.999</v>
      </c>
      <c r="E16" s="5">
        <f ca="1"/>
        <v>0</v>
      </c>
      <c r="F16" s="6">
        <f t="shared" ca="1" si="0"/>
        <v>0</v>
      </c>
      <c r="G16" s="5">
        <f t="shared" ca="1" si="3"/>
        <v>10</v>
      </c>
      <c r="H16" s="4">
        <f t="shared" ca="1" si="4"/>
        <v>1</v>
      </c>
    </row>
    <row r="17" spans="3:8">
      <c r="C17" s="5">
        <f t="shared" si="1"/>
        <v>105</v>
      </c>
      <c r="D17" s="5">
        <f t="shared" ca="1" si="2"/>
        <v>114.999</v>
      </c>
      <c r="E17" s="5">
        <f ca="1"/>
        <v>0</v>
      </c>
      <c r="F17" s="6">
        <f t="shared" ca="1" si="0"/>
        <v>0</v>
      </c>
      <c r="G17" s="5">
        <f t="shared" ca="1" si="3"/>
        <v>10</v>
      </c>
      <c r="H17" s="4">
        <f t="shared" ca="1" si="4"/>
        <v>1</v>
      </c>
    </row>
    <row r="18" spans="3:8">
      <c r="C18" s="5">
        <f t="shared" si="1"/>
        <v>115</v>
      </c>
      <c r="D18" s="5">
        <f t="shared" ca="1" si="2"/>
        <v>124.999</v>
      </c>
      <c r="E18" s="5">
        <f ca="1"/>
        <v>0</v>
      </c>
      <c r="F18" s="6">
        <f t="shared" ca="1" si="0"/>
        <v>0</v>
      </c>
      <c r="G18" s="5">
        <f t="shared" ca="1" si="3"/>
        <v>10</v>
      </c>
      <c r="H18" s="4">
        <f t="shared" ca="1" si="4"/>
        <v>1</v>
      </c>
    </row>
    <row r="19" spans="3:8">
      <c r="C19" s="5">
        <f t="shared" si="1"/>
        <v>125</v>
      </c>
      <c r="D19" s="5">
        <f t="shared" ca="1" si="2"/>
        <v>134.999</v>
      </c>
      <c r="E19" s="5">
        <f ca="1"/>
        <v>0</v>
      </c>
      <c r="F19" s="6">
        <f t="shared" ca="1" si="0"/>
        <v>0</v>
      </c>
      <c r="G19" s="5">
        <f t="shared" ca="1" si="3"/>
        <v>10</v>
      </c>
      <c r="H19" s="4">
        <f t="shared" ca="1" si="4"/>
        <v>1</v>
      </c>
    </row>
    <row r="20" spans="3:8">
      <c r="C20" s="5">
        <f t="shared" si="1"/>
        <v>135</v>
      </c>
      <c r="D20" s="5">
        <f t="shared" ca="1" si="2"/>
        <v>144.999</v>
      </c>
      <c r="E20" s="5">
        <f ca="1"/>
        <v>0</v>
      </c>
      <c r="F20" s="6">
        <f t="shared" ca="1" si="0"/>
        <v>0</v>
      </c>
      <c r="G20" s="5">
        <f t="shared" ca="1" si="3"/>
        <v>10</v>
      </c>
      <c r="H20" s="4">
        <f t="shared" ca="1" si="4"/>
        <v>1</v>
      </c>
    </row>
    <row r="21" spans="3:8">
      <c r="C21" s="5">
        <f t="shared" si="1"/>
        <v>145</v>
      </c>
      <c r="D21" s="5">
        <f t="shared" ca="1" si="2"/>
        <v>154.999</v>
      </c>
      <c r="E21" s="5">
        <f ca="1"/>
        <v>0</v>
      </c>
      <c r="F21" s="6">
        <f t="shared" ca="1" si="0"/>
        <v>0</v>
      </c>
      <c r="G21" s="5">
        <f t="shared" ca="1" si="3"/>
        <v>10</v>
      </c>
      <c r="H21" s="4">
        <f t="shared" ca="1" si="4"/>
        <v>1</v>
      </c>
    </row>
    <row r="22" spans="3:8">
      <c r="C22" s="5">
        <f t="shared" si="1"/>
        <v>155</v>
      </c>
      <c r="D22" s="5">
        <f t="shared" ca="1" si="2"/>
        <v>164.999</v>
      </c>
      <c r="E22" s="5">
        <f ca="1"/>
        <v>0</v>
      </c>
      <c r="F22" s="6">
        <f t="shared" ca="1" si="0"/>
        <v>0</v>
      </c>
      <c r="G22" s="5">
        <f t="shared" ca="1" si="3"/>
        <v>10</v>
      </c>
      <c r="H22" s="4">
        <f t="shared" ca="1" si="4"/>
        <v>1</v>
      </c>
    </row>
    <row r="23" spans="3:8">
      <c r="C23" s="5">
        <f t="shared" si="1"/>
        <v>165</v>
      </c>
      <c r="D23" s="5">
        <f t="shared" ca="1" si="2"/>
        <v>174.999</v>
      </c>
      <c r="E23" s="5">
        <f ca="1"/>
        <v>0</v>
      </c>
      <c r="F23" s="6">
        <f t="shared" ca="1" si="0"/>
        <v>0</v>
      </c>
      <c r="G23" s="5">
        <f t="shared" ca="1" si="3"/>
        <v>10</v>
      </c>
      <c r="H23" s="4">
        <f t="shared" ca="1" si="4"/>
        <v>1</v>
      </c>
    </row>
    <row r="24" spans="3:8">
      <c r="C24" s="5">
        <f t="shared" si="1"/>
        <v>175</v>
      </c>
      <c r="D24" s="5">
        <f t="shared" ca="1" si="2"/>
        <v>184.999</v>
      </c>
      <c r="E24" s="5">
        <f ca="1"/>
        <v>0</v>
      </c>
      <c r="F24" s="6">
        <f t="shared" ca="1" si="0"/>
        <v>0</v>
      </c>
      <c r="G24" s="5">
        <f t="shared" ca="1" si="3"/>
        <v>10</v>
      </c>
      <c r="H24" s="4">
        <f t="shared" ca="1" si="4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0D2F-AE5A-324D-BF74-CB70C631F3FC}">
  <dimension ref="B1:K25"/>
  <sheetViews>
    <sheetView zoomScale="132" workbookViewId="0">
      <selection activeCell="H11" sqref="H11"/>
    </sheetView>
  </sheetViews>
  <sheetFormatPr baseColWidth="10" defaultColWidth="11" defaultRowHeight="16"/>
  <cols>
    <col min="2" max="11" width="11" style="5"/>
  </cols>
  <sheetData>
    <row r="1" spans="2:11">
      <c r="B1" s="19" t="s">
        <v>41</v>
      </c>
      <c r="C1" s="18" t="s">
        <v>40</v>
      </c>
      <c r="D1" s="18" t="s">
        <v>39</v>
      </c>
      <c r="E1" s="17" t="s">
        <v>38</v>
      </c>
      <c r="F1" s="17" t="s">
        <v>37</v>
      </c>
      <c r="G1"/>
      <c r="H1" s="16" t="s">
        <v>36</v>
      </c>
      <c r="I1" s="16" t="s">
        <v>35</v>
      </c>
      <c r="J1" s="15" t="s">
        <v>5</v>
      </c>
      <c r="K1" s="14" t="s">
        <v>34</v>
      </c>
    </row>
    <row r="2" spans="2:11">
      <c r="B2" s="10">
        <v>0</v>
      </c>
      <c r="C2" s="9">
        <f>20/50</f>
        <v>0.4</v>
      </c>
      <c r="D2" s="5">
        <f t="shared" ref="D2:D8" si="0">C2/$H$2</f>
        <v>0.40000000000000008</v>
      </c>
      <c r="E2" s="5">
        <f>D2</f>
        <v>0.40000000000000008</v>
      </c>
      <c r="F2" s="5">
        <f t="shared" ref="F2:F7" si="1">F3+D2</f>
        <v>1.0000000000000002</v>
      </c>
      <c r="H2" s="13">
        <f>SUM(C:C)</f>
        <v>0.99999999999999989</v>
      </c>
      <c r="I2" s="12">
        <f>SUMPRODUCT(B:B,D:D)</f>
        <v>1.0200000000000002</v>
      </c>
      <c r="J2" s="12"/>
      <c r="K2" s="11"/>
    </row>
    <row r="3" spans="2:11">
      <c r="B3" s="10">
        <v>1</v>
      </c>
      <c r="C3" s="9">
        <f>15/50</f>
        <v>0.3</v>
      </c>
      <c r="D3" s="5">
        <f t="shared" si="0"/>
        <v>0.30000000000000004</v>
      </c>
      <c r="E3" s="5">
        <f t="shared" ref="E3:E8" si="2">D3+E2</f>
        <v>0.70000000000000018</v>
      </c>
      <c r="F3" s="5">
        <f t="shared" si="1"/>
        <v>0.60000000000000009</v>
      </c>
    </row>
    <row r="4" spans="2:11">
      <c r="B4" s="10">
        <v>2</v>
      </c>
      <c r="C4" s="9">
        <f>10/50</f>
        <v>0.2</v>
      </c>
      <c r="D4" s="5">
        <f t="shared" si="0"/>
        <v>0.20000000000000004</v>
      </c>
      <c r="E4" s="5">
        <f t="shared" si="2"/>
        <v>0.90000000000000024</v>
      </c>
      <c r="F4" s="5">
        <f t="shared" si="1"/>
        <v>0.30000000000000004</v>
      </c>
    </row>
    <row r="5" spans="2:11">
      <c r="B5" s="10">
        <v>3</v>
      </c>
      <c r="C5" s="9">
        <f>4/50</f>
        <v>0.08</v>
      </c>
      <c r="D5" s="5">
        <f t="shared" si="0"/>
        <v>8.0000000000000016E-2</v>
      </c>
      <c r="E5" s="5">
        <f t="shared" si="2"/>
        <v>0.9800000000000002</v>
      </c>
      <c r="F5" s="5">
        <f t="shared" si="1"/>
        <v>0.10000000000000002</v>
      </c>
    </row>
    <row r="6" spans="2:11">
      <c r="B6" s="7">
        <v>4</v>
      </c>
      <c r="C6" s="7">
        <f>1/50</f>
        <v>0.02</v>
      </c>
      <c r="D6" s="5">
        <f t="shared" si="0"/>
        <v>2.0000000000000004E-2</v>
      </c>
      <c r="E6" s="5">
        <f t="shared" si="2"/>
        <v>1.0000000000000002</v>
      </c>
      <c r="F6" s="5">
        <f t="shared" si="1"/>
        <v>2.0000000000000004E-2</v>
      </c>
    </row>
    <row r="7" spans="2:11">
      <c r="B7" s="7"/>
      <c r="C7" s="7"/>
      <c r="D7" s="5">
        <f t="shared" si="0"/>
        <v>0</v>
      </c>
      <c r="E7" s="5">
        <f t="shared" si="2"/>
        <v>1.0000000000000002</v>
      </c>
      <c r="F7" s="5">
        <f t="shared" si="1"/>
        <v>0</v>
      </c>
    </row>
    <row r="8" spans="2:11">
      <c r="B8" s="7"/>
      <c r="C8" s="7"/>
      <c r="D8" s="5">
        <f t="shared" si="0"/>
        <v>0</v>
      </c>
      <c r="E8" s="5">
        <f t="shared" si="2"/>
        <v>1.0000000000000002</v>
      </c>
      <c r="F8" s="5">
        <f>D8</f>
        <v>0</v>
      </c>
    </row>
    <row r="13" spans="2:11">
      <c r="G13" s="5" t="s">
        <v>33</v>
      </c>
    </row>
    <row r="21" spans="6:7">
      <c r="F21" s="10"/>
      <c r="G21" s="9"/>
    </row>
    <row r="22" spans="6:7">
      <c r="F22" s="10"/>
      <c r="G22" s="9"/>
    </row>
    <row r="23" spans="6:7">
      <c r="F23" s="10"/>
      <c r="G23" s="9"/>
    </row>
    <row r="24" spans="6:7">
      <c r="F24" s="10"/>
      <c r="G24" s="9"/>
    </row>
    <row r="25" spans="6:7">
      <c r="F25" s="8"/>
      <c r="G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2FFF-EE1B-1949-84EE-A859C94E52DF}">
  <dimension ref="A1:L27"/>
  <sheetViews>
    <sheetView topLeftCell="H1" zoomScale="180" workbookViewId="0">
      <selection activeCell="K3" sqref="K3"/>
    </sheetView>
  </sheetViews>
  <sheetFormatPr baseColWidth="10" defaultColWidth="11" defaultRowHeight="16"/>
  <cols>
    <col min="3" max="3" width="11" customWidth="1"/>
    <col min="4" max="4" width="33.33203125" bestFit="1" customWidth="1"/>
    <col min="6" max="6" width="11" customWidth="1"/>
    <col min="9" max="9" width="11" customWidth="1"/>
    <col min="12" max="12" width="11" customWidth="1"/>
  </cols>
  <sheetData>
    <row r="1" spans="1:12">
      <c r="A1" s="27" t="s">
        <v>71</v>
      </c>
      <c r="B1" s="5"/>
      <c r="D1" s="27" t="s">
        <v>70</v>
      </c>
      <c r="E1" s="5"/>
      <c r="G1" s="27" t="s">
        <v>69</v>
      </c>
      <c r="H1" s="5"/>
      <c r="J1" s="27" t="s">
        <v>68</v>
      </c>
      <c r="K1" s="5"/>
    </row>
    <row r="2" spans="1:12">
      <c r="A2" s="1" t="s">
        <v>29</v>
      </c>
      <c r="B2" s="7">
        <v>19</v>
      </c>
      <c r="D2" s="1" t="s">
        <v>67</v>
      </c>
      <c r="E2" s="7">
        <v>1.34</v>
      </c>
      <c r="G2" s="1" t="s">
        <v>1</v>
      </c>
      <c r="H2" s="7">
        <v>3750</v>
      </c>
      <c r="J2" s="1" t="s">
        <v>66</v>
      </c>
      <c r="K2" s="26">
        <v>0.2</v>
      </c>
      <c r="L2" t="s">
        <v>65</v>
      </c>
    </row>
    <row r="3" spans="1:12">
      <c r="A3" s="1" t="s">
        <v>64</v>
      </c>
      <c r="B3" s="7">
        <v>0.78</v>
      </c>
      <c r="D3" s="1" t="s">
        <v>41</v>
      </c>
      <c r="E3" s="7">
        <v>1</v>
      </c>
      <c r="G3" s="1" t="s">
        <v>45</v>
      </c>
      <c r="H3" s="7">
        <v>400</v>
      </c>
      <c r="J3" s="1" t="s">
        <v>63</v>
      </c>
      <c r="K3" s="5">
        <f>1/K2</f>
        <v>5</v>
      </c>
    </row>
    <row r="4" spans="1:12">
      <c r="A4" s="1" t="s">
        <v>41</v>
      </c>
      <c r="B4" s="7">
        <v>11</v>
      </c>
      <c r="D4" s="1" t="s">
        <v>60</v>
      </c>
      <c r="E4" s="23">
        <f>_xlfn.POISSON.DIST(E3,E2,0)</f>
        <v>0.35087319589763682</v>
      </c>
      <c r="F4" s="20"/>
      <c r="K4" s="21"/>
    </row>
    <row r="5" spans="1:12">
      <c r="A5" s="1" t="s">
        <v>62</v>
      </c>
      <c r="B5" s="21">
        <f>B2*B3</f>
        <v>14.82</v>
      </c>
      <c r="C5" s="20"/>
      <c r="D5" s="1" t="s">
        <v>59</v>
      </c>
      <c r="E5" s="23">
        <f>_xlfn.POISSON.DIST(E3,E2,1)</f>
        <v>0.61271886447796275</v>
      </c>
      <c r="F5" s="20"/>
      <c r="G5" s="104" t="s">
        <v>61</v>
      </c>
      <c r="H5" s="104"/>
      <c r="J5" s="104" t="s">
        <v>61</v>
      </c>
      <c r="K5" s="104"/>
    </row>
    <row r="6" spans="1:12">
      <c r="A6" s="1" t="s">
        <v>60</v>
      </c>
      <c r="B6" s="23">
        <f>_xlfn.BINOM.DIST(B4, B2, B3, 0)</f>
        <v>2.6967485625607551E-2</v>
      </c>
      <c r="C6" s="20"/>
      <c r="D6" s="1" t="s">
        <v>57</v>
      </c>
      <c r="E6" s="23">
        <f>IF(E3=0,0,_xlfn.POISSON.DIST(E3-1,E2,1))</f>
        <v>0.26184566858032599</v>
      </c>
      <c r="F6" s="20"/>
      <c r="G6" s="1" t="s">
        <v>41</v>
      </c>
      <c r="H6" s="7">
        <v>3800</v>
      </c>
      <c r="J6" s="1" t="s">
        <v>41</v>
      </c>
      <c r="K6" s="7">
        <v>10</v>
      </c>
    </row>
    <row r="7" spans="1:12">
      <c r="A7" s="1" t="s">
        <v>59</v>
      </c>
      <c r="B7" s="23">
        <f>_xlfn.BINOM.DIST(B4, B2, B3, 1)</f>
        <v>3.9624509572984079E-2</v>
      </c>
      <c r="C7" s="20"/>
      <c r="D7" s="1" t="s">
        <v>37</v>
      </c>
      <c r="E7" s="23">
        <f>IF(E3=0,1,1-_xlfn.POISSON.DIST(E3-1,E2,1))</f>
        <v>0.73815433141967401</v>
      </c>
      <c r="F7" s="20"/>
      <c r="G7" s="1" t="s">
        <v>49</v>
      </c>
      <c r="H7" s="23">
        <f>_xlfn.NORM.DIST(H6,H2,H3,1)</f>
        <v>0.54973822483011292</v>
      </c>
      <c r="I7" s="20" t="s">
        <v>58</v>
      </c>
      <c r="J7" s="1" t="s">
        <v>49</v>
      </c>
      <c r="K7" s="23">
        <f>_xlfn.EXPON.DIST(K6,K2,1)</f>
        <v>0.8646647167633873</v>
      </c>
      <c r="L7" s="20"/>
    </row>
    <row r="8" spans="1:12">
      <c r="A8" s="1" t="s">
        <v>57</v>
      </c>
      <c r="B8" s="23">
        <f>IF(B4=0, 0, _xlfn.BINOM.DIST(B4-1,B2,B3,1))</f>
        <v>1.2657023947376531E-2</v>
      </c>
      <c r="C8" s="20"/>
      <c r="D8" s="1" t="s">
        <v>48</v>
      </c>
      <c r="E8" s="23">
        <f>1-_xlfn.POISSON.DIST(E3,E2,1)</f>
        <v>0.38728113552203725</v>
      </c>
      <c r="F8" s="20"/>
      <c r="G8" s="1" t="s">
        <v>48</v>
      </c>
      <c r="H8" s="23">
        <f>1-H7</f>
        <v>0.45026177516988708</v>
      </c>
      <c r="I8" s="25" t="s">
        <v>56</v>
      </c>
      <c r="J8" s="1" t="s">
        <v>48</v>
      </c>
      <c r="K8" s="23">
        <f>1-K7</f>
        <v>0.1353352832366127</v>
      </c>
      <c r="L8" s="20"/>
    </row>
    <row r="9" spans="1:12">
      <c r="A9" s="1" t="s">
        <v>37</v>
      </c>
      <c r="B9" s="23">
        <f>IF(B4=0, 1, 1- _xlfn.BINOM.DIST(B4-1,B2,B3,1))</f>
        <v>0.98734297605262344</v>
      </c>
      <c r="C9" s="20"/>
      <c r="G9" s="1" t="s">
        <v>50</v>
      </c>
      <c r="H9" s="21">
        <f>STANDARDIZE(H6,H2,H3)</f>
        <v>0.125</v>
      </c>
      <c r="I9" s="20"/>
      <c r="L9" s="22"/>
    </row>
    <row r="10" spans="1:12">
      <c r="A10" s="1" t="s">
        <v>48</v>
      </c>
      <c r="B10" s="23">
        <f>1-_xlfn.BINOM.DIST(B4,B2, B3, 1)</f>
        <v>0.96037549042701587</v>
      </c>
      <c r="C10" s="20"/>
      <c r="I10" s="100"/>
      <c r="J10" s="104" t="s">
        <v>55</v>
      </c>
      <c r="K10" s="104"/>
      <c r="L10" s="22"/>
    </row>
    <row r="11" spans="1:12">
      <c r="G11" s="104" t="s">
        <v>55</v>
      </c>
      <c r="H11" s="104"/>
      <c r="I11" s="22"/>
      <c r="J11" s="1" t="s">
        <v>44</v>
      </c>
      <c r="K11" s="7">
        <v>0.3</v>
      </c>
      <c r="L11" s="22"/>
    </row>
    <row r="12" spans="1:12">
      <c r="G12" s="1" t="s">
        <v>44</v>
      </c>
      <c r="H12" s="7">
        <v>0.05</v>
      </c>
      <c r="I12" s="22"/>
      <c r="J12" s="1" t="s">
        <v>54</v>
      </c>
      <c r="K12" s="21">
        <f>-LN(1-K11)*(1/K2)</f>
        <v>1.7833747196936622</v>
      </c>
      <c r="L12" s="20"/>
    </row>
    <row r="13" spans="1:12">
      <c r="G13" s="1" t="s">
        <v>54</v>
      </c>
      <c r="H13" s="21">
        <f>_xlfn.NORM.INV(H12,H2,H3)</f>
        <v>3092.0585492194109</v>
      </c>
      <c r="I13" s="20"/>
      <c r="J13" s="1" t="s">
        <v>53</v>
      </c>
      <c r="K13" s="21">
        <f>-LN(K11)*(1/K2)</f>
        <v>6.0198640216296804</v>
      </c>
      <c r="L13" s="20"/>
    </row>
    <row r="14" spans="1:12">
      <c r="B14" s="99"/>
      <c r="G14" s="1" t="s">
        <v>53</v>
      </c>
      <c r="H14" s="21">
        <f>_xlfn.NORM.INV(1-H12,H2,H3)</f>
        <v>4407.9414507805886</v>
      </c>
      <c r="I14" s="20"/>
    </row>
    <row r="15" spans="1:12">
      <c r="G15" s="1" t="s">
        <v>52</v>
      </c>
      <c r="H15" s="21">
        <f>_xlfn.NORM.S.INV(H12)</f>
        <v>-1.6448536269514726</v>
      </c>
      <c r="I15" s="25"/>
    </row>
    <row r="16" spans="1:12">
      <c r="I16" s="22"/>
      <c r="K16" s="2"/>
    </row>
    <row r="17" spans="4:9">
      <c r="G17" s="104" t="s">
        <v>51</v>
      </c>
      <c r="H17" s="104"/>
      <c r="I17" s="22"/>
    </row>
    <row r="18" spans="4:9">
      <c r="G18" s="1" t="s">
        <v>50</v>
      </c>
      <c r="H18" s="7">
        <v>-1.37</v>
      </c>
      <c r="I18" s="22"/>
    </row>
    <row r="19" spans="4:9">
      <c r="G19" s="1" t="s">
        <v>49</v>
      </c>
      <c r="H19" s="23">
        <f>_xlfn.NORM.S.DIST(H18,1)</f>
        <v>8.534345082196694E-2</v>
      </c>
      <c r="I19" s="24"/>
    </row>
    <row r="20" spans="4:9">
      <c r="G20" s="1" t="s">
        <v>48</v>
      </c>
      <c r="H20" s="23">
        <f>1-H19</f>
        <v>0.91465654917803307</v>
      </c>
      <c r="I20" s="20"/>
    </row>
    <row r="21" spans="4:9">
      <c r="D21" s="101">
        <f>(0.6*0.8)/0.8</f>
        <v>0.6</v>
      </c>
      <c r="I21" s="22"/>
    </row>
    <row r="22" spans="4:9">
      <c r="G22" s="104" t="s">
        <v>47</v>
      </c>
      <c r="H22" s="104"/>
      <c r="I22" s="22"/>
    </row>
    <row r="23" spans="4:9">
      <c r="G23" s="1" t="s">
        <v>46</v>
      </c>
      <c r="H23" s="7">
        <v>2</v>
      </c>
      <c r="I23" s="22"/>
    </row>
    <row r="24" spans="4:9">
      <c r="G24" s="1" t="s">
        <v>45</v>
      </c>
      <c r="H24" s="7">
        <v>1</v>
      </c>
      <c r="I24" s="22"/>
    </row>
    <row r="25" spans="4:9">
      <c r="G25" s="1" t="s">
        <v>44</v>
      </c>
      <c r="H25" s="7">
        <v>2.5000000000000001E-2</v>
      </c>
      <c r="I25" s="22"/>
    </row>
    <row r="26" spans="4:9">
      <c r="G26" s="1" t="s">
        <v>43</v>
      </c>
      <c r="H26" s="21">
        <f>_xlfn.NORM.INV(H25,H23,H24)</f>
        <v>4.0036015459946173E-2</v>
      </c>
      <c r="I26" s="20"/>
    </row>
    <row r="27" spans="4:9">
      <c r="G27" s="1" t="s">
        <v>42</v>
      </c>
      <c r="H27" s="21">
        <f>_xlfn.NORM.INV(1-H25,H23,H24)</f>
        <v>3.9599639845400536</v>
      </c>
      <c r="I27" s="20"/>
    </row>
  </sheetData>
  <mergeCells count="6">
    <mergeCell ref="G22:H22"/>
    <mergeCell ref="G5:H5"/>
    <mergeCell ref="J5:K5"/>
    <mergeCell ref="J10:K10"/>
    <mergeCell ref="G11:H11"/>
    <mergeCell ref="G17:H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7B6E-14B8-B240-BC86-00A63D952707}">
  <dimension ref="A1:E10"/>
  <sheetViews>
    <sheetView workbookViewId="0">
      <selection activeCell="L11" sqref="L11"/>
    </sheetView>
  </sheetViews>
  <sheetFormatPr baseColWidth="10" defaultColWidth="8.83203125" defaultRowHeight="16"/>
  <cols>
    <col min="1" max="1" width="15" customWidth="1"/>
    <col min="4" max="4" width="15.6640625" customWidth="1"/>
    <col min="5" max="5" width="19.1640625" customWidth="1"/>
  </cols>
  <sheetData>
    <row r="1" spans="1:5" ht="17" thickBot="1">
      <c r="A1" s="103" t="s">
        <v>82</v>
      </c>
      <c r="B1" s="103"/>
      <c r="D1" s="103" t="s">
        <v>81</v>
      </c>
      <c r="E1" s="103"/>
    </row>
    <row r="2" spans="1:5">
      <c r="A2" t="s">
        <v>80</v>
      </c>
      <c r="B2" s="34">
        <v>0.95</v>
      </c>
      <c r="D2" t="s">
        <v>80</v>
      </c>
      <c r="E2" s="34">
        <v>0.95</v>
      </c>
    </row>
    <row r="3" spans="1:5">
      <c r="A3" t="s">
        <v>79</v>
      </c>
      <c r="B3" s="32">
        <v>1.5</v>
      </c>
      <c r="D3" s="33" t="s">
        <v>78</v>
      </c>
      <c r="E3" s="32">
        <v>0.5</v>
      </c>
    </row>
    <row r="4" spans="1:5">
      <c r="A4" t="s">
        <v>77</v>
      </c>
      <c r="B4" s="32">
        <v>0.25</v>
      </c>
      <c r="D4" t="s">
        <v>76</v>
      </c>
      <c r="E4" s="32">
        <v>0.04</v>
      </c>
    </row>
    <row r="5" spans="1:5">
      <c r="A5" t="s">
        <v>75</v>
      </c>
      <c r="B5" s="31">
        <f>1-B2</f>
        <v>5.0000000000000044E-2</v>
      </c>
      <c r="D5" t="s">
        <v>75</v>
      </c>
      <c r="E5" s="30">
        <f>1-E2</f>
        <v>5.0000000000000044E-2</v>
      </c>
    </row>
    <row r="6" spans="1:5">
      <c r="A6" t="s">
        <v>74</v>
      </c>
      <c r="B6" s="5">
        <f>(_xlfn.NORM.S.INV(B5/2)*B3/B4)^2</f>
        <v>138.29251754498847</v>
      </c>
      <c r="D6" t="s">
        <v>73</v>
      </c>
      <c r="E6" s="29">
        <f>(_xlfn.NORM.S.INV(E5/2)/E4)^2*E3*(1-E3)</f>
        <v>600.22794073345665</v>
      </c>
    </row>
    <row r="7" spans="1:5">
      <c r="A7" t="s">
        <v>72</v>
      </c>
      <c r="B7" s="5">
        <f>ROUNDUP(B6,0)</f>
        <v>139</v>
      </c>
      <c r="D7" t="s">
        <v>72</v>
      </c>
      <c r="E7" s="29">
        <f>ROUNDUP(E6,0)</f>
        <v>601</v>
      </c>
    </row>
    <row r="8" spans="1:5">
      <c r="A8" s="22"/>
      <c r="B8" s="5"/>
      <c r="E8" s="28"/>
    </row>
    <row r="9" spans="1:5">
      <c r="A9" s="22"/>
      <c r="E9" s="28"/>
    </row>
    <row r="10" spans="1:5">
      <c r="A10" s="22"/>
      <c r="E10" s="28"/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F24C-5102-B144-B63C-3FDD862AFBA2}">
  <dimension ref="A1:S39"/>
  <sheetViews>
    <sheetView showGridLines="0" workbookViewId="0">
      <selection activeCell="D16" sqref="D16"/>
    </sheetView>
  </sheetViews>
  <sheetFormatPr baseColWidth="10" defaultColWidth="8.83203125" defaultRowHeight="13"/>
  <cols>
    <col min="1" max="2" width="2.83203125" style="35" customWidth="1"/>
    <col min="3" max="3" width="12.5" style="35" customWidth="1"/>
    <col min="4" max="4" width="11.1640625" style="35" customWidth="1"/>
    <col min="5" max="5" width="13.1640625" style="35" customWidth="1"/>
    <col min="6" max="9" width="8.83203125" style="35" customWidth="1"/>
    <col min="10" max="10" width="2.33203125" style="35" customWidth="1"/>
    <col min="11" max="12" width="2" style="35" customWidth="1"/>
    <col min="13" max="13" width="12.5" style="35" customWidth="1"/>
    <col min="14" max="14" width="10.5" style="35" bestFit="1" customWidth="1"/>
    <col min="15" max="15" width="17.5" style="35" customWidth="1"/>
    <col min="16" max="16384" width="8.83203125" style="35"/>
  </cols>
  <sheetData>
    <row r="1" spans="1:19" ht="17" thickBot="1">
      <c r="A1" s="83" t="s">
        <v>90</v>
      </c>
      <c r="B1" s="83"/>
    </row>
    <row r="2" spans="1:19">
      <c r="B2" s="51"/>
      <c r="C2" s="82" t="s">
        <v>89</v>
      </c>
      <c r="D2" s="49"/>
      <c r="E2" s="49"/>
      <c r="F2" s="49"/>
      <c r="G2" s="49"/>
      <c r="H2" s="49"/>
      <c r="I2" s="49"/>
      <c r="J2" s="48"/>
    </row>
    <row r="3" spans="1:19" ht="14" thickBot="1">
      <c r="B3" s="45"/>
      <c r="C3" s="42"/>
      <c r="D3" s="81" t="s">
        <v>135</v>
      </c>
      <c r="E3" s="81" t="s">
        <v>136</v>
      </c>
      <c r="F3" s="81" t="s">
        <v>137</v>
      </c>
      <c r="G3" s="81"/>
      <c r="H3" s="81"/>
      <c r="I3" s="68" t="s">
        <v>88</v>
      </c>
      <c r="J3" s="46"/>
    </row>
    <row r="4" spans="1:19">
      <c r="B4" s="45"/>
      <c r="C4" s="77" t="s">
        <v>138</v>
      </c>
      <c r="D4" s="80">
        <v>68</v>
      </c>
      <c r="E4" s="79">
        <v>220</v>
      </c>
      <c r="F4" s="79">
        <v>40</v>
      </c>
      <c r="G4" s="79"/>
      <c r="H4" s="78"/>
      <c r="I4" s="62">
        <f t="shared" ref="I4:I9" si="0">IF(SUM(D4:H4)&lt;&gt;0,SUM(D4:H4),"")</f>
        <v>328</v>
      </c>
      <c r="J4" s="69"/>
    </row>
    <row r="5" spans="1:19">
      <c r="B5" s="45"/>
      <c r="C5" s="77" t="s">
        <v>139</v>
      </c>
      <c r="D5" s="76">
        <v>45</v>
      </c>
      <c r="E5" s="75">
        <v>312</v>
      </c>
      <c r="F5" s="75">
        <v>65</v>
      </c>
      <c r="G5" s="75"/>
      <c r="H5" s="74"/>
      <c r="I5" s="62">
        <f t="shared" si="0"/>
        <v>422</v>
      </c>
      <c r="J5" s="69"/>
    </row>
    <row r="6" spans="1:19">
      <c r="B6" s="45"/>
      <c r="C6" s="77"/>
      <c r="D6" s="76"/>
      <c r="E6" s="75"/>
      <c r="F6" s="75"/>
      <c r="G6" s="75"/>
      <c r="H6" s="74"/>
      <c r="I6" s="62" t="str">
        <f t="shared" si="0"/>
        <v/>
      </c>
      <c r="J6" s="69"/>
    </row>
    <row r="7" spans="1:19">
      <c r="B7" s="45"/>
      <c r="C7" s="77"/>
      <c r="D7" s="76"/>
      <c r="E7" s="75"/>
      <c r="F7" s="75"/>
      <c r="G7" s="75"/>
      <c r="H7" s="74"/>
      <c r="I7" s="62" t="str">
        <f t="shared" si="0"/>
        <v/>
      </c>
      <c r="J7" s="69"/>
    </row>
    <row r="8" spans="1:19" ht="14" thickBot="1">
      <c r="B8" s="45"/>
      <c r="C8" s="73"/>
      <c r="D8" s="72"/>
      <c r="E8" s="71"/>
      <c r="F8" s="71"/>
      <c r="G8" s="71"/>
      <c r="H8" s="70"/>
      <c r="I8" s="62" t="str">
        <f t="shared" si="0"/>
        <v/>
      </c>
      <c r="J8" s="69"/>
    </row>
    <row r="9" spans="1:19">
      <c r="B9" s="45"/>
      <c r="C9" s="60" t="s">
        <v>88</v>
      </c>
      <c r="D9" s="59">
        <f>IF(SUM(D4:D8)&lt;&gt;0,SUM(D4:D8),"")</f>
        <v>113</v>
      </c>
      <c r="E9" s="59">
        <f>IF(SUM(E4:E8)&lt;&gt;0,SUM(E4:E8),"")</f>
        <v>532</v>
      </c>
      <c r="F9" s="59">
        <f>IF(SUM(F4:F8)&lt;&gt;0,SUM(F4:F8),"")</f>
        <v>105</v>
      </c>
      <c r="G9" s="59" t="str">
        <f>IF(SUM(G4:G8)&lt;&gt;0,SUM(G4:G8),"")</f>
        <v/>
      </c>
      <c r="H9" s="59" t="str">
        <f>IF(SUM(H4:H8)&lt;&gt;0,SUM(H4:H8),"")</f>
        <v/>
      </c>
      <c r="I9" s="62">
        <f t="shared" si="0"/>
        <v>750</v>
      </c>
      <c r="J9" s="69"/>
    </row>
    <row r="10" spans="1:19" ht="14" thickBot="1">
      <c r="B10" s="40"/>
      <c r="C10" s="53"/>
      <c r="D10" s="53"/>
      <c r="E10" s="53"/>
      <c r="F10" s="53"/>
      <c r="G10" s="53"/>
      <c r="H10" s="53"/>
      <c r="I10" s="53"/>
      <c r="J10" s="52"/>
    </row>
    <row r="12" spans="1:19" ht="14" thickBot="1"/>
    <row r="13" spans="1:19">
      <c r="B13" s="51"/>
      <c r="C13" s="50" t="s">
        <v>87</v>
      </c>
      <c r="D13" s="49"/>
      <c r="E13" s="49"/>
      <c r="F13" s="49"/>
      <c r="G13" s="49"/>
      <c r="H13" s="49"/>
      <c r="I13" s="49"/>
      <c r="J13" s="48"/>
      <c r="L13" s="51"/>
      <c r="M13" s="50" t="s">
        <v>86</v>
      </c>
      <c r="N13" s="49"/>
      <c r="O13" s="49"/>
      <c r="P13" s="49"/>
      <c r="Q13" s="49"/>
      <c r="R13" s="49"/>
      <c r="S13" s="48"/>
    </row>
    <row r="14" spans="1:19" ht="14" thickBot="1">
      <c r="B14" s="45"/>
      <c r="C14" s="42"/>
      <c r="D14" s="47" t="str">
        <f>IF(D3&lt;&gt;"",D3,"")</f>
        <v>one</v>
      </c>
      <c r="E14" s="47" t="str">
        <f>IF(E3&lt;&gt;"",E3,"")</f>
        <v>two</v>
      </c>
      <c r="F14" s="47" t="str">
        <f>IF(F3&lt;&gt;"",F3,"")</f>
        <v>three</v>
      </c>
      <c r="G14" s="47" t="str">
        <f>IF(G3&lt;&gt;"",G3,"")</f>
        <v/>
      </c>
      <c r="H14" s="47" t="str">
        <f>IF(H3&lt;&gt;"",H3,"")</f>
        <v/>
      </c>
      <c r="I14" s="68" t="s">
        <v>85</v>
      </c>
      <c r="J14" s="46"/>
      <c r="L14" s="45"/>
      <c r="M14" s="42"/>
      <c r="N14" s="47" t="str">
        <f>IF(D14&lt;&gt;"","P("&amp;D14,"")</f>
        <v>P(one</v>
      </c>
      <c r="O14" s="47" t="str">
        <f>IF(E14&lt;&gt;"","P("&amp;E14,"")</f>
        <v>P(two</v>
      </c>
      <c r="P14" s="47" t="str">
        <f>IF(F14&lt;&gt;"","P("&amp;F14,"")</f>
        <v>P(three</v>
      </c>
      <c r="Q14" s="47" t="str">
        <f>IF(G14&lt;&gt;"","P("&amp;G14,"")</f>
        <v/>
      </c>
      <c r="R14" s="47" t="str">
        <f>IF(H14&lt;&gt;"","P("&amp;H14,"")</f>
        <v/>
      </c>
      <c r="S14" s="54"/>
    </row>
    <row r="15" spans="1:19">
      <c r="B15" s="45"/>
      <c r="C15" s="44" t="str">
        <f>IF(C4&lt;&gt;"",C4,"")</f>
        <v>yes</v>
      </c>
      <c r="D15" s="43" cm="1">
        <f t="array" ref="D15:H19">IF(D4:H8/I9&lt;&gt;0,D4:H8/I9,"")</f>
        <v>9.0666666666666673E-2</v>
      </c>
      <c r="E15" s="56">
        <v>0.29333333333333333</v>
      </c>
      <c r="F15" s="56">
        <v>5.3333333333333337E-2</v>
      </c>
      <c r="G15" s="56" t="str">
        <v/>
      </c>
      <c r="H15" s="55" t="str">
        <v/>
      </c>
      <c r="I15" s="62">
        <f t="shared" ref="I15:I20" si="1">IF(SUM(D15:H15)&lt;&gt;0,SUM(D15:H15),"")</f>
        <v>0.43733333333333335</v>
      </c>
      <c r="J15" s="41"/>
      <c r="L15" s="45"/>
      <c r="M15" s="44" t="str">
        <f>IF(C15&lt;&gt;"","| "&amp;C15&amp;")","")</f>
        <v>| yes)</v>
      </c>
      <c r="N15" s="43">
        <f>IF(D15&lt;&gt;"",D15/$I$15,"")</f>
        <v>0.20731707317073172</v>
      </c>
      <c r="O15" s="43">
        <f>IF(E15&lt;&gt;"",E15/$I$15,"")</f>
        <v>0.6707317073170731</v>
      </c>
      <c r="P15" s="43">
        <f>IF(F15&lt;&gt;"",F15/$I$15,"")</f>
        <v>0.12195121951219512</v>
      </c>
      <c r="Q15" s="43" t="str">
        <f>IF(G15&lt;&gt;"",G15/$I$15,"")</f>
        <v/>
      </c>
      <c r="R15" s="43" t="str">
        <f>IF(H15&lt;&gt;"",H15/$I$15,"")</f>
        <v/>
      </c>
      <c r="S15" s="54"/>
    </row>
    <row r="16" spans="1:19">
      <c r="B16" s="45"/>
      <c r="C16" s="44" t="str">
        <f>IF(C5&lt;&gt;"",C5,"")</f>
        <v>no</v>
      </c>
      <c r="D16" s="61">
        <v>0.06</v>
      </c>
      <c r="E16" s="67">
        <v>0.41599999999999998</v>
      </c>
      <c r="F16" s="67">
        <v>8.666666666666667E-2</v>
      </c>
      <c r="G16" s="67" t="str">
        <v/>
      </c>
      <c r="H16" s="66" t="str">
        <v/>
      </c>
      <c r="I16" s="62">
        <f t="shared" si="1"/>
        <v>0.56266666666666665</v>
      </c>
      <c r="J16" s="41"/>
      <c r="L16" s="45"/>
      <c r="M16" s="44" t="str">
        <f>IF(C16&lt;&gt;"","| "&amp;C16&amp;")","")</f>
        <v>| no)</v>
      </c>
      <c r="N16" s="61">
        <f>IF(D16&lt;&gt;"",D16/$I$16,"")</f>
        <v>0.1066350710900474</v>
      </c>
      <c r="O16" s="61">
        <f>IF(E16&lt;&gt;"",E16/$I$16,"")</f>
        <v>0.73933649289099523</v>
      </c>
      <c r="P16" s="61">
        <f>IF(F16&lt;&gt;"",F16/$I$16,"")</f>
        <v>0.15402843601895735</v>
      </c>
      <c r="Q16" s="61" t="str">
        <f>IF(G16&lt;&gt;"",G16/$I$16,"")</f>
        <v/>
      </c>
      <c r="R16" s="61" t="str">
        <f>IF(H16&lt;&gt;"",H16/$I$16,"")</f>
        <v/>
      </c>
      <c r="S16" s="54"/>
    </row>
    <row r="17" spans="2:19">
      <c r="B17" s="45"/>
      <c r="C17" s="44" t="str">
        <f>IF(C6&lt;&gt;"",C6,"")</f>
        <v/>
      </c>
      <c r="D17" s="61" t="str">
        <v/>
      </c>
      <c r="E17" s="67" t="str">
        <v/>
      </c>
      <c r="F17" s="67" t="str">
        <v/>
      </c>
      <c r="G17" s="67" t="str">
        <v/>
      </c>
      <c r="H17" s="66" t="str">
        <v/>
      </c>
      <c r="I17" s="62" t="str">
        <f t="shared" si="1"/>
        <v/>
      </c>
      <c r="J17" s="41"/>
      <c r="L17" s="45"/>
      <c r="M17" s="44" t="str">
        <f>IF(C17&lt;&gt;"","| "&amp;C17&amp;")","")</f>
        <v/>
      </c>
      <c r="N17" s="61" t="str">
        <f>IF(D17&lt;&gt;"",D17/$I$17,"")</f>
        <v/>
      </c>
      <c r="O17" s="61" t="str">
        <f>IF(E17&lt;&gt;"",E17/$I$17,"")</f>
        <v/>
      </c>
      <c r="P17" s="61" t="str">
        <f>IF(F17&lt;&gt;"",F17/$I$17,"")</f>
        <v/>
      </c>
      <c r="Q17" s="61" t="str">
        <f>IF(G17&lt;&gt;"",G17/$I$17,"")</f>
        <v/>
      </c>
      <c r="R17" s="61" t="str">
        <f>IF(H17&lt;&gt;"",H17/$I$17,"")</f>
        <v/>
      </c>
      <c r="S17" s="54"/>
    </row>
    <row r="18" spans="2:19">
      <c r="B18" s="45"/>
      <c r="C18" s="44" t="str">
        <f>IF(C7&lt;&gt;"",C7,"")</f>
        <v/>
      </c>
      <c r="D18" s="61" t="str">
        <v/>
      </c>
      <c r="E18" s="67" t="str">
        <v/>
      </c>
      <c r="F18" s="67" t="str">
        <v/>
      </c>
      <c r="G18" s="67" t="str">
        <v/>
      </c>
      <c r="H18" s="66" t="str">
        <v/>
      </c>
      <c r="I18" s="62" t="str">
        <f t="shared" si="1"/>
        <v/>
      </c>
      <c r="J18" s="41"/>
      <c r="L18" s="45"/>
      <c r="M18" s="44" t="str">
        <f>IF(C18&lt;&gt;"","| "&amp;C18&amp;")","")</f>
        <v/>
      </c>
      <c r="N18" s="61" t="str">
        <f>IF(D18&lt;&gt;"",D18/$I$18,"")</f>
        <v/>
      </c>
      <c r="O18" s="61" t="str">
        <f>IF(E18&lt;&gt;"",E18/$I$18,"")</f>
        <v/>
      </c>
      <c r="P18" s="61" t="str">
        <f>IF(F18&lt;&gt;"",F18/$I$18,"")</f>
        <v/>
      </c>
      <c r="Q18" s="61" t="str">
        <f>IF(G18&lt;&gt;"",G18/$I$18,"")</f>
        <v/>
      </c>
      <c r="R18" s="61" t="str">
        <f>IF(H18&lt;&gt;"",H18/$I$18,"")</f>
        <v/>
      </c>
      <c r="S18" s="54"/>
    </row>
    <row r="19" spans="2:19" ht="14" thickBot="1">
      <c r="B19" s="45"/>
      <c r="C19" s="44" t="str">
        <f>IF(C8&lt;&gt;"",C8,"")</f>
        <v/>
      </c>
      <c r="D19" s="65" t="str">
        <v/>
      </c>
      <c r="E19" s="64" t="str">
        <v/>
      </c>
      <c r="F19" s="64" t="str">
        <v/>
      </c>
      <c r="G19" s="64" t="str">
        <v/>
      </c>
      <c r="H19" s="63" t="str">
        <v/>
      </c>
      <c r="I19" s="62" t="str">
        <f t="shared" si="1"/>
        <v/>
      </c>
      <c r="J19" s="41"/>
      <c r="L19" s="45"/>
      <c r="M19" s="44" t="str">
        <f>IF(C19&lt;&gt;"","| "&amp;C19&amp;")","")</f>
        <v/>
      </c>
      <c r="N19" s="61" t="str">
        <f>IF(D19&lt;&gt;"",D19/$I$19,"")</f>
        <v/>
      </c>
      <c r="O19" s="61" t="str">
        <f>IF(E19&lt;&gt;"",E19/$I$19,"")</f>
        <v/>
      </c>
      <c r="P19" s="61" t="str">
        <f>IF(F19&lt;&gt;"",F19/$I$19,"")</f>
        <v/>
      </c>
      <c r="Q19" s="61" t="str">
        <f>IF(G19&lt;&gt;"",G19/$I$19,"")</f>
        <v/>
      </c>
      <c r="R19" s="61" t="str">
        <f>IF(H19&lt;&gt;"",H19/$I$19,"")</f>
        <v/>
      </c>
      <c r="S19" s="54"/>
    </row>
    <row r="20" spans="2:19" ht="14" thickBot="1">
      <c r="B20" s="45"/>
      <c r="C20" s="60" t="s">
        <v>85</v>
      </c>
      <c r="D20" s="59">
        <f>IF(SUM(D15:D19)&lt;&gt;0,SUM(D15:D19),"")</f>
        <v>0.15066666666666667</v>
      </c>
      <c r="E20" s="59">
        <f>IF(SUM(E15:E19)&lt;&gt;0,SUM(E15:E19),"")</f>
        <v>0.70933333333333337</v>
      </c>
      <c r="F20" s="59">
        <f>IF(SUM(F15:F19)&lt;&gt;0,SUM(F15:F19),"")</f>
        <v>0.14000000000000001</v>
      </c>
      <c r="G20" s="59" t="str">
        <f>IF(SUM(G15:G19)&lt;&gt;0,SUM(G15:G19),"")</f>
        <v/>
      </c>
      <c r="H20" s="59" t="str">
        <f>IF(SUM(H15:H19)&lt;&gt;0,SUM(H15:H19),"")</f>
        <v/>
      </c>
      <c r="I20" s="58">
        <f t="shared" si="1"/>
        <v>1</v>
      </c>
      <c r="J20" s="57"/>
      <c r="L20" s="40"/>
      <c r="M20" s="53"/>
      <c r="N20" s="53"/>
      <c r="O20" s="53"/>
      <c r="P20" s="53"/>
      <c r="Q20" s="53"/>
      <c r="R20" s="53"/>
      <c r="S20" s="52"/>
    </row>
    <row r="21" spans="2:19" ht="14" thickBot="1">
      <c r="B21" s="40"/>
      <c r="C21" s="39"/>
      <c r="D21" s="38"/>
      <c r="E21" s="38"/>
      <c r="F21" s="38"/>
      <c r="G21" s="38"/>
      <c r="H21" s="38"/>
      <c r="I21" s="37"/>
      <c r="J21" s="36"/>
    </row>
    <row r="22" spans="2:19" ht="14" thickBot="1"/>
    <row r="23" spans="2:19">
      <c r="B23" s="51"/>
      <c r="C23" s="50" t="s">
        <v>84</v>
      </c>
      <c r="D23" s="49"/>
      <c r="E23" s="49"/>
      <c r="F23" s="49"/>
      <c r="G23" s="49"/>
      <c r="H23" s="49"/>
      <c r="I23" s="49"/>
      <c r="J23" s="48"/>
    </row>
    <row r="24" spans="2:19" ht="14" thickBot="1">
      <c r="B24" s="45"/>
      <c r="C24" s="42"/>
      <c r="D24" s="47" t="str">
        <f>IF(D3&lt;&gt;"","| "&amp;D3&amp;")","")</f>
        <v>| one)</v>
      </c>
      <c r="E24" s="47" t="str">
        <f>IF(E3&lt;&gt;"","| "&amp;E3&amp;")","")</f>
        <v>| two)</v>
      </c>
      <c r="F24" s="47" t="str">
        <f>IF(F3&lt;&gt;"","| "&amp;F3&amp;")","")</f>
        <v>| three)</v>
      </c>
      <c r="G24" s="47" t="str">
        <f>IF(G3&lt;&gt;"","| "&amp;G3&amp;")","")</f>
        <v/>
      </c>
      <c r="H24" s="47" t="str">
        <f>IF(H3&lt;&gt;"","| "&amp;H3&amp;")","")</f>
        <v/>
      </c>
      <c r="I24" s="42"/>
      <c r="J24" s="54"/>
    </row>
    <row r="25" spans="2:19" ht="14" thickBot="1">
      <c r="B25" s="45"/>
      <c r="C25" s="44" t="str">
        <f>IF(C15&lt;&gt;"","P("&amp;C15,"")</f>
        <v>P(yes</v>
      </c>
      <c r="D25" s="43">
        <f>IF(D15&lt;&gt;"",D15/$D$20,"")</f>
        <v>0.60176991150442483</v>
      </c>
      <c r="E25" s="56">
        <f>IF(E15&lt;&gt;"",E15/$E$20,"")</f>
        <v>0.41353383458646614</v>
      </c>
      <c r="F25" s="56">
        <f>IF(F15&lt;&gt;"",F15/$F$20,"")</f>
        <v>0.38095238095238093</v>
      </c>
      <c r="G25" s="56" t="str">
        <f>IF(G15&lt;&gt;"",G15/$G$20,"")</f>
        <v/>
      </c>
      <c r="H25" s="55" t="str">
        <f>IF(H15&lt;&gt;"",H15/$H$20,"")</f>
        <v/>
      </c>
      <c r="I25" s="42"/>
      <c r="J25" s="54"/>
    </row>
    <row r="26" spans="2:19" ht="14" thickBot="1">
      <c r="B26" s="45"/>
      <c r="C26" s="44" t="str">
        <f>IF(C16&lt;&gt;"","P("&amp;C16,"")</f>
        <v>P(no</v>
      </c>
      <c r="D26" s="43">
        <f>IF(D16&lt;&gt;"",D16/$D$20,"")</f>
        <v>0.39823008849557517</v>
      </c>
      <c r="E26" s="56">
        <f>IF(E16&lt;&gt;"",E16/$E$20,"")</f>
        <v>0.5864661654135338</v>
      </c>
      <c r="F26" s="56">
        <f>IF(F16&lt;&gt;"",F16/$F$20,"")</f>
        <v>0.61904761904761896</v>
      </c>
      <c r="G26" s="56" t="str">
        <f>IF(G16&lt;&gt;"",G16/$G$20,"")</f>
        <v/>
      </c>
      <c r="H26" s="55" t="str">
        <f>IF(H16&lt;&gt;"",H16/$H$20,"")</f>
        <v/>
      </c>
      <c r="I26" s="42"/>
      <c r="J26" s="54"/>
    </row>
    <row r="27" spans="2:19" ht="14" thickBot="1">
      <c r="B27" s="45"/>
      <c r="C27" s="44" t="str">
        <f>IF(C17&lt;&gt;"","P("&amp;C17,"")</f>
        <v/>
      </c>
      <c r="D27" s="43" t="str">
        <f>IF(D17&lt;&gt;"",D17/$D$20,"")</f>
        <v/>
      </c>
      <c r="E27" s="56" t="str">
        <f>IF(E17&lt;&gt;"",E17/$E$20,"")</f>
        <v/>
      </c>
      <c r="F27" s="56" t="str">
        <f>IF(F17&lt;&gt;"",F17/$F$20,"")</f>
        <v/>
      </c>
      <c r="G27" s="56" t="str">
        <f>IF(G17&lt;&gt;"",G17/$G$20,"")</f>
        <v/>
      </c>
      <c r="H27" s="55" t="str">
        <f>IF(H17&lt;&gt;"",H17/$H$20,"")</f>
        <v/>
      </c>
      <c r="I27" s="42"/>
      <c r="J27" s="54"/>
    </row>
    <row r="28" spans="2:19" ht="14" thickBot="1">
      <c r="B28" s="45"/>
      <c r="C28" s="44" t="str">
        <f>IF(C18&lt;&gt;"","P("&amp;C18,"")</f>
        <v/>
      </c>
      <c r="D28" s="43" t="str">
        <f>IF(D18&lt;&gt;"",D18/$D$20,"")</f>
        <v/>
      </c>
      <c r="E28" s="56" t="str">
        <f>IF(E18&lt;&gt;"",E18/$E$20,"")</f>
        <v/>
      </c>
      <c r="F28" s="56" t="str">
        <f>IF(F18&lt;&gt;"",F18/$F$20,"")</f>
        <v/>
      </c>
      <c r="G28" s="56" t="str">
        <f>IF(G18&lt;&gt;"",G18/$G$20,"")</f>
        <v/>
      </c>
      <c r="H28" s="55" t="str">
        <f>IF(H18&lt;&gt;"",H18/$H$20,"")</f>
        <v/>
      </c>
      <c r="I28" s="42"/>
      <c r="J28" s="54"/>
    </row>
    <row r="29" spans="2:19">
      <c r="B29" s="45"/>
      <c r="C29" s="44" t="str">
        <f>IF(C19&lt;&gt;"","P("&amp;C19,"")</f>
        <v/>
      </c>
      <c r="D29" s="43" t="str">
        <f>IF(D19&lt;&gt;"",D19/$D$20,"")</f>
        <v/>
      </c>
      <c r="E29" s="56" t="str">
        <f>IF(E19&lt;&gt;"",E19/$E$20,"")</f>
        <v/>
      </c>
      <c r="F29" s="56" t="str">
        <f>IF(F19&lt;&gt;"",F19/$F$20,"")</f>
        <v/>
      </c>
      <c r="G29" s="56" t="str">
        <f>IF(G19&lt;&gt;"",G19/$G$20,"")</f>
        <v/>
      </c>
      <c r="H29" s="55" t="str">
        <f>IF(H19&lt;&gt;"",H19/$H$20,"")</f>
        <v/>
      </c>
      <c r="I29" s="42"/>
      <c r="J29" s="54"/>
    </row>
    <row r="30" spans="2:19" ht="14" thickBot="1">
      <c r="B30" s="40"/>
      <c r="C30" s="53"/>
      <c r="D30" s="53"/>
      <c r="E30" s="53"/>
      <c r="F30" s="53"/>
      <c r="G30" s="53"/>
      <c r="H30" s="53"/>
      <c r="I30" s="53"/>
      <c r="J30" s="52"/>
    </row>
    <row r="31" spans="2:19" ht="14" thickBot="1"/>
    <row r="32" spans="2:19">
      <c r="B32" s="51"/>
      <c r="C32" s="50" t="s">
        <v>83</v>
      </c>
      <c r="D32" s="49"/>
      <c r="E32" s="49"/>
      <c r="F32" s="49"/>
      <c r="G32" s="49"/>
      <c r="H32" s="49"/>
      <c r="I32" s="49"/>
      <c r="J32" s="48"/>
    </row>
    <row r="33" spans="2:10" ht="14" thickBot="1">
      <c r="B33" s="45"/>
      <c r="C33" s="42"/>
      <c r="D33" s="47" t="str">
        <f>IF(D3&lt;&gt;"",D3,"")</f>
        <v>one</v>
      </c>
      <c r="E33" s="47" t="str">
        <f>IF(E3&lt;&gt;"",E3,"")</f>
        <v>two</v>
      </c>
      <c r="F33" s="47" t="str">
        <f>IF(F3&lt;&gt;"",F3,"")</f>
        <v>three</v>
      </c>
      <c r="G33" s="47" t="str">
        <f>IF(G3&lt;&gt;"",G3,"")</f>
        <v/>
      </c>
      <c r="H33" s="47" t="str">
        <f>IF(H3&lt;&gt;"",H3,"")</f>
        <v/>
      </c>
      <c r="I33" s="42"/>
      <c r="J33" s="46"/>
    </row>
    <row r="34" spans="2:10" ht="14" thickBot="1">
      <c r="B34" s="45"/>
      <c r="C34" s="44" t="str">
        <f>IF(C4&lt;&gt;"",C4,"")</f>
        <v>yes</v>
      </c>
      <c r="D34" s="43">
        <f t="shared" ref="D34:H38" si="2">IF(D15&lt;&gt;"",D$20+$I15-D15,"")</f>
        <v>0.4973333333333334</v>
      </c>
      <c r="E34" s="43">
        <f t="shared" si="2"/>
        <v>0.85333333333333339</v>
      </c>
      <c r="F34" s="43">
        <f t="shared" si="2"/>
        <v>0.52400000000000002</v>
      </c>
      <c r="G34" s="43" t="str">
        <f t="shared" si="2"/>
        <v/>
      </c>
      <c r="H34" s="43" t="str">
        <f t="shared" si="2"/>
        <v/>
      </c>
      <c r="I34" s="42"/>
      <c r="J34" s="41"/>
    </row>
    <row r="35" spans="2:10" ht="14" thickBot="1">
      <c r="B35" s="45"/>
      <c r="C35" s="44" t="str">
        <f>IF(C5&lt;&gt;"",C5,"")</f>
        <v>no</v>
      </c>
      <c r="D35" s="43">
        <f t="shared" si="2"/>
        <v>0.65333333333333332</v>
      </c>
      <c r="E35" s="43">
        <f t="shared" si="2"/>
        <v>0.85600000000000009</v>
      </c>
      <c r="F35" s="43">
        <f t="shared" si="2"/>
        <v>0.61599999999999999</v>
      </c>
      <c r="G35" s="43" t="str">
        <f t="shared" si="2"/>
        <v/>
      </c>
      <c r="H35" s="43" t="str">
        <f t="shared" si="2"/>
        <v/>
      </c>
      <c r="I35" s="42"/>
      <c r="J35" s="41"/>
    </row>
    <row r="36" spans="2:10" ht="14" thickBot="1">
      <c r="B36" s="45"/>
      <c r="C36" s="44" t="str">
        <f>IF(C6&lt;&gt;"",C6,"")</f>
        <v/>
      </c>
      <c r="D36" s="43" t="str">
        <f t="shared" si="2"/>
        <v/>
      </c>
      <c r="E36" s="43" t="str">
        <f t="shared" si="2"/>
        <v/>
      </c>
      <c r="F36" s="43" t="str">
        <f t="shared" si="2"/>
        <v/>
      </c>
      <c r="G36" s="43" t="str">
        <f t="shared" si="2"/>
        <v/>
      </c>
      <c r="H36" s="43" t="str">
        <f t="shared" si="2"/>
        <v/>
      </c>
      <c r="I36" s="42"/>
      <c r="J36" s="41"/>
    </row>
    <row r="37" spans="2:10" ht="14" thickBot="1">
      <c r="B37" s="45"/>
      <c r="C37" s="44" t="str">
        <f>IF(C7&lt;&gt;"",C7,"")</f>
        <v/>
      </c>
      <c r="D37" s="43" t="str">
        <f t="shared" si="2"/>
        <v/>
      </c>
      <c r="E37" s="43" t="str">
        <f t="shared" si="2"/>
        <v/>
      </c>
      <c r="F37" s="43" t="str">
        <f t="shared" si="2"/>
        <v/>
      </c>
      <c r="G37" s="43" t="str">
        <f t="shared" si="2"/>
        <v/>
      </c>
      <c r="H37" s="43" t="str">
        <f t="shared" si="2"/>
        <v/>
      </c>
      <c r="I37" s="42"/>
      <c r="J37" s="41"/>
    </row>
    <row r="38" spans="2:10">
      <c r="B38" s="45"/>
      <c r="C38" s="44" t="str">
        <f>IF(C8&lt;&gt;"",C8,"")</f>
        <v/>
      </c>
      <c r="D38" s="43" t="str">
        <f t="shared" si="2"/>
        <v/>
      </c>
      <c r="E38" s="43" t="str">
        <f t="shared" si="2"/>
        <v/>
      </c>
      <c r="F38" s="43" t="str">
        <f t="shared" si="2"/>
        <v/>
      </c>
      <c r="G38" s="43" t="str">
        <f t="shared" si="2"/>
        <v/>
      </c>
      <c r="H38" s="43" t="str">
        <f t="shared" si="2"/>
        <v/>
      </c>
      <c r="I38" s="42"/>
      <c r="J38" s="41"/>
    </row>
    <row r="39" spans="2:10" ht="14" thickBot="1">
      <c r="B39" s="40"/>
      <c r="C39" s="39"/>
      <c r="D39" s="38"/>
      <c r="E39" s="38"/>
      <c r="F39" s="38"/>
      <c r="G39" s="38"/>
      <c r="H39" s="38"/>
      <c r="I39" s="37"/>
      <c r="J39" s="36"/>
    </row>
  </sheetData>
  <pageMargins left="0.75" right="0.75" top="1" bottom="1" header="0.5" footer="0.5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A086-966B-8748-93A7-6984B499BD8C}">
  <dimension ref="A1:F401"/>
  <sheetViews>
    <sheetView zoomScale="150" workbookViewId="0">
      <selection activeCell="C7" sqref="C7"/>
    </sheetView>
  </sheetViews>
  <sheetFormatPr baseColWidth="10" defaultRowHeight="16"/>
  <cols>
    <col min="1" max="1" width="8.6640625" customWidth="1"/>
    <col min="2" max="2" width="25.1640625" bestFit="1" customWidth="1"/>
    <col min="3" max="3" width="13.6640625" bestFit="1" customWidth="1"/>
    <col min="4" max="4" width="23.1640625" bestFit="1" customWidth="1"/>
  </cols>
  <sheetData>
    <row r="1" spans="1:6" ht="18">
      <c r="A1" t="s">
        <v>142</v>
      </c>
      <c r="B1" s="88" t="s">
        <v>104</v>
      </c>
    </row>
    <row r="2" spans="1:6" ht="17" thickBot="1">
      <c r="A2" s="102">
        <v>4</v>
      </c>
      <c r="B2" s="103" t="s">
        <v>103</v>
      </c>
      <c r="C2" s="103"/>
      <c r="E2" s="103" t="s">
        <v>102</v>
      </c>
      <c r="F2" s="103"/>
    </row>
    <row r="3" spans="1:6">
      <c r="A3" s="102">
        <v>5</v>
      </c>
      <c r="B3" t="s">
        <v>80</v>
      </c>
      <c r="C3" s="34">
        <v>0.95</v>
      </c>
      <c r="E3" t="s">
        <v>80</v>
      </c>
      <c r="F3" s="34">
        <v>0.95</v>
      </c>
    </row>
    <row r="4" spans="1:6">
      <c r="A4" s="102">
        <v>2</v>
      </c>
      <c r="B4" t="s">
        <v>1</v>
      </c>
      <c r="C4" s="32">
        <f>AVERAGE(A:A)</f>
        <v>4.0149999999999997</v>
      </c>
      <c r="E4" t="s">
        <v>29</v>
      </c>
      <c r="F4" s="32">
        <v>170</v>
      </c>
    </row>
    <row r="5" spans="1:6">
      <c r="A5" s="102">
        <v>4</v>
      </c>
      <c r="B5" t="s">
        <v>101</v>
      </c>
      <c r="C5" s="32">
        <f>_xlfn.STDEV.S(A:A)</f>
        <v>1.7642438581379398</v>
      </c>
      <c r="E5" t="s">
        <v>41</v>
      </c>
      <c r="F5" s="32">
        <v>68</v>
      </c>
    </row>
    <row r="6" spans="1:6">
      <c r="A6" s="102">
        <v>4</v>
      </c>
      <c r="B6" t="s">
        <v>29</v>
      </c>
      <c r="C6" s="32">
        <f>COUNT(A:A)</f>
        <v>400</v>
      </c>
      <c r="E6" t="s">
        <v>100</v>
      </c>
      <c r="F6" s="5">
        <f>F5/F4</f>
        <v>0.4</v>
      </c>
    </row>
    <row r="7" spans="1:6">
      <c r="A7" s="102">
        <v>9</v>
      </c>
      <c r="B7" t="s">
        <v>75</v>
      </c>
      <c r="C7" s="31">
        <f>1-C3</f>
        <v>5.0000000000000044E-2</v>
      </c>
      <c r="E7" t="s">
        <v>75</v>
      </c>
      <c r="F7" s="31">
        <f>1-F3</f>
        <v>5.0000000000000044E-2</v>
      </c>
    </row>
    <row r="8" spans="1:6">
      <c r="A8" s="102">
        <v>2</v>
      </c>
      <c r="B8" t="s">
        <v>99</v>
      </c>
      <c r="C8" s="87">
        <f>_xlfn.CONFIDENCE.T(C7,C5,C6)</f>
        <v>0.17341875786870811</v>
      </c>
      <c r="D8" t="s">
        <v>97</v>
      </c>
    </row>
    <row r="9" spans="1:6" ht="17" thickBot="1">
      <c r="A9" s="102">
        <v>2</v>
      </c>
      <c r="B9" t="s">
        <v>98</v>
      </c>
      <c r="C9" s="87">
        <f>_xlfn.CONFIDENCE.NORM(C7,C5,C6)</f>
        <v>0.17289272109481768</v>
      </c>
      <c r="D9" t="s">
        <v>97</v>
      </c>
      <c r="E9" s="5" t="s">
        <v>92</v>
      </c>
      <c r="F9" s="5" t="s">
        <v>91</v>
      </c>
    </row>
    <row r="10" spans="1:6" ht="17" thickBot="1">
      <c r="A10" s="102">
        <v>3</v>
      </c>
      <c r="E10" s="86">
        <f>_xlfn.BETA.INV(F7/2,F5,F4-F5+1)</f>
        <v>0.32575145611352707</v>
      </c>
      <c r="F10" s="86">
        <f>_xlfn.BETA.INV(1-F7/2,F5+1,F4-F5)</f>
        <v>0.47779910149639848</v>
      </c>
    </row>
    <row r="11" spans="1:6" ht="17" thickBot="1">
      <c r="A11" s="102">
        <v>3</v>
      </c>
      <c r="B11" s="103" t="s">
        <v>96</v>
      </c>
      <c r="C11" s="103"/>
      <c r="D11" t="s">
        <v>95</v>
      </c>
    </row>
    <row r="12" spans="1:6" ht="17" thickBot="1">
      <c r="A12" s="102">
        <v>5</v>
      </c>
      <c r="B12" s="5" t="s">
        <v>92</v>
      </c>
      <c r="C12" s="5" t="s">
        <v>91</v>
      </c>
    </row>
    <row r="13" spans="1:6" ht="17" thickBot="1">
      <c r="A13" s="102">
        <v>3</v>
      </c>
      <c r="B13" s="85">
        <f>C4-C8</f>
        <v>3.8415812421312916</v>
      </c>
      <c r="C13" s="85">
        <f>C4+C8</f>
        <v>4.1884187578687078</v>
      </c>
    </row>
    <row r="14" spans="1:6">
      <c r="A14" s="102">
        <v>5</v>
      </c>
    </row>
    <row r="15" spans="1:6" ht="17" thickBot="1">
      <c r="A15" s="102">
        <v>3</v>
      </c>
      <c r="B15" s="103" t="s">
        <v>94</v>
      </c>
      <c r="C15" s="103"/>
      <c r="D15" t="s">
        <v>93</v>
      </c>
      <c r="E15">
        <f>_xlfn.NORM.S.INV(0.025)</f>
        <v>-1.9599639845400538</v>
      </c>
    </row>
    <row r="16" spans="1:6" ht="17" thickBot="1">
      <c r="A16" s="102">
        <v>6</v>
      </c>
      <c r="B16" s="5" t="s">
        <v>92</v>
      </c>
      <c r="C16" s="5" t="s">
        <v>91</v>
      </c>
    </row>
    <row r="17" spans="1:3" ht="17" thickBot="1">
      <c r="A17" s="102">
        <v>4</v>
      </c>
      <c r="B17" s="84">
        <f>C4-C9</f>
        <v>3.842107278905182</v>
      </c>
      <c r="C17" s="84">
        <f>C4+C9</f>
        <v>4.1878927210948174</v>
      </c>
    </row>
    <row r="18" spans="1:3">
      <c r="A18" s="102">
        <v>2</v>
      </c>
    </row>
    <row r="19" spans="1:3">
      <c r="A19" s="102">
        <v>7</v>
      </c>
    </row>
    <row r="20" spans="1:3">
      <c r="A20" s="102">
        <v>4</v>
      </c>
    </row>
    <row r="21" spans="1:3">
      <c r="A21" s="102">
        <v>6</v>
      </c>
    </row>
    <row r="22" spans="1:3">
      <c r="A22" s="102">
        <v>4</v>
      </c>
    </row>
    <row r="23" spans="1:3">
      <c r="A23" s="102">
        <v>2</v>
      </c>
    </row>
    <row r="24" spans="1:3">
      <c r="A24" s="102">
        <v>5</v>
      </c>
    </row>
    <row r="25" spans="1:3">
      <c r="A25" s="102">
        <v>6</v>
      </c>
    </row>
    <row r="26" spans="1:3">
      <c r="A26" s="102">
        <v>1</v>
      </c>
    </row>
    <row r="27" spans="1:3">
      <c r="A27" s="102">
        <v>8</v>
      </c>
    </row>
    <row r="28" spans="1:3">
      <c r="A28" s="102">
        <v>3</v>
      </c>
    </row>
    <row r="29" spans="1:3">
      <c r="A29" s="102">
        <v>3</v>
      </c>
    </row>
    <row r="30" spans="1:3">
      <c r="A30" s="102">
        <v>3</v>
      </c>
    </row>
    <row r="31" spans="1:3">
      <c r="A31" s="102">
        <v>6</v>
      </c>
    </row>
    <row r="32" spans="1:3">
      <c r="A32" s="102">
        <v>6</v>
      </c>
    </row>
    <row r="33" spans="1:1">
      <c r="A33" s="102">
        <v>4</v>
      </c>
    </row>
    <row r="34" spans="1:1">
      <c r="A34" s="102">
        <v>5</v>
      </c>
    </row>
    <row r="35" spans="1:1">
      <c r="A35" s="102">
        <v>3</v>
      </c>
    </row>
    <row r="36" spans="1:1">
      <c r="A36" s="102">
        <v>5</v>
      </c>
    </row>
    <row r="37" spans="1:1">
      <c r="A37" s="102">
        <v>3</v>
      </c>
    </row>
    <row r="38" spans="1:1">
      <c r="A38" s="102">
        <v>5</v>
      </c>
    </row>
    <row r="39" spans="1:1">
      <c r="A39" s="102">
        <v>3</v>
      </c>
    </row>
    <row r="40" spans="1:1">
      <c r="A40" s="102">
        <v>5</v>
      </c>
    </row>
    <row r="41" spans="1:1">
      <c r="A41" s="102">
        <v>6</v>
      </c>
    </row>
    <row r="42" spans="1:1">
      <c r="A42" s="102">
        <v>4</v>
      </c>
    </row>
    <row r="43" spans="1:1">
      <c r="A43" s="102">
        <v>3</v>
      </c>
    </row>
    <row r="44" spans="1:1">
      <c r="A44" s="102">
        <v>2</v>
      </c>
    </row>
    <row r="45" spans="1:1">
      <c r="A45" s="102">
        <v>7</v>
      </c>
    </row>
    <row r="46" spans="1:1">
      <c r="A46" s="102">
        <v>6</v>
      </c>
    </row>
    <row r="47" spans="1:1">
      <c r="A47" s="102">
        <v>2</v>
      </c>
    </row>
    <row r="48" spans="1:1">
      <c r="A48" s="102">
        <v>5</v>
      </c>
    </row>
    <row r="49" spans="1:1">
      <c r="A49" s="102">
        <v>6</v>
      </c>
    </row>
    <row r="50" spans="1:1">
      <c r="A50" s="102">
        <v>4</v>
      </c>
    </row>
    <row r="51" spans="1:1">
      <c r="A51" s="102">
        <v>5</v>
      </c>
    </row>
    <row r="52" spans="1:1">
      <c r="A52" s="102">
        <v>3</v>
      </c>
    </row>
    <row r="53" spans="1:1">
      <c r="A53" s="102">
        <v>2</v>
      </c>
    </row>
    <row r="54" spans="1:1">
      <c r="A54" s="102">
        <v>3</v>
      </c>
    </row>
    <row r="55" spans="1:1">
      <c r="A55" s="102">
        <v>4</v>
      </c>
    </row>
    <row r="56" spans="1:1">
      <c r="A56" s="102">
        <v>4</v>
      </c>
    </row>
    <row r="57" spans="1:1">
      <c r="A57" s="102">
        <v>5</v>
      </c>
    </row>
    <row r="58" spans="1:1">
      <c r="A58" s="102">
        <v>6</v>
      </c>
    </row>
    <row r="59" spans="1:1">
      <c r="A59" s="102">
        <v>3</v>
      </c>
    </row>
    <row r="60" spans="1:1">
      <c r="A60" s="102">
        <v>2</v>
      </c>
    </row>
    <row r="61" spans="1:1">
      <c r="A61" s="102">
        <v>4</v>
      </c>
    </row>
    <row r="62" spans="1:1">
      <c r="A62" s="102">
        <v>6</v>
      </c>
    </row>
    <row r="63" spans="1:1">
      <c r="A63" s="102">
        <v>4</v>
      </c>
    </row>
    <row r="64" spans="1:1">
      <c r="A64" s="102">
        <v>6</v>
      </c>
    </row>
    <row r="65" spans="1:1">
      <c r="A65" s="102">
        <v>3</v>
      </c>
    </row>
    <row r="66" spans="1:1">
      <c r="A66" s="102">
        <v>3</v>
      </c>
    </row>
    <row r="67" spans="1:1">
      <c r="A67" s="102">
        <v>4</v>
      </c>
    </row>
    <row r="68" spans="1:1">
      <c r="A68" s="102">
        <v>4</v>
      </c>
    </row>
    <row r="69" spans="1:1">
      <c r="A69" s="102">
        <v>3</v>
      </c>
    </row>
    <row r="70" spans="1:1">
      <c r="A70" s="102">
        <v>6</v>
      </c>
    </row>
    <row r="71" spans="1:1">
      <c r="A71" s="102">
        <v>2</v>
      </c>
    </row>
    <row r="72" spans="1:1">
      <c r="A72" s="102">
        <v>3</v>
      </c>
    </row>
    <row r="73" spans="1:1">
      <c r="A73" s="102">
        <v>4</v>
      </c>
    </row>
    <row r="74" spans="1:1">
      <c r="A74" s="102">
        <v>8</v>
      </c>
    </row>
    <row r="75" spans="1:1">
      <c r="A75" s="102">
        <v>3</v>
      </c>
    </row>
    <row r="76" spans="1:1">
      <c r="A76" s="102">
        <v>2</v>
      </c>
    </row>
    <row r="77" spans="1:1">
      <c r="A77" s="102">
        <v>2</v>
      </c>
    </row>
    <row r="78" spans="1:1">
      <c r="A78" s="102">
        <v>1</v>
      </c>
    </row>
    <row r="79" spans="1:1">
      <c r="A79" s="102">
        <v>6</v>
      </c>
    </row>
    <row r="80" spans="1:1">
      <c r="A80" s="102">
        <v>4</v>
      </c>
    </row>
    <row r="81" spans="1:1">
      <c r="A81" s="102">
        <v>8</v>
      </c>
    </row>
    <row r="82" spans="1:1">
      <c r="A82" s="102">
        <v>2</v>
      </c>
    </row>
    <row r="83" spans="1:1">
      <c r="A83" s="102">
        <v>2</v>
      </c>
    </row>
    <row r="84" spans="1:1">
      <c r="A84" s="102">
        <v>4</v>
      </c>
    </row>
    <row r="85" spans="1:1">
      <c r="A85" s="102">
        <v>1</v>
      </c>
    </row>
    <row r="86" spans="1:1">
      <c r="A86" s="102">
        <v>4</v>
      </c>
    </row>
    <row r="87" spans="1:1">
      <c r="A87" s="102">
        <v>2</v>
      </c>
    </row>
    <row r="88" spans="1:1">
      <c r="A88" s="102">
        <v>3</v>
      </c>
    </row>
    <row r="89" spans="1:1">
      <c r="A89" s="102">
        <v>4</v>
      </c>
    </row>
    <row r="90" spans="1:1">
      <c r="A90" s="102">
        <v>8</v>
      </c>
    </row>
    <row r="91" spans="1:1">
      <c r="A91" s="102">
        <v>4</v>
      </c>
    </row>
    <row r="92" spans="1:1">
      <c r="A92" s="102">
        <v>5</v>
      </c>
    </row>
    <row r="93" spans="1:1">
      <c r="A93" s="102">
        <v>6</v>
      </c>
    </row>
    <row r="94" spans="1:1">
      <c r="A94" s="102">
        <v>4</v>
      </c>
    </row>
    <row r="95" spans="1:1">
      <c r="A95" s="102">
        <v>5</v>
      </c>
    </row>
    <row r="96" spans="1:1">
      <c r="A96" s="102">
        <v>3</v>
      </c>
    </row>
    <row r="97" spans="1:1">
      <c r="A97" s="102">
        <v>3</v>
      </c>
    </row>
    <row r="98" spans="1:1">
      <c r="A98" s="102">
        <v>4</v>
      </c>
    </row>
    <row r="99" spans="1:1">
      <c r="A99" s="102">
        <v>3</v>
      </c>
    </row>
    <row r="100" spans="1:1">
      <c r="A100" s="102">
        <v>2</v>
      </c>
    </row>
    <row r="101" spans="1:1">
      <c r="A101" s="102">
        <v>5</v>
      </c>
    </row>
    <row r="102" spans="1:1">
      <c r="A102" s="102">
        <v>4</v>
      </c>
    </row>
    <row r="103" spans="1:1">
      <c r="A103" s="102">
        <v>4</v>
      </c>
    </row>
    <row r="104" spans="1:1">
      <c r="A104" s="102">
        <v>7</v>
      </c>
    </row>
    <row r="105" spans="1:1">
      <c r="A105" s="102">
        <v>3</v>
      </c>
    </row>
    <row r="106" spans="1:1">
      <c r="A106" s="102">
        <v>3</v>
      </c>
    </row>
    <row r="107" spans="1:1">
      <c r="A107" s="102">
        <v>4</v>
      </c>
    </row>
    <row r="108" spans="1:1">
      <c r="A108" s="102">
        <v>4</v>
      </c>
    </row>
    <row r="109" spans="1:1">
      <c r="A109" s="102">
        <v>3</v>
      </c>
    </row>
    <row r="110" spans="1:1">
      <c r="A110" s="102">
        <v>6</v>
      </c>
    </row>
    <row r="111" spans="1:1">
      <c r="A111" s="102">
        <v>5</v>
      </c>
    </row>
    <row r="112" spans="1:1">
      <c r="A112" s="102">
        <v>3</v>
      </c>
    </row>
    <row r="113" spans="1:1">
      <c r="A113" s="102">
        <v>1</v>
      </c>
    </row>
    <row r="114" spans="1:1">
      <c r="A114" s="102">
        <v>2</v>
      </c>
    </row>
    <row r="115" spans="1:1">
      <c r="A115" s="102">
        <v>3</v>
      </c>
    </row>
    <row r="116" spans="1:1">
      <c r="A116" s="102">
        <v>3</v>
      </c>
    </row>
    <row r="117" spans="1:1">
      <c r="A117" s="102">
        <v>3</v>
      </c>
    </row>
    <row r="118" spans="1:1">
      <c r="A118" s="102">
        <v>2</v>
      </c>
    </row>
    <row r="119" spans="1:1">
      <c r="A119" s="102">
        <v>2</v>
      </c>
    </row>
    <row r="120" spans="1:1">
      <c r="A120" s="102">
        <v>1</v>
      </c>
    </row>
    <row r="121" spans="1:1">
      <c r="A121" s="102">
        <v>4</v>
      </c>
    </row>
    <row r="122" spans="1:1">
      <c r="A122" s="102">
        <v>3</v>
      </c>
    </row>
    <row r="123" spans="1:1">
      <c r="A123" s="102">
        <v>4</v>
      </c>
    </row>
    <row r="124" spans="1:1">
      <c r="A124" s="102">
        <v>5</v>
      </c>
    </row>
    <row r="125" spans="1:1">
      <c r="A125" s="102">
        <v>3</v>
      </c>
    </row>
    <row r="126" spans="1:1">
      <c r="A126" s="102">
        <v>2</v>
      </c>
    </row>
    <row r="127" spans="1:1">
      <c r="A127" s="102">
        <v>5</v>
      </c>
    </row>
    <row r="128" spans="1:1">
      <c r="A128" s="102">
        <v>4</v>
      </c>
    </row>
    <row r="129" spans="1:1">
      <c r="A129" s="102">
        <v>2</v>
      </c>
    </row>
    <row r="130" spans="1:1">
      <c r="A130" s="102">
        <v>6</v>
      </c>
    </row>
    <row r="131" spans="1:1">
      <c r="A131" s="102">
        <v>2</v>
      </c>
    </row>
    <row r="132" spans="1:1">
      <c r="A132" s="102">
        <v>4</v>
      </c>
    </row>
    <row r="133" spans="1:1">
      <c r="A133" s="102">
        <v>3</v>
      </c>
    </row>
    <row r="134" spans="1:1">
      <c r="A134" s="102">
        <v>3</v>
      </c>
    </row>
    <row r="135" spans="1:1">
      <c r="A135" s="102">
        <v>8</v>
      </c>
    </row>
    <row r="136" spans="1:1">
      <c r="A136" s="102">
        <v>5</v>
      </c>
    </row>
    <row r="137" spans="1:1">
      <c r="A137" s="102">
        <v>5</v>
      </c>
    </row>
    <row r="138" spans="1:1">
      <c r="A138" s="102">
        <v>4</v>
      </c>
    </row>
    <row r="139" spans="1:1">
      <c r="A139" s="102">
        <v>1</v>
      </c>
    </row>
    <row r="140" spans="1:1">
      <c r="A140" s="102">
        <v>3</v>
      </c>
    </row>
    <row r="141" spans="1:1">
      <c r="A141" s="102">
        <v>5</v>
      </c>
    </row>
    <row r="142" spans="1:1">
      <c r="A142" s="102">
        <v>2</v>
      </c>
    </row>
    <row r="143" spans="1:1">
      <c r="A143" s="102">
        <v>2</v>
      </c>
    </row>
    <row r="144" spans="1:1">
      <c r="A144" s="102">
        <v>4</v>
      </c>
    </row>
    <row r="145" spans="1:1">
      <c r="A145" s="102">
        <v>4</v>
      </c>
    </row>
    <row r="146" spans="1:1">
      <c r="A146" s="102">
        <v>5</v>
      </c>
    </row>
    <row r="147" spans="1:1">
      <c r="A147" s="102">
        <v>4</v>
      </c>
    </row>
    <row r="148" spans="1:1">
      <c r="A148" s="102">
        <v>2</v>
      </c>
    </row>
    <row r="149" spans="1:1">
      <c r="A149" s="102">
        <v>7</v>
      </c>
    </row>
    <row r="150" spans="1:1">
      <c r="A150" s="102">
        <v>7</v>
      </c>
    </row>
    <row r="151" spans="1:1">
      <c r="A151" s="102">
        <v>1</v>
      </c>
    </row>
    <row r="152" spans="1:1">
      <c r="A152" s="102">
        <v>4</v>
      </c>
    </row>
    <row r="153" spans="1:1">
      <c r="A153" s="102">
        <v>4</v>
      </c>
    </row>
    <row r="154" spans="1:1">
      <c r="A154" s="102">
        <v>6</v>
      </c>
    </row>
    <row r="155" spans="1:1">
      <c r="A155" s="102">
        <v>7</v>
      </c>
    </row>
    <row r="156" spans="1:1">
      <c r="A156" s="102">
        <v>2</v>
      </c>
    </row>
    <row r="157" spans="1:1">
      <c r="A157" s="102">
        <v>4</v>
      </c>
    </row>
    <row r="158" spans="1:1">
      <c r="A158" s="102">
        <v>5</v>
      </c>
    </row>
    <row r="159" spans="1:1">
      <c r="A159" s="102">
        <v>6</v>
      </c>
    </row>
    <row r="160" spans="1:1">
      <c r="A160" s="102">
        <v>4</v>
      </c>
    </row>
    <row r="161" spans="1:1">
      <c r="A161" s="102">
        <v>3</v>
      </c>
    </row>
    <row r="162" spans="1:1">
      <c r="A162" s="102">
        <v>3</v>
      </c>
    </row>
    <row r="163" spans="1:1">
      <c r="A163" s="102">
        <v>6</v>
      </c>
    </row>
    <row r="164" spans="1:1">
      <c r="A164" s="102">
        <v>4</v>
      </c>
    </row>
    <row r="165" spans="1:1">
      <c r="A165" s="102">
        <v>4</v>
      </c>
    </row>
    <row r="166" spans="1:1">
      <c r="A166" s="102">
        <v>2</v>
      </c>
    </row>
    <row r="167" spans="1:1">
      <c r="A167" s="102">
        <v>5</v>
      </c>
    </row>
    <row r="168" spans="1:1">
      <c r="A168" s="102">
        <v>7</v>
      </c>
    </row>
    <row r="169" spans="1:1">
      <c r="A169" s="102">
        <v>2</v>
      </c>
    </row>
    <row r="170" spans="1:1">
      <c r="A170" s="102">
        <v>4</v>
      </c>
    </row>
    <row r="171" spans="1:1">
      <c r="A171" s="102">
        <v>7</v>
      </c>
    </row>
    <row r="172" spans="1:1">
      <c r="A172" s="102">
        <v>7</v>
      </c>
    </row>
    <row r="173" spans="1:1">
      <c r="A173" s="102">
        <v>4</v>
      </c>
    </row>
    <row r="174" spans="1:1">
      <c r="A174" s="102">
        <v>2</v>
      </c>
    </row>
    <row r="175" spans="1:1">
      <c r="A175" s="102">
        <v>5</v>
      </c>
    </row>
    <row r="176" spans="1:1">
      <c r="A176" s="102">
        <v>5</v>
      </c>
    </row>
    <row r="177" spans="1:1">
      <c r="A177" s="102">
        <v>6</v>
      </c>
    </row>
    <row r="178" spans="1:1">
      <c r="A178" s="102">
        <v>4</v>
      </c>
    </row>
    <row r="179" spans="1:1">
      <c r="A179" s="102">
        <v>5</v>
      </c>
    </row>
    <row r="180" spans="1:1">
      <c r="A180" s="102">
        <v>2</v>
      </c>
    </row>
    <row r="181" spans="1:1">
      <c r="A181" s="102">
        <v>1</v>
      </c>
    </row>
    <row r="182" spans="1:1">
      <c r="A182" s="102">
        <v>4</v>
      </c>
    </row>
    <row r="183" spans="1:1">
      <c r="A183" s="102">
        <v>3</v>
      </c>
    </row>
    <row r="184" spans="1:1">
      <c r="A184" s="102">
        <v>4</v>
      </c>
    </row>
    <row r="185" spans="1:1">
      <c r="A185" s="102">
        <v>2</v>
      </c>
    </row>
    <row r="186" spans="1:1">
      <c r="A186" s="102">
        <v>4</v>
      </c>
    </row>
    <row r="187" spans="1:1">
      <c r="A187" s="102">
        <v>3</v>
      </c>
    </row>
    <row r="188" spans="1:1">
      <c r="A188" s="102">
        <v>2</v>
      </c>
    </row>
    <row r="189" spans="1:1">
      <c r="A189" s="102">
        <v>3</v>
      </c>
    </row>
    <row r="190" spans="1:1">
      <c r="A190" s="102">
        <v>3</v>
      </c>
    </row>
    <row r="191" spans="1:1">
      <c r="A191" s="102">
        <v>5</v>
      </c>
    </row>
    <row r="192" spans="1:1">
      <c r="A192" s="102">
        <v>5</v>
      </c>
    </row>
    <row r="193" spans="1:1">
      <c r="A193" s="102">
        <v>3</v>
      </c>
    </row>
    <row r="194" spans="1:1">
      <c r="A194" s="102">
        <v>4</v>
      </c>
    </row>
    <row r="195" spans="1:1">
      <c r="A195" s="102">
        <v>5</v>
      </c>
    </row>
    <row r="196" spans="1:1">
      <c r="A196" s="102">
        <v>4</v>
      </c>
    </row>
    <row r="197" spans="1:1">
      <c r="A197" s="102">
        <v>2</v>
      </c>
    </row>
    <row r="198" spans="1:1">
      <c r="A198" s="102">
        <v>2</v>
      </c>
    </row>
    <row r="199" spans="1:1">
      <c r="A199" s="102">
        <v>5</v>
      </c>
    </row>
    <row r="200" spans="1:1">
      <c r="A200" s="102">
        <v>5</v>
      </c>
    </row>
    <row r="201" spans="1:1">
      <c r="A201" s="102">
        <v>4</v>
      </c>
    </row>
    <row r="202" spans="1:1">
      <c r="A202" s="102">
        <v>6</v>
      </c>
    </row>
    <row r="203" spans="1:1">
      <c r="A203" s="102">
        <v>4</v>
      </c>
    </row>
    <row r="204" spans="1:1">
      <c r="A204" s="102">
        <v>1</v>
      </c>
    </row>
    <row r="205" spans="1:1">
      <c r="A205" s="102">
        <v>8</v>
      </c>
    </row>
    <row r="206" spans="1:1">
      <c r="A206" s="102">
        <v>3</v>
      </c>
    </row>
    <row r="207" spans="1:1">
      <c r="A207" s="102">
        <v>6</v>
      </c>
    </row>
    <row r="208" spans="1:1">
      <c r="A208" s="102">
        <v>4</v>
      </c>
    </row>
    <row r="209" spans="1:1">
      <c r="A209" s="102">
        <v>4</v>
      </c>
    </row>
    <row r="210" spans="1:1">
      <c r="A210" s="102">
        <v>10</v>
      </c>
    </row>
    <row r="211" spans="1:1">
      <c r="A211" s="102">
        <v>2</v>
      </c>
    </row>
    <row r="212" spans="1:1">
      <c r="A212" s="102">
        <v>5</v>
      </c>
    </row>
    <row r="213" spans="1:1">
      <c r="A213" s="102">
        <v>5</v>
      </c>
    </row>
    <row r="214" spans="1:1">
      <c r="A214" s="102">
        <v>5</v>
      </c>
    </row>
    <row r="215" spans="1:1">
      <c r="A215" s="102">
        <v>3</v>
      </c>
    </row>
    <row r="216" spans="1:1">
      <c r="A216" s="102">
        <v>1</v>
      </c>
    </row>
    <row r="217" spans="1:1">
      <c r="A217" s="102">
        <v>4</v>
      </c>
    </row>
    <row r="218" spans="1:1">
      <c r="A218" s="102">
        <v>6</v>
      </c>
    </row>
    <row r="219" spans="1:1">
      <c r="A219" s="102">
        <v>2</v>
      </c>
    </row>
    <row r="220" spans="1:1">
      <c r="A220" s="102">
        <v>6</v>
      </c>
    </row>
    <row r="221" spans="1:1">
      <c r="A221" s="102">
        <v>2</v>
      </c>
    </row>
    <row r="222" spans="1:1">
      <c r="A222" s="102">
        <v>3</v>
      </c>
    </row>
    <row r="223" spans="1:1">
      <c r="A223" s="102">
        <v>3</v>
      </c>
    </row>
    <row r="224" spans="1:1">
      <c r="A224" s="102">
        <v>5</v>
      </c>
    </row>
    <row r="225" spans="1:1">
      <c r="A225" s="102">
        <v>5</v>
      </c>
    </row>
    <row r="226" spans="1:1">
      <c r="A226" s="102">
        <v>4</v>
      </c>
    </row>
    <row r="227" spans="1:1">
      <c r="A227" s="102">
        <v>4</v>
      </c>
    </row>
    <row r="228" spans="1:1">
      <c r="A228" s="102">
        <v>4</v>
      </c>
    </row>
    <row r="229" spans="1:1">
      <c r="A229" s="102">
        <v>7</v>
      </c>
    </row>
    <row r="230" spans="1:1">
      <c r="A230" s="102">
        <v>5</v>
      </c>
    </row>
    <row r="231" spans="1:1">
      <c r="A231" s="102">
        <v>3</v>
      </c>
    </row>
    <row r="232" spans="1:1">
      <c r="A232" s="102">
        <v>2</v>
      </c>
    </row>
    <row r="233" spans="1:1">
      <c r="A233" s="102">
        <v>4</v>
      </c>
    </row>
    <row r="234" spans="1:1">
      <c r="A234" s="102">
        <v>1</v>
      </c>
    </row>
    <row r="235" spans="1:1">
      <c r="A235" s="102">
        <v>4</v>
      </c>
    </row>
    <row r="236" spans="1:1">
      <c r="A236" s="102">
        <v>3</v>
      </c>
    </row>
    <row r="237" spans="1:1">
      <c r="A237" s="102">
        <v>1</v>
      </c>
    </row>
    <row r="238" spans="1:1">
      <c r="A238" s="102">
        <v>7</v>
      </c>
    </row>
    <row r="239" spans="1:1">
      <c r="A239" s="102">
        <v>1</v>
      </c>
    </row>
    <row r="240" spans="1:1">
      <c r="A240" s="102">
        <v>1</v>
      </c>
    </row>
    <row r="241" spans="1:1">
      <c r="A241" s="102">
        <v>4</v>
      </c>
    </row>
    <row r="242" spans="1:1">
      <c r="A242" s="102">
        <v>6</v>
      </c>
    </row>
    <row r="243" spans="1:1">
      <c r="A243" s="102">
        <v>7</v>
      </c>
    </row>
    <row r="244" spans="1:1">
      <c r="A244" s="102">
        <v>5</v>
      </c>
    </row>
    <row r="245" spans="1:1">
      <c r="A245" s="102">
        <v>2</v>
      </c>
    </row>
    <row r="246" spans="1:1">
      <c r="A246" s="102">
        <v>1</v>
      </c>
    </row>
    <row r="247" spans="1:1">
      <c r="A247" s="102">
        <v>3</v>
      </c>
    </row>
    <row r="248" spans="1:1">
      <c r="A248" s="102">
        <v>5</v>
      </c>
    </row>
    <row r="249" spans="1:1">
      <c r="A249" s="102">
        <v>5</v>
      </c>
    </row>
    <row r="250" spans="1:1">
      <c r="A250" s="102">
        <v>4</v>
      </c>
    </row>
    <row r="251" spans="1:1">
      <c r="A251" s="102">
        <v>5</v>
      </c>
    </row>
    <row r="252" spans="1:1">
      <c r="A252" s="102">
        <v>3</v>
      </c>
    </row>
    <row r="253" spans="1:1">
      <c r="A253" s="102">
        <v>6</v>
      </c>
    </row>
    <row r="254" spans="1:1">
      <c r="A254" s="102">
        <v>4</v>
      </c>
    </row>
    <row r="255" spans="1:1">
      <c r="A255" s="102">
        <v>5</v>
      </c>
    </row>
    <row r="256" spans="1:1">
      <c r="A256" s="102">
        <v>6</v>
      </c>
    </row>
    <row r="257" spans="1:1">
      <c r="A257" s="102">
        <v>3</v>
      </c>
    </row>
    <row r="258" spans="1:1">
      <c r="A258" s="102">
        <v>4</v>
      </c>
    </row>
    <row r="259" spans="1:1">
      <c r="A259" s="102">
        <v>1</v>
      </c>
    </row>
    <row r="260" spans="1:1">
      <c r="A260" s="102">
        <v>4</v>
      </c>
    </row>
    <row r="261" spans="1:1">
      <c r="A261" s="102">
        <v>4</v>
      </c>
    </row>
    <row r="262" spans="1:1">
      <c r="A262" s="102">
        <v>5</v>
      </c>
    </row>
    <row r="263" spans="1:1">
      <c r="A263" s="102">
        <v>3</v>
      </c>
    </row>
    <row r="264" spans="1:1">
      <c r="A264" s="102">
        <v>1</v>
      </c>
    </row>
    <row r="265" spans="1:1">
      <c r="A265" s="102">
        <v>2</v>
      </c>
    </row>
    <row r="266" spans="1:1">
      <c r="A266" s="102">
        <v>7</v>
      </c>
    </row>
    <row r="267" spans="1:1">
      <c r="A267" s="102">
        <v>2</v>
      </c>
    </row>
    <row r="268" spans="1:1">
      <c r="A268" s="102">
        <v>3</v>
      </c>
    </row>
    <row r="269" spans="1:1">
      <c r="A269" s="102">
        <v>4</v>
      </c>
    </row>
    <row r="270" spans="1:1">
      <c r="A270" s="102">
        <v>5</v>
      </c>
    </row>
    <row r="271" spans="1:1">
      <c r="A271" s="102">
        <v>5</v>
      </c>
    </row>
    <row r="272" spans="1:1">
      <c r="A272" s="102">
        <v>4</v>
      </c>
    </row>
    <row r="273" spans="1:1">
      <c r="A273" s="102">
        <v>4</v>
      </c>
    </row>
    <row r="274" spans="1:1">
      <c r="A274" s="102">
        <v>4</v>
      </c>
    </row>
    <row r="275" spans="1:1">
      <c r="A275" s="102">
        <v>2</v>
      </c>
    </row>
    <row r="276" spans="1:1">
      <c r="A276" s="102">
        <v>8</v>
      </c>
    </row>
    <row r="277" spans="1:1">
      <c r="A277" s="102">
        <v>4</v>
      </c>
    </row>
    <row r="278" spans="1:1">
      <c r="A278" s="102">
        <v>2</v>
      </c>
    </row>
    <row r="279" spans="1:1">
      <c r="A279" s="102">
        <v>3</v>
      </c>
    </row>
    <row r="280" spans="1:1">
      <c r="A280" s="102">
        <v>3</v>
      </c>
    </row>
    <row r="281" spans="1:1">
      <c r="A281" s="102">
        <v>3</v>
      </c>
    </row>
    <row r="282" spans="1:1">
      <c r="A282" s="102">
        <v>6</v>
      </c>
    </row>
    <row r="283" spans="1:1">
      <c r="A283" s="102">
        <v>2</v>
      </c>
    </row>
    <row r="284" spans="1:1">
      <c r="A284" s="102">
        <v>5</v>
      </c>
    </row>
    <row r="285" spans="1:1">
      <c r="A285" s="102">
        <v>5</v>
      </c>
    </row>
    <row r="286" spans="1:1">
      <c r="A286" s="102">
        <v>2</v>
      </c>
    </row>
    <row r="287" spans="1:1">
      <c r="A287" s="102">
        <v>3</v>
      </c>
    </row>
    <row r="288" spans="1:1">
      <c r="A288" s="102">
        <v>3</v>
      </c>
    </row>
    <row r="289" spans="1:1">
      <c r="A289" s="102">
        <v>5</v>
      </c>
    </row>
    <row r="290" spans="1:1">
      <c r="A290" s="102">
        <v>3</v>
      </c>
    </row>
    <row r="291" spans="1:1">
      <c r="A291" s="102">
        <v>4</v>
      </c>
    </row>
    <row r="292" spans="1:1">
      <c r="A292" s="102">
        <v>7</v>
      </c>
    </row>
    <row r="293" spans="1:1">
      <c r="A293" s="102">
        <v>6</v>
      </c>
    </row>
    <row r="294" spans="1:1">
      <c r="A294" s="102">
        <v>2</v>
      </c>
    </row>
    <row r="295" spans="1:1">
      <c r="A295" s="102">
        <v>7</v>
      </c>
    </row>
    <row r="296" spans="1:1">
      <c r="A296" s="102">
        <v>4</v>
      </c>
    </row>
    <row r="297" spans="1:1">
      <c r="A297" s="102">
        <v>3</v>
      </c>
    </row>
    <row r="298" spans="1:1">
      <c r="A298" s="102">
        <v>2</v>
      </c>
    </row>
    <row r="299" spans="1:1">
      <c r="A299" s="102">
        <v>4</v>
      </c>
    </row>
    <row r="300" spans="1:1">
      <c r="A300" s="102">
        <v>3</v>
      </c>
    </row>
    <row r="301" spans="1:1">
      <c r="A301" s="102">
        <v>4</v>
      </c>
    </row>
    <row r="302" spans="1:1">
      <c r="A302" s="102">
        <v>9</v>
      </c>
    </row>
    <row r="303" spans="1:1">
      <c r="A303" s="102">
        <v>3</v>
      </c>
    </row>
    <row r="304" spans="1:1">
      <c r="A304" s="102">
        <v>6</v>
      </c>
    </row>
    <row r="305" spans="1:1">
      <c r="A305" s="102">
        <v>5</v>
      </c>
    </row>
    <row r="306" spans="1:1">
      <c r="A306" s="102">
        <v>4</v>
      </c>
    </row>
    <row r="307" spans="1:1">
      <c r="A307" s="102">
        <v>2</v>
      </c>
    </row>
    <row r="308" spans="1:1">
      <c r="A308" s="102">
        <v>5</v>
      </c>
    </row>
    <row r="309" spans="1:1">
      <c r="A309" s="102">
        <v>9</v>
      </c>
    </row>
    <row r="310" spans="1:1">
      <c r="A310" s="102">
        <v>5</v>
      </c>
    </row>
    <row r="311" spans="1:1">
      <c r="A311" s="102">
        <v>8</v>
      </c>
    </row>
    <row r="312" spans="1:1">
      <c r="A312" s="102">
        <v>7</v>
      </c>
    </row>
    <row r="313" spans="1:1">
      <c r="A313" s="102">
        <v>5</v>
      </c>
    </row>
    <row r="314" spans="1:1">
      <c r="A314" s="102">
        <v>5</v>
      </c>
    </row>
    <row r="315" spans="1:1">
      <c r="A315" s="102">
        <v>4</v>
      </c>
    </row>
    <row r="316" spans="1:1">
      <c r="A316" s="102">
        <v>3</v>
      </c>
    </row>
    <row r="317" spans="1:1">
      <c r="A317" s="102">
        <v>6</v>
      </c>
    </row>
    <row r="318" spans="1:1">
      <c r="A318" s="102">
        <v>9</v>
      </c>
    </row>
    <row r="319" spans="1:1">
      <c r="A319" s="102">
        <v>4</v>
      </c>
    </row>
    <row r="320" spans="1:1">
      <c r="A320" s="102">
        <v>5</v>
      </c>
    </row>
    <row r="321" spans="1:1">
      <c r="A321" s="102">
        <v>5</v>
      </c>
    </row>
    <row r="322" spans="1:1">
      <c r="A322" s="102">
        <v>2</v>
      </c>
    </row>
    <row r="323" spans="1:1">
      <c r="A323" s="102">
        <v>2</v>
      </c>
    </row>
    <row r="324" spans="1:1">
      <c r="A324" s="102">
        <v>5</v>
      </c>
    </row>
    <row r="325" spans="1:1">
      <c r="A325" s="102">
        <v>4</v>
      </c>
    </row>
    <row r="326" spans="1:1">
      <c r="A326" s="102">
        <v>10</v>
      </c>
    </row>
    <row r="327" spans="1:1">
      <c r="A327" s="102">
        <v>6</v>
      </c>
    </row>
    <row r="328" spans="1:1">
      <c r="A328" s="102">
        <v>2</v>
      </c>
    </row>
    <row r="329" spans="1:1">
      <c r="A329" s="102">
        <v>3</v>
      </c>
    </row>
    <row r="330" spans="1:1">
      <c r="A330" s="102">
        <v>6</v>
      </c>
    </row>
    <row r="331" spans="1:1">
      <c r="A331" s="102">
        <v>5</v>
      </c>
    </row>
    <row r="332" spans="1:1">
      <c r="A332" s="102">
        <v>4</v>
      </c>
    </row>
    <row r="333" spans="1:1">
      <c r="A333" s="102">
        <v>6</v>
      </c>
    </row>
    <row r="334" spans="1:1">
      <c r="A334" s="102">
        <v>3</v>
      </c>
    </row>
    <row r="335" spans="1:1">
      <c r="A335" s="102">
        <v>4</v>
      </c>
    </row>
    <row r="336" spans="1:1">
      <c r="A336" s="102">
        <v>4</v>
      </c>
    </row>
    <row r="337" spans="1:1">
      <c r="A337" s="102">
        <v>4</v>
      </c>
    </row>
    <row r="338" spans="1:1">
      <c r="A338" s="102">
        <v>7</v>
      </c>
    </row>
    <row r="339" spans="1:1">
      <c r="A339" s="102">
        <v>5</v>
      </c>
    </row>
    <row r="340" spans="1:1">
      <c r="A340" s="102">
        <v>2</v>
      </c>
    </row>
    <row r="341" spans="1:1">
      <c r="A341" s="102">
        <v>3</v>
      </c>
    </row>
    <row r="342" spans="1:1">
      <c r="A342" s="102">
        <v>3</v>
      </c>
    </row>
    <row r="343" spans="1:1">
      <c r="A343" s="102">
        <v>3</v>
      </c>
    </row>
    <row r="344" spans="1:1">
      <c r="A344" s="102">
        <v>3</v>
      </c>
    </row>
    <row r="345" spans="1:1">
      <c r="A345" s="102">
        <v>5</v>
      </c>
    </row>
    <row r="346" spans="1:1">
      <c r="A346" s="102">
        <v>4</v>
      </c>
    </row>
    <row r="347" spans="1:1">
      <c r="A347" s="102">
        <v>6</v>
      </c>
    </row>
    <row r="348" spans="1:1">
      <c r="A348" s="102">
        <v>4</v>
      </c>
    </row>
    <row r="349" spans="1:1">
      <c r="A349" s="102">
        <v>4</v>
      </c>
    </row>
    <row r="350" spans="1:1">
      <c r="A350" s="102">
        <v>3</v>
      </c>
    </row>
    <row r="351" spans="1:1">
      <c r="A351" s="102">
        <v>4</v>
      </c>
    </row>
    <row r="352" spans="1:1">
      <c r="A352" s="102">
        <v>3</v>
      </c>
    </row>
    <row r="353" spans="1:1">
      <c r="A353" s="102">
        <v>9</v>
      </c>
    </row>
    <row r="354" spans="1:1">
      <c r="A354" s="102">
        <v>6</v>
      </c>
    </row>
    <row r="355" spans="1:1">
      <c r="A355" s="102">
        <v>4</v>
      </c>
    </row>
    <row r="356" spans="1:1">
      <c r="A356" s="102">
        <v>4</v>
      </c>
    </row>
    <row r="357" spans="1:1">
      <c r="A357" s="102">
        <v>2</v>
      </c>
    </row>
    <row r="358" spans="1:1">
      <c r="A358" s="102">
        <v>3</v>
      </c>
    </row>
    <row r="359" spans="1:1">
      <c r="A359" s="102">
        <v>6</v>
      </c>
    </row>
    <row r="360" spans="1:1">
      <c r="A360" s="102">
        <v>5</v>
      </c>
    </row>
    <row r="361" spans="1:1">
      <c r="A361" s="102">
        <v>2</v>
      </c>
    </row>
    <row r="362" spans="1:1">
      <c r="A362" s="102">
        <v>4</v>
      </c>
    </row>
    <row r="363" spans="1:1">
      <c r="A363" s="102">
        <v>3</v>
      </c>
    </row>
    <row r="364" spans="1:1">
      <c r="A364" s="102">
        <v>6</v>
      </c>
    </row>
    <row r="365" spans="1:1">
      <c r="A365" s="102">
        <v>1</v>
      </c>
    </row>
    <row r="366" spans="1:1">
      <c r="A366" s="102">
        <v>4</v>
      </c>
    </row>
    <row r="367" spans="1:1">
      <c r="A367" s="102">
        <v>7</v>
      </c>
    </row>
    <row r="368" spans="1:1">
      <c r="A368" s="102">
        <v>3</v>
      </c>
    </row>
    <row r="369" spans="1:1">
      <c r="A369" s="102">
        <v>3</v>
      </c>
    </row>
    <row r="370" spans="1:1">
      <c r="A370" s="102">
        <v>2</v>
      </c>
    </row>
    <row r="371" spans="1:1">
      <c r="A371" s="102">
        <v>7</v>
      </c>
    </row>
    <row r="372" spans="1:1">
      <c r="A372" s="102">
        <v>5</v>
      </c>
    </row>
    <row r="373" spans="1:1">
      <c r="A373" s="102">
        <v>3</v>
      </c>
    </row>
    <row r="374" spans="1:1">
      <c r="A374" s="102">
        <v>3</v>
      </c>
    </row>
    <row r="375" spans="1:1">
      <c r="A375" s="102">
        <v>3</v>
      </c>
    </row>
    <row r="376" spans="1:1">
      <c r="A376" s="102">
        <v>2</v>
      </c>
    </row>
    <row r="377" spans="1:1">
      <c r="A377" s="102">
        <v>2</v>
      </c>
    </row>
    <row r="378" spans="1:1">
      <c r="A378" s="102">
        <v>4</v>
      </c>
    </row>
    <row r="379" spans="1:1">
      <c r="A379" s="102">
        <v>2</v>
      </c>
    </row>
    <row r="380" spans="1:1">
      <c r="A380" s="102">
        <v>3</v>
      </c>
    </row>
    <row r="381" spans="1:1">
      <c r="A381" s="102">
        <v>5</v>
      </c>
    </row>
    <row r="382" spans="1:1">
      <c r="A382" s="102">
        <v>4</v>
      </c>
    </row>
    <row r="383" spans="1:1">
      <c r="A383" s="102">
        <v>4</v>
      </c>
    </row>
    <row r="384" spans="1:1">
      <c r="A384" s="102">
        <v>4</v>
      </c>
    </row>
    <row r="385" spans="1:1">
      <c r="A385" s="102">
        <v>2</v>
      </c>
    </row>
    <row r="386" spans="1:1">
      <c r="A386" s="102">
        <v>4</v>
      </c>
    </row>
    <row r="387" spans="1:1">
      <c r="A387" s="102">
        <v>2</v>
      </c>
    </row>
    <row r="388" spans="1:1">
      <c r="A388" s="102">
        <v>2</v>
      </c>
    </row>
    <row r="389" spans="1:1">
      <c r="A389" s="102">
        <v>3</v>
      </c>
    </row>
    <row r="390" spans="1:1">
      <c r="A390" s="102">
        <v>2</v>
      </c>
    </row>
    <row r="391" spans="1:1">
      <c r="A391" s="102">
        <v>2</v>
      </c>
    </row>
    <row r="392" spans="1:1">
      <c r="A392" s="102">
        <v>3</v>
      </c>
    </row>
    <row r="393" spans="1:1">
      <c r="A393" s="102">
        <v>3</v>
      </c>
    </row>
    <row r="394" spans="1:1">
      <c r="A394" s="102">
        <v>9</v>
      </c>
    </row>
    <row r="395" spans="1:1">
      <c r="A395" s="102">
        <v>3</v>
      </c>
    </row>
    <row r="396" spans="1:1">
      <c r="A396" s="102">
        <v>5</v>
      </c>
    </row>
    <row r="397" spans="1:1">
      <c r="A397" s="102">
        <v>4</v>
      </c>
    </row>
    <row r="398" spans="1:1">
      <c r="A398" s="102">
        <v>3</v>
      </c>
    </row>
    <row r="399" spans="1:1">
      <c r="A399" s="102">
        <v>2</v>
      </c>
    </row>
    <row r="400" spans="1:1">
      <c r="A400" s="102">
        <v>6</v>
      </c>
    </row>
    <row r="401" spans="1:1">
      <c r="A401" s="102">
        <v>4</v>
      </c>
    </row>
  </sheetData>
  <mergeCells count="4">
    <mergeCell ref="B2:C2"/>
    <mergeCell ref="B15:C15"/>
    <mergeCell ref="B11:C11"/>
    <mergeCell ref="E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3A15-F25B-F148-95E0-11E346DBC4A0}">
  <dimension ref="A1:H15"/>
  <sheetViews>
    <sheetView zoomScale="142" workbookViewId="0">
      <selection activeCell="D11" sqref="D11"/>
    </sheetView>
  </sheetViews>
  <sheetFormatPr baseColWidth="10" defaultRowHeight="16"/>
  <cols>
    <col min="2" max="2" width="15" customWidth="1"/>
    <col min="4" max="4" width="12.6640625" customWidth="1"/>
    <col min="5" max="5" width="31.5" bestFit="1" customWidth="1"/>
    <col min="6" max="6" width="16.6640625" bestFit="1" customWidth="1"/>
    <col min="8" max="8" width="16.6640625" bestFit="1" customWidth="1"/>
  </cols>
  <sheetData>
    <row r="1" spans="1:8" ht="18">
      <c r="A1" t="s">
        <v>105</v>
      </c>
      <c r="B1" s="88" t="s">
        <v>121</v>
      </c>
      <c r="F1" s="88"/>
    </row>
    <row r="2" spans="1:8" ht="17" thickBot="1">
      <c r="B2" s="103" t="s">
        <v>103</v>
      </c>
      <c r="C2" s="103"/>
      <c r="F2" s="103" t="s">
        <v>120</v>
      </c>
      <c r="G2" s="103"/>
    </row>
    <row r="3" spans="1:8">
      <c r="B3" s="1" t="s">
        <v>119</v>
      </c>
      <c r="C3" s="7">
        <v>46</v>
      </c>
      <c r="F3" s="1" t="s">
        <v>119</v>
      </c>
      <c r="G3" s="7">
        <v>80</v>
      </c>
    </row>
    <row r="4" spans="1:8">
      <c r="B4" s="1" t="s">
        <v>118</v>
      </c>
      <c r="C4" s="92">
        <v>2.4</v>
      </c>
      <c r="F4" s="1" t="s">
        <v>13</v>
      </c>
      <c r="G4" s="7">
        <v>62</v>
      </c>
    </row>
    <row r="5" spans="1:8">
      <c r="B5" s="1" t="s">
        <v>117</v>
      </c>
      <c r="C5" s="7">
        <v>0.13</v>
      </c>
      <c r="F5" s="1" t="s">
        <v>116</v>
      </c>
      <c r="G5" s="7">
        <v>0.86</v>
      </c>
    </row>
    <row r="6" spans="1:8">
      <c r="B6" s="1" t="s">
        <v>115</v>
      </c>
      <c r="C6" s="7">
        <v>2.35</v>
      </c>
      <c r="F6" s="1" t="s">
        <v>114</v>
      </c>
      <c r="G6" s="34">
        <v>0.01</v>
      </c>
    </row>
    <row r="7" spans="1:8">
      <c r="B7" s="1" t="s">
        <v>114</v>
      </c>
      <c r="C7" s="34">
        <v>0.1</v>
      </c>
    </row>
    <row r="8" spans="1:8">
      <c r="G8" s="5" t="s">
        <v>109</v>
      </c>
    </row>
    <row r="9" spans="1:8">
      <c r="B9" s="1" t="s">
        <v>113</v>
      </c>
      <c r="C9" s="91">
        <f>(C4-C6)/(C5/SQRT(C3))</f>
        <v>2.6085884550481708</v>
      </c>
      <c r="D9" t="s">
        <v>112</v>
      </c>
      <c r="F9" s="1" t="s">
        <v>108</v>
      </c>
      <c r="G9" s="90">
        <f>2*MIN(G10,G11)</f>
        <v>5.2860994843574982E-2</v>
      </c>
      <c r="H9" t="str">
        <f>IF(G9&lt;$G$6,"REJECT H0", "FAIL TO REJECT H0")</f>
        <v>FAIL TO REJECT H0</v>
      </c>
    </row>
    <row r="10" spans="1:8">
      <c r="B10" s="1" t="s">
        <v>111</v>
      </c>
      <c r="C10" s="89">
        <f>C3-1</f>
        <v>45</v>
      </c>
      <c r="F10" s="1" t="s">
        <v>107</v>
      </c>
      <c r="G10" s="90">
        <f>_xlfn.BINOM.DIST(G4,G3,G5,1)</f>
        <v>2.6430497421787491E-2</v>
      </c>
      <c r="H10" t="str">
        <f>IF(G10&lt;$G$6,"REJECT H0", "FAIL TO REJECT H0")</f>
        <v>FAIL TO REJECT H0</v>
      </c>
    </row>
    <row r="11" spans="1:8">
      <c r="F11" s="1" t="s">
        <v>106</v>
      </c>
      <c r="G11" s="90">
        <f>1-_xlfn.BINOM.DIST(G4-1,G3,G5,1)</f>
        <v>0.9867429349923269</v>
      </c>
      <c r="H11" t="str">
        <f>IF(G11&lt;$G$6,"REJECT H0", "FAIL TO REJECT H0")</f>
        <v>FAIL TO REJECT H0</v>
      </c>
    </row>
    <row r="12" spans="1:8">
      <c r="C12" s="5" t="s">
        <v>110</v>
      </c>
      <c r="D12" s="5" t="s">
        <v>109</v>
      </c>
    </row>
    <row r="13" spans="1:8">
      <c r="B13" s="1" t="s">
        <v>108</v>
      </c>
      <c r="C13" s="89" t="str">
        <f>"±"&amp;ROUND(_xlfn.T.INV.2T(C7,C10),5)</f>
        <v>±1.67943</v>
      </c>
      <c r="D13" s="89">
        <f>_xlfn.T.DIST.2T(ABS(C9),C10)</f>
        <v>1.2296083587861335E-2</v>
      </c>
      <c r="E13" t="str">
        <f>IF(ABS(C9)&gt;ABS(ROUND(_xlfn.T.INV.2T(C7,C10),5)),"REJECT H0","FAIL TO REJECT H0")</f>
        <v>REJECT H0</v>
      </c>
      <c r="F13" t="str">
        <f>IF(D13&lt;$C$7,"REJECT H0", "FAIL TO REJECT H0")</f>
        <v>REJECT H0</v>
      </c>
    </row>
    <row r="14" spans="1:8">
      <c r="B14" s="1" t="s">
        <v>107</v>
      </c>
      <c r="C14" s="89">
        <f>_xlfn.T.INV(C7,C10)</f>
        <v>-1.3006493322502373</v>
      </c>
      <c r="D14" s="89">
        <f>_xlfn.T.DIST(C9,C10,1)</f>
        <v>0.99385195820606931</v>
      </c>
      <c r="E14" t="str">
        <f>IF(C9&lt;C14,"REJECT H0", "FAIL TO REJECT H0")</f>
        <v>FAIL TO REJECT H0</v>
      </c>
      <c r="F14" t="str">
        <f>IF(D14&lt;$C$7,"REJECT H0", "FAIL TO REJECT H0")</f>
        <v>FAIL TO REJECT H0</v>
      </c>
    </row>
    <row r="15" spans="1:8">
      <c r="B15" s="1" t="s">
        <v>106</v>
      </c>
      <c r="C15" s="89">
        <f>_xlfn.T.INV(1-C7,C10)</f>
        <v>1.3006493322502373</v>
      </c>
      <c r="D15" s="89">
        <f>_xlfn.T.DIST.RT(C9,C10)</f>
        <v>6.1480417939306677E-3</v>
      </c>
      <c r="E15" t="str">
        <f>IF(C9&gt;C15,"REJECT H0", "FAIL TO REJECT H0")</f>
        <v>REJECT H0</v>
      </c>
      <c r="F15" t="str">
        <f>IF(D15&lt;$C$7,"REJECT H0", "FAIL TO REJECT H0")</f>
        <v>REJECT H0</v>
      </c>
    </row>
  </sheetData>
  <mergeCells count="2">
    <mergeCell ref="B2:C2"/>
    <mergeCell ref="F2:G2"/>
  </mergeCells>
  <conditionalFormatting sqref="E13:F15">
    <cfRule type="cellIs" dxfId="17" priority="4" operator="equal">
      <formula>"REJECT H0"</formula>
    </cfRule>
    <cfRule type="cellIs" dxfId="16" priority="5" operator="equal">
      <formula>"FAIL TO REJECT H0"</formula>
    </cfRule>
    <cfRule type="cellIs" dxfId="15" priority="6" operator="equal">
      <formula>"RAIL TO REJECT H0"</formula>
    </cfRule>
  </conditionalFormatting>
  <conditionalFormatting sqref="H9:H11">
    <cfRule type="cellIs" dxfId="14" priority="1" operator="equal">
      <formula>"REJECT H0"</formula>
    </cfRule>
    <cfRule type="cellIs" dxfId="13" priority="2" operator="equal">
      <formula>"FAIL TO REJECT H0"</formula>
    </cfRule>
    <cfRule type="cellIs" dxfId="12" priority="3" operator="equal">
      <formula>"RAIL TO REJECT H0"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DAB-CDD7-314C-8A56-2AD398B29CA8}">
  <dimension ref="A1:M19"/>
  <sheetViews>
    <sheetView tabSelected="1" workbookViewId="0">
      <selection activeCell="H5" sqref="H5"/>
    </sheetView>
  </sheetViews>
  <sheetFormatPr baseColWidth="10" defaultRowHeight="16"/>
  <cols>
    <col min="3" max="3" width="15" customWidth="1"/>
    <col min="9" max="9" width="17.6640625" customWidth="1"/>
  </cols>
  <sheetData>
    <row r="1" spans="1:13" ht="18">
      <c r="A1" t="s">
        <v>134</v>
      </c>
      <c r="B1" t="s">
        <v>133</v>
      </c>
      <c r="C1" s="88" t="s">
        <v>132</v>
      </c>
      <c r="G1" s="88"/>
    </row>
    <row r="2" spans="1:13" ht="17" thickBot="1">
      <c r="A2">
        <v>202</v>
      </c>
      <c r="B2">
        <v>189</v>
      </c>
      <c r="C2" s="103" t="s">
        <v>131</v>
      </c>
      <c r="D2" s="103"/>
      <c r="E2" s="103"/>
      <c r="G2" s="103" t="s">
        <v>130</v>
      </c>
      <c r="H2" s="103"/>
      <c r="I2" s="103"/>
      <c r="K2" s="103" t="s">
        <v>129</v>
      </c>
      <c r="L2" s="103"/>
      <c r="M2" s="103"/>
    </row>
    <row r="3" spans="1:13">
      <c r="A3">
        <v>202</v>
      </c>
      <c r="B3">
        <v>179</v>
      </c>
      <c r="D3" s="5" t="s">
        <v>128</v>
      </c>
      <c r="E3" s="5" t="s">
        <v>127</v>
      </c>
      <c r="H3" s="5" t="s">
        <v>128</v>
      </c>
      <c r="I3" s="5" t="s">
        <v>127</v>
      </c>
      <c r="L3" s="5" t="s">
        <v>128</v>
      </c>
      <c r="M3" s="5" t="s">
        <v>127</v>
      </c>
    </row>
    <row r="4" spans="1:13">
      <c r="A4">
        <v>220</v>
      </c>
      <c r="B4">
        <v>203</v>
      </c>
      <c r="C4" s="1" t="s">
        <v>1</v>
      </c>
      <c r="D4" s="98">
        <v>2.72</v>
      </c>
      <c r="E4" s="98">
        <v>2.88</v>
      </c>
      <c r="G4" s="1" t="s">
        <v>1</v>
      </c>
      <c r="H4" s="98">
        <f>AVERAGE(A:A)</f>
        <v>203.8</v>
      </c>
      <c r="I4" s="98">
        <f>AVERAGE(B:B)</f>
        <v>184.7</v>
      </c>
      <c r="K4" s="1" t="s">
        <v>119</v>
      </c>
      <c r="L4" s="7">
        <v>750</v>
      </c>
      <c r="M4" s="7">
        <v>750</v>
      </c>
    </row>
    <row r="5" spans="1:13">
      <c r="A5">
        <v>207</v>
      </c>
      <c r="B5">
        <v>192</v>
      </c>
      <c r="C5" s="1" t="s">
        <v>45</v>
      </c>
      <c r="D5" s="98">
        <v>0.2</v>
      </c>
      <c r="E5" s="98">
        <v>0.11</v>
      </c>
      <c r="G5" s="1" t="s">
        <v>45</v>
      </c>
      <c r="H5" s="97">
        <f>_xlfn.STDEV.S(A:A)</f>
        <v>15.215489184088399</v>
      </c>
      <c r="I5" s="97">
        <f>_xlfn.STDEV.S(B:B)</f>
        <v>13.565069521057056</v>
      </c>
      <c r="K5" s="1" t="s">
        <v>13</v>
      </c>
      <c r="L5" s="7">
        <v>135</v>
      </c>
      <c r="M5" s="7">
        <v>90</v>
      </c>
    </row>
    <row r="6" spans="1:13">
      <c r="A6">
        <v>194</v>
      </c>
      <c r="B6">
        <v>172</v>
      </c>
      <c r="C6" s="1" t="s">
        <v>119</v>
      </c>
      <c r="D6" s="7">
        <v>22</v>
      </c>
      <c r="E6" s="7">
        <v>22</v>
      </c>
      <c r="G6" s="1" t="s">
        <v>119</v>
      </c>
      <c r="H6" s="7">
        <f>COUNT(A:A)</f>
        <v>10</v>
      </c>
      <c r="K6" s="1" t="s">
        <v>114</v>
      </c>
      <c r="L6" s="34">
        <v>0.01</v>
      </c>
    </row>
    <row r="7" spans="1:13">
      <c r="A7">
        <v>177</v>
      </c>
      <c r="B7">
        <v>161</v>
      </c>
      <c r="C7" s="1" t="s">
        <v>114</v>
      </c>
      <c r="D7" s="34">
        <v>0.01</v>
      </c>
      <c r="G7" s="1" t="s">
        <v>114</v>
      </c>
      <c r="H7" s="34">
        <v>0.05</v>
      </c>
    </row>
    <row r="8" spans="1:13">
      <c r="A8">
        <v>193</v>
      </c>
      <c r="B8">
        <v>174</v>
      </c>
      <c r="C8" s="1" t="s">
        <v>126</v>
      </c>
      <c r="D8">
        <f>D4-E4</f>
        <v>-0.1599999999999997</v>
      </c>
      <c r="G8" s="1" t="s">
        <v>125</v>
      </c>
      <c r="H8" s="7">
        <v>0</v>
      </c>
      <c r="L8" s="5" t="s">
        <v>109</v>
      </c>
    </row>
    <row r="9" spans="1:13">
      <c r="A9">
        <v>202</v>
      </c>
      <c r="B9">
        <v>187</v>
      </c>
      <c r="C9" s="1" t="s">
        <v>5</v>
      </c>
      <c r="D9">
        <f>D5^2</f>
        <v>4.0000000000000008E-2</v>
      </c>
      <c r="E9">
        <f>E5^2</f>
        <v>1.21E-2</v>
      </c>
      <c r="G9" s="1" t="s">
        <v>124</v>
      </c>
      <c r="H9" s="95">
        <f>H4-I4</f>
        <v>19.100000000000023</v>
      </c>
      <c r="K9" s="1" t="s">
        <v>108</v>
      </c>
      <c r="L9" s="90">
        <f>2*MIN(L10,L11)</f>
        <v>1.4248790497108921E-3</v>
      </c>
    </row>
    <row r="10" spans="1:13">
      <c r="A10">
        <v>208</v>
      </c>
      <c r="B10">
        <v>186</v>
      </c>
      <c r="G10" s="1" t="s">
        <v>123</v>
      </c>
      <c r="H10" s="90">
        <f>CORREL(A:A,B:B)</f>
        <v>0.94875489843469185</v>
      </c>
      <c r="K10" s="1" t="s">
        <v>107</v>
      </c>
      <c r="L10" s="90">
        <f>_xlfn.HYPGEOM.DIST(L5,L5+M5,L4,L4+M4,1)</f>
        <v>0.99957413166094855</v>
      </c>
    </row>
    <row r="11" spans="1:13">
      <c r="A11">
        <v>233</v>
      </c>
      <c r="B11">
        <v>204</v>
      </c>
      <c r="C11" s="1" t="s">
        <v>113</v>
      </c>
      <c r="D11" s="94">
        <f>(D4-E4)/SQRT(D9/D6+E9/E6)</f>
        <v>-3.287853525651955</v>
      </c>
      <c r="G11" s="1" t="s">
        <v>122</v>
      </c>
      <c r="H11" s="90">
        <f>SQRT((H5^2+I5^2-2*H10*H5*I5))</f>
        <v>4.8864893101057465</v>
      </c>
      <c r="K11" s="1" t="s">
        <v>106</v>
      </c>
      <c r="L11" s="90">
        <f>1-_xlfn.HYPGEOM.DIST(L5-1,L5+M5,L4,L4+M4,1)</f>
        <v>7.1243952485544604E-4</v>
      </c>
    </row>
    <row r="12" spans="1:13">
      <c r="C12" s="1" t="s">
        <v>111</v>
      </c>
      <c r="D12" s="94">
        <f>ROUNDDOWN(((D9/D6+E9/E6)^2)/((D9/D6)^2/(D6-1)+(E9/E6)^2/(E6-1)),0)</f>
        <v>32</v>
      </c>
    </row>
    <row r="13" spans="1:13">
      <c r="G13" s="1" t="s">
        <v>113</v>
      </c>
      <c r="H13" s="90">
        <f>(H9-H8)/(H11/SQRT(H6))</f>
        <v>12.360510680807984</v>
      </c>
    </row>
    <row r="14" spans="1:13">
      <c r="D14" s="5" t="s">
        <v>110</v>
      </c>
      <c r="E14" s="5" t="s">
        <v>109</v>
      </c>
      <c r="G14" s="1" t="s">
        <v>111</v>
      </c>
      <c r="H14" s="95">
        <f>H6-1</f>
        <v>9</v>
      </c>
    </row>
    <row r="15" spans="1:13">
      <c r="C15" s="1" t="s">
        <v>108</v>
      </c>
      <c r="D15" s="95" t="str">
        <f>"±"&amp;ROUND(_xlfn.T.INV.2T(D7,D12),5)</f>
        <v>±2.73848</v>
      </c>
      <c r="E15" s="95">
        <f>_xlfn.T.DIST.2T(ABS(D11),D12)</f>
        <v>2.4570670260866032E-3</v>
      </c>
    </row>
    <row r="16" spans="1:13">
      <c r="C16" s="1" t="s">
        <v>107</v>
      </c>
      <c r="D16" s="94">
        <f>_xlfn.T.INV(D7,D12)</f>
        <v>-2.4486776336720522</v>
      </c>
      <c r="E16" s="95">
        <f>_xlfn.T.DIST(D11,D12,1)</f>
        <v>1.2285335130433016E-3</v>
      </c>
      <c r="H16" s="5" t="s">
        <v>110</v>
      </c>
      <c r="I16" s="5" t="s">
        <v>109</v>
      </c>
    </row>
    <row r="17" spans="3:9">
      <c r="C17" s="1" t="s">
        <v>106</v>
      </c>
      <c r="D17" s="94">
        <f>_xlfn.T.INV(1-D7,D12)</f>
        <v>2.4486776336720522</v>
      </c>
      <c r="E17" s="95">
        <f>_xlfn.T.DIST.RT(D11,D12)</f>
        <v>0.99877146648695669</v>
      </c>
      <c r="G17" s="1" t="s">
        <v>108</v>
      </c>
      <c r="H17" s="95" t="str">
        <f>"±"&amp;ROUND(_xlfn.T.INV.2T(H7,H14),5)</f>
        <v>±2.26216</v>
      </c>
      <c r="I17" s="96">
        <f>_xlfn.T.DIST.2T(ABS(H13),H14)</f>
        <v>5.9815039521035258E-7</v>
      </c>
    </row>
    <row r="18" spans="3:9">
      <c r="G18" s="1" t="s">
        <v>107</v>
      </c>
      <c r="H18" s="94">
        <f>_xlfn.T.INV(H7,H14)</f>
        <v>-1.8331129326562374</v>
      </c>
      <c r="I18" s="95">
        <f>_xlfn.T.DIST(H13,H14,1)</f>
        <v>0.99999970092480239</v>
      </c>
    </row>
    <row r="19" spans="3:9">
      <c r="G19" s="1" t="s">
        <v>106</v>
      </c>
      <c r="H19" s="94">
        <f>_xlfn.T.INV(1-H7,H14)</f>
        <v>1.8331129326562368</v>
      </c>
      <c r="I19" s="93">
        <f>_xlfn.T.DIST.RT(H13,H14)</f>
        <v>2.9907519760517629E-7</v>
      </c>
    </row>
  </sheetData>
  <mergeCells count="3">
    <mergeCell ref="C2:E2"/>
    <mergeCell ref="K2:M2"/>
    <mergeCell ref="G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9F5A-DF03-644C-90A2-39B118558AB0}">
  <dimension ref="A1:G85"/>
  <sheetViews>
    <sheetView zoomScale="150" workbookViewId="0">
      <selection activeCell="H14" sqref="H14"/>
    </sheetView>
  </sheetViews>
  <sheetFormatPr baseColWidth="10" defaultColWidth="11.1640625" defaultRowHeight="16"/>
  <cols>
    <col min="1" max="1" width="11.5" customWidth="1"/>
    <col min="2" max="2" width="12.33203125" customWidth="1"/>
    <col min="3" max="3" width="15" customWidth="1"/>
    <col min="5" max="5" width="21.33203125" customWidth="1"/>
    <col min="6" max="6" width="15" bestFit="1" customWidth="1"/>
    <col min="7" max="7" width="20.1640625" bestFit="1" customWidth="1"/>
  </cols>
  <sheetData>
    <row r="1" spans="1:7" ht="18">
      <c r="A1" s="105" t="s">
        <v>147</v>
      </c>
      <c r="B1" s="105" t="s">
        <v>146</v>
      </c>
      <c r="C1" s="107" t="s">
        <v>145</v>
      </c>
    </row>
    <row r="2" spans="1:7">
      <c r="A2" s="105">
        <v>-4.91</v>
      </c>
      <c r="B2" s="105">
        <v>-0.11</v>
      </c>
      <c r="C2" s="1" t="s">
        <v>144</v>
      </c>
      <c r="D2" s="98">
        <f>CORREL(A:A,B:B)</f>
        <v>0.43115009179998942</v>
      </c>
      <c r="E2" s="22"/>
    </row>
    <row r="3" spans="1:7">
      <c r="A3" s="105">
        <v>1.8</v>
      </c>
      <c r="B3" s="105">
        <v>0.42</v>
      </c>
      <c r="C3" s="1" t="s">
        <v>119</v>
      </c>
      <c r="D3" s="7">
        <f>COUNT(A:A)</f>
        <v>84</v>
      </c>
      <c r="E3" s="22"/>
    </row>
    <row r="4" spans="1:7">
      <c r="A4" s="105">
        <v>2.41</v>
      </c>
      <c r="B4" s="105">
        <v>1.31</v>
      </c>
      <c r="C4" s="1" t="s">
        <v>114</v>
      </c>
      <c r="D4" s="34">
        <v>0.05</v>
      </c>
    </row>
    <row r="5" spans="1:7">
      <c r="A5" s="105">
        <v>3.08</v>
      </c>
      <c r="B5" s="105">
        <v>-3.8</v>
      </c>
    </row>
    <row r="6" spans="1:7">
      <c r="A6" s="105">
        <v>-11.1</v>
      </c>
      <c r="B6" s="105">
        <v>-5.0999999999999996</v>
      </c>
      <c r="C6" s="1" t="s">
        <v>143</v>
      </c>
      <c r="D6" s="95">
        <f>D2*SQRT((D3-2)/(1-D2^2))</f>
        <v>4.3270705042699973</v>
      </c>
      <c r="E6" s="22"/>
    </row>
    <row r="7" spans="1:7">
      <c r="A7" s="105">
        <v>-5.92</v>
      </c>
      <c r="B7" s="105">
        <v>-0.51</v>
      </c>
      <c r="C7" s="1" t="s">
        <v>111</v>
      </c>
      <c r="D7" s="89">
        <f>D3-2</f>
        <v>82</v>
      </c>
      <c r="E7" s="22"/>
    </row>
    <row r="8" spans="1:7">
      <c r="A8" s="105">
        <v>8.8699999999999992</v>
      </c>
      <c r="B8" s="105">
        <v>1.5</v>
      </c>
    </row>
    <row r="9" spans="1:7">
      <c r="A9" s="105">
        <v>-5.81</v>
      </c>
      <c r="B9" s="105">
        <v>-1.1100000000000001</v>
      </c>
      <c r="D9" s="5" t="s">
        <v>110</v>
      </c>
      <c r="E9" s="5" t="s">
        <v>109</v>
      </c>
    </row>
    <row r="10" spans="1:7">
      <c r="A10" s="105">
        <v>10.14</v>
      </c>
      <c r="B10" s="105">
        <v>8.31</v>
      </c>
      <c r="C10" s="1" t="s">
        <v>108</v>
      </c>
      <c r="D10" s="90" t="str">
        <f>"±"&amp;ROUND(_xlfn.T.INV.2T(D4,D7),5)</f>
        <v>±1.98932</v>
      </c>
      <c r="E10" s="106">
        <f>_xlfn.T.DIST.2T(ABS(D6),D7)</f>
        <v>4.2342407730107681E-5</v>
      </c>
      <c r="F10" t="str">
        <f>IF(ABS(D6)&gt;ABS(ROUND(_xlfn.T.INV.2T(D4,D7),5)),"REJECT H0","FAIL TO REJECT H0")</f>
        <v>REJECT H0</v>
      </c>
      <c r="G10" t="str">
        <f>IF(E10&lt;$D$4,"REJECT H0", "FAIL TO REJECT H0")</f>
        <v>REJECT H0</v>
      </c>
    </row>
    <row r="11" spans="1:7">
      <c r="A11" s="105">
        <v>3.95</v>
      </c>
      <c r="B11" s="105">
        <v>2.37</v>
      </c>
      <c r="C11" s="1" t="s">
        <v>107</v>
      </c>
      <c r="D11" s="90">
        <f>_xlfn.T.INV(D4,D7)</f>
        <v>-1.6636491840290772</v>
      </c>
      <c r="E11" s="89">
        <f>_xlfn.T.DIST(D6,D7,1)</f>
        <v>0.99997882879613498</v>
      </c>
      <c r="F11" t="str">
        <f>IF(D6&lt;D11,"REJECT H0", "FAIL TO REJECT H0")</f>
        <v>FAIL TO REJECT H0</v>
      </c>
      <c r="G11" t="str">
        <f>IF(E11&lt;$D$4,"REJECT H0", "FAIL TO REJECT H0")</f>
        <v>FAIL TO REJECT H0</v>
      </c>
    </row>
    <row r="12" spans="1:7">
      <c r="A12" s="105">
        <v>2.79</v>
      </c>
      <c r="B12" s="105">
        <v>-2.46</v>
      </c>
      <c r="C12" s="1" t="s">
        <v>106</v>
      </c>
      <c r="D12" s="89">
        <f>_xlfn.T.INV(1-D4,D7)</f>
        <v>1.6636491840290772</v>
      </c>
      <c r="E12" s="89">
        <f>_xlfn.T.DIST.RT(D6,D7)</f>
        <v>2.1171203865053841E-5</v>
      </c>
      <c r="F12" t="str">
        <f>IF(D6&gt;D12,"REJECT H0", "FAIL TO REJECT H0")</f>
        <v>REJECT H0</v>
      </c>
      <c r="G12" t="str">
        <f>IF(E12&lt;$D$4,"REJECT H0", "FAIL TO REJECT H0")</f>
        <v>REJECT H0</v>
      </c>
    </row>
    <row r="13" spans="1:7">
      <c r="A13" s="105">
        <v>5.7</v>
      </c>
      <c r="B13" s="105">
        <v>1.3</v>
      </c>
    </row>
    <row r="14" spans="1:7">
      <c r="A14" s="105">
        <v>6.45</v>
      </c>
      <c r="B14" s="105">
        <v>1.68</v>
      </c>
    </row>
    <row r="15" spans="1:7">
      <c r="A15" s="105">
        <v>6.1</v>
      </c>
      <c r="B15" s="105">
        <v>2.92</v>
      </c>
    </row>
    <row r="16" spans="1:7">
      <c r="A16" s="105">
        <v>1.46</v>
      </c>
      <c r="B16" s="105">
        <v>1.23</v>
      </c>
    </row>
    <row r="17" spans="1:2">
      <c r="A17" s="105">
        <v>1.74</v>
      </c>
      <c r="B17" s="105">
        <v>5.71</v>
      </c>
    </row>
    <row r="18" spans="1:2">
      <c r="A18" s="105">
        <v>-4.17</v>
      </c>
      <c r="B18" s="105">
        <v>2.4</v>
      </c>
    </row>
    <row r="19" spans="1:2">
      <c r="A19" s="105">
        <v>-1.98</v>
      </c>
      <c r="B19" s="105">
        <v>-0.59</v>
      </c>
    </row>
    <row r="20" spans="1:2">
      <c r="A20" s="105">
        <v>1.1599999999999999</v>
      </c>
      <c r="B20" s="105">
        <v>-2.76</v>
      </c>
    </row>
    <row r="21" spans="1:2">
      <c r="A21" s="105">
        <v>-10.41</v>
      </c>
      <c r="B21" s="105">
        <v>-2.62</v>
      </c>
    </row>
    <row r="22" spans="1:2">
      <c r="A22" s="105">
        <v>-14.99</v>
      </c>
      <c r="B22" s="105">
        <v>-3.92</v>
      </c>
    </row>
    <row r="23" spans="1:2">
      <c r="A23" s="105">
        <v>18.760000000000002</v>
      </c>
      <c r="B23" s="105">
        <v>4.63</v>
      </c>
    </row>
    <row r="24" spans="1:2">
      <c r="A24" s="105">
        <v>0.84</v>
      </c>
      <c r="B24" s="105">
        <v>-0.19</v>
      </c>
    </row>
    <row r="25" spans="1:2">
      <c r="A25" s="105">
        <v>-8.42</v>
      </c>
      <c r="B25" s="105">
        <v>-2.99</v>
      </c>
    </row>
    <row r="26" spans="1:2">
      <c r="A26" s="105">
        <v>4.37</v>
      </c>
      <c r="B26" s="105">
        <v>2.42</v>
      </c>
    </row>
    <row r="27" spans="1:2">
      <c r="A27" s="105">
        <v>4.95</v>
      </c>
      <c r="B27" s="105">
        <v>1.63</v>
      </c>
    </row>
    <row r="28" spans="1:2">
      <c r="A28" s="105">
        <v>-6.54</v>
      </c>
      <c r="B28" s="105">
        <v>3.6</v>
      </c>
    </row>
    <row r="29" spans="1:2">
      <c r="A29" s="105">
        <v>-1.65</v>
      </c>
      <c r="B29" s="105">
        <v>-0.41</v>
      </c>
    </row>
    <row r="30" spans="1:2">
      <c r="A30" s="105">
        <v>-12.21</v>
      </c>
      <c r="B30" s="105">
        <v>-3.53</v>
      </c>
    </row>
    <row r="31" spans="1:2">
      <c r="A31" s="105">
        <v>5.52</v>
      </c>
      <c r="B31" s="105">
        <v>5.43</v>
      </c>
    </row>
    <row r="32" spans="1:2">
      <c r="A32" s="105">
        <v>2.79</v>
      </c>
      <c r="B32" s="105">
        <v>-0.35</v>
      </c>
    </row>
    <row r="33" spans="1:2">
      <c r="A33" s="105">
        <v>2.86</v>
      </c>
      <c r="B33" s="105">
        <v>1.86</v>
      </c>
    </row>
    <row r="34" spans="1:2">
      <c r="A34" s="105">
        <v>2.91</v>
      </c>
      <c r="B34" s="105">
        <v>3.95</v>
      </c>
    </row>
    <row r="35" spans="1:2">
      <c r="A35" s="105">
        <v>-0.88</v>
      </c>
      <c r="B35" s="105">
        <v>-0.79</v>
      </c>
    </row>
    <row r="36" spans="1:2">
      <c r="A36" s="105">
        <v>-2.2999999999999998</v>
      </c>
      <c r="B36" s="105">
        <v>0.47</v>
      </c>
    </row>
    <row r="37" spans="1:2">
      <c r="A37" s="105">
        <v>1.6</v>
      </c>
      <c r="B37" s="105">
        <v>-3.33</v>
      </c>
    </row>
    <row r="38" spans="1:2">
      <c r="A38" s="105">
        <v>5.64</v>
      </c>
      <c r="B38" s="105">
        <v>6.44</v>
      </c>
    </row>
    <row r="39" spans="1:2">
      <c r="A39" s="105">
        <v>-1.99</v>
      </c>
      <c r="B39" s="105">
        <v>1.31</v>
      </c>
    </row>
    <row r="40" spans="1:2">
      <c r="A40" s="105">
        <v>1.56</v>
      </c>
      <c r="B40" s="105">
        <v>3.59</v>
      </c>
    </row>
    <row r="41" spans="1:2">
      <c r="A41" s="105">
        <v>-0.15</v>
      </c>
      <c r="B41" s="105">
        <v>3.03</v>
      </c>
    </row>
    <row r="42" spans="1:2">
      <c r="A42" s="105">
        <v>1.64</v>
      </c>
      <c r="B42" s="105">
        <v>1.38</v>
      </c>
    </row>
    <row r="43" spans="1:2">
      <c r="A43" s="105">
        <v>-3.48</v>
      </c>
      <c r="B43" s="105">
        <v>0.19</v>
      </c>
    </row>
    <row r="44" spans="1:2">
      <c r="A44" s="105">
        <v>5.33</v>
      </c>
      <c r="B44" s="105">
        <v>5.56</v>
      </c>
    </row>
    <row r="45" spans="1:2">
      <c r="A45" s="105">
        <v>-0.22</v>
      </c>
      <c r="B45" s="105">
        <v>-1.99</v>
      </c>
    </row>
    <row r="46" spans="1:2">
      <c r="A46" s="105">
        <v>2.95</v>
      </c>
      <c r="B46" s="105">
        <v>4.1900000000000004</v>
      </c>
    </row>
    <row r="47" spans="1:2">
      <c r="A47" s="105">
        <v>4.66</v>
      </c>
      <c r="B47" s="105">
        <v>3.96</v>
      </c>
    </row>
    <row r="48" spans="1:2">
      <c r="A48" s="105">
        <v>-0.96</v>
      </c>
      <c r="B48" s="105">
        <v>4.7</v>
      </c>
    </row>
    <row r="49" spans="1:2">
      <c r="A49" s="105">
        <v>-1.74</v>
      </c>
      <c r="B49" s="105">
        <v>-4.76</v>
      </c>
    </row>
    <row r="50" spans="1:2">
      <c r="A50" s="105">
        <v>-5.15</v>
      </c>
      <c r="B50" s="105">
        <v>2.33</v>
      </c>
    </row>
    <row r="51" spans="1:2">
      <c r="A51" s="105">
        <v>5.83</v>
      </c>
      <c r="B51" s="105">
        <v>8.4600000000000009</v>
      </c>
    </row>
    <row r="52" spans="1:2">
      <c r="A52" s="105">
        <v>1.82</v>
      </c>
      <c r="B52" s="105">
        <v>-6.03</v>
      </c>
    </row>
    <row r="53" spans="1:2">
      <c r="A53" s="105">
        <v>5.49</v>
      </c>
      <c r="B53" s="105">
        <v>-3</v>
      </c>
    </row>
    <row r="54" spans="1:2">
      <c r="A54" s="105">
        <v>1.22</v>
      </c>
      <c r="B54" s="105">
        <v>3.65</v>
      </c>
    </row>
    <row r="55" spans="1:2">
      <c r="A55" s="105">
        <v>5.5</v>
      </c>
      <c r="B55" s="105">
        <v>3.35</v>
      </c>
    </row>
    <row r="56" spans="1:2">
      <c r="A56" s="105">
        <v>-4.6500000000000004</v>
      </c>
      <c r="B56" s="105">
        <v>0.01</v>
      </c>
    </row>
    <row r="57" spans="1:2">
      <c r="A57" s="105">
        <v>1.72</v>
      </c>
      <c r="B57" s="105">
        <v>3.99</v>
      </c>
    </row>
    <row r="58" spans="1:2">
      <c r="A58" s="105">
        <v>-7.31</v>
      </c>
      <c r="B58" s="105">
        <v>-0.21</v>
      </c>
    </row>
    <row r="59" spans="1:2">
      <c r="A59" s="105">
        <v>-5.01</v>
      </c>
      <c r="B59" s="105">
        <v>5.37</v>
      </c>
    </row>
    <row r="60" spans="1:2">
      <c r="A60" s="105">
        <v>-9.1</v>
      </c>
      <c r="B60" s="105">
        <v>3.44</v>
      </c>
    </row>
    <row r="61" spans="1:2">
      <c r="A61" s="105">
        <v>-9.68</v>
      </c>
      <c r="B61" s="105">
        <v>-8.4</v>
      </c>
    </row>
    <row r="62" spans="1:2">
      <c r="A62" s="105">
        <v>-4.0999999999999996</v>
      </c>
      <c r="B62" s="105">
        <v>1.93</v>
      </c>
    </row>
    <row r="63" spans="1:2">
      <c r="A63" s="105">
        <v>4.96</v>
      </c>
      <c r="B63" s="105">
        <v>4.84</v>
      </c>
    </row>
    <row r="64" spans="1:2">
      <c r="A64" s="105">
        <v>-2.5</v>
      </c>
      <c r="B64" s="105">
        <v>-0.34</v>
      </c>
    </row>
    <row r="65" spans="1:2">
      <c r="A65" s="105">
        <v>10.54</v>
      </c>
      <c r="B65" s="105">
        <v>-0.77</v>
      </c>
    </row>
    <row r="66" spans="1:2">
      <c r="A66" s="105">
        <v>-6.63</v>
      </c>
      <c r="B66" s="105">
        <v>4.6900000000000004</v>
      </c>
    </row>
    <row r="67" spans="1:2">
      <c r="A67" s="105">
        <v>-4.18</v>
      </c>
      <c r="B67" s="105">
        <v>-0.16</v>
      </c>
    </row>
    <row r="68" spans="1:2">
      <c r="A68" s="105">
        <v>-7.6</v>
      </c>
      <c r="B68" s="105">
        <v>2.5499999999999998</v>
      </c>
    </row>
    <row r="69" spans="1:2">
      <c r="A69" s="105">
        <v>-4.87</v>
      </c>
      <c r="B69" s="105">
        <v>-5.76</v>
      </c>
    </row>
    <row r="70" spans="1:2">
      <c r="A70" s="105">
        <v>-7.72</v>
      </c>
      <c r="B70" s="105">
        <v>-5.76</v>
      </c>
    </row>
    <row r="71" spans="1:2">
      <c r="A71" s="105">
        <v>10.78</v>
      </c>
      <c r="B71" s="105">
        <v>5.92</v>
      </c>
    </row>
    <row r="72" spans="1:2">
      <c r="A72" s="105">
        <v>-0.98</v>
      </c>
      <c r="B72" s="105">
        <v>1.5</v>
      </c>
    </row>
    <row r="73" spans="1:2">
      <c r="A73" s="105">
        <v>-11.56</v>
      </c>
      <c r="B73" s="105">
        <v>-3.89</v>
      </c>
    </row>
    <row r="74" spans="1:2">
      <c r="A74" s="105">
        <v>-1.24</v>
      </c>
      <c r="B74" s="105">
        <v>-8.8000000000000007</v>
      </c>
    </row>
    <row r="75" spans="1:2">
      <c r="A75" s="105">
        <v>-2.5</v>
      </c>
      <c r="B75" s="105">
        <v>-1.75</v>
      </c>
    </row>
    <row r="76" spans="1:2">
      <c r="A76" s="105">
        <v>12.68</v>
      </c>
      <c r="B76" s="105">
        <v>-0.43</v>
      </c>
    </row>
    <row r="77" spans="1:2">
      <c r="A77" s="105">
        <v>10.24</v>
      </c>
      <c r="B77" s="105">
        <v>2.56</v>
      </c>
    </row>
    <row r="78" spans="1:2">
      <c r="A78" s="105">
        <v>-1.48</v>
      </c>
      <c r="B78" s="105">
        <v>2.5499999999999998</v>
      </c>
    </row>
    <row r="79" spans="1:2">
      <c r="A79" s="105">
        <v>3.55</v>
      </c>
      <c r="B79" s="105">
        <v>-0.09</v>
      </c>
    </row>
    <row r="80" spans="1:2">
      <c r="A80" s="105">
        <v>-1.1299999999999999</v>
      </c>
      <c r="B80" s="105">
        <v>5.26</v>
      </c>
    </row>
    <row r="81" spans="1:2">
      <c r="A81" s="105">
        <v>2.4700000000000002</v>
      </c>
      <c r="B81" s="105">
        <v>-4.8600000000000003</v>
      </c>
    </row>
    <row r="82" spans="1:2">
      <c r="A82" s="105">
        <v>2.4300000000000002</v>
      </c>
      <c r="B82" s="105">
        <v>0.59</v>
      </c>
    </row>
    <row r="83" spans="1:2">
      <c r="A83" s="105">
        <v>-3</v>
      </c>
      <c r="B83" s="105">
        <v>-7.49</v>
      </c>
    </row>
    <row r="84" spans="1:2">
      <c r="A84" s="105">
        <v>6.92</v>
      </c>
      <c r="B84" s="105">
        <v>1.47</v>
      </c>
    </row>
    <row r="85" spans="1:2">
      <c r="A85" s="105">
        <v>-0.1</v>
      </c>
      <c r="B85" s="105">
        <v>-5.14</v>
      </c>
    </row>
  </sheetData>
  <conditionalFormatting sqref="F10">
    <cfRule type="cellIs" dxfId="11" priority="10" operator="equal">
      <formula>"REJECT H0"</formula>
    </cfRule>
    <cfRule type="cellIs" dxfId="10" priority="11" operator="equal">
      <formula>"FAIL TO REJECT H0"</formula>
    </cfRule>
    <cfRule type="cellIs" dxfId="9" priority="12" operator="equal">
      <formula>"RAIL TO REJECT H0"</formula>
    </cfRule>
  </conditionalFormatting>
  <conditionalFormatting sqref="F11">
    <cfRule type="cellIs" dxfId="8" priority="7" operator="equal">
      <formula>"REJECT H0"</formula>
    </cfRule>
    <cfRule type="cellIs" dxfId="7" priority="8" operator="equal">
      <formula>"FAIL TO REJECT H0"</formula>
    </cfRule>
    <cfRule type="cellIs" dxfId="6" priority="9" operator="equal">
      <formula>"RAIL TO REJECT H0"</formula>
    </cfRule>
  </conditionalFormatting>
  <conditionalFormatting sqref="F12">
    <cfRule type="cellIs" dxfId="5" priority="4" operator="equal">
      <formula>"REJECT H0"</formula>
    </cfRule>
    <cfRule type="cellIs" dxfId="4" priority="5" operator="equal">
      <formula>"FAIL TO REJECT H0"</formula>
    </cfRule>
    <cfRule type="cellIs" dxfId="3" priority="6" operator="equal">
      <formula>"RAIL TO REJECT H0"</formula>
    </cfRule>
  </conditionalFormatting>
  <conditionalFormatting sqref="G10:G12">
    <cfRule type="cellIs" dxfId="2" priority="1" operator="equal">
      <formula>"REJECT H0"</formula>
    </cfRule>
    <cfRule type="cellIs" dxfId="1" priority="2" operator="equal">
      <formula>"FAIL TO REJECT H0"</formula>
    </cfRule>
    <cfRule type="cellIs" dxfId="0" priority="3" operator="equal">
      <formula>"RAIL TO REJECT H0"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 Stats</vt:lpstr>
      <vt:lpstr>Frequency</vt:lpstr>
      <vt:lpstr>Discrete</vt:lpstr>
      <vt:lpstr>Probability Distributions</vt:lpstr>
      <vt:lpstr>Sample Sizes</vt:lpstr>
      <vt:lpstr>Contingency Probability</vt:lpstr>
      <vt:lpstr>Confidence Intervals</vt:lpstr>
      <vt:lpstr>1 Sample Tests</vt:lpstr>
      <vt:lpstr>2 Sample Tests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2016-09-02T21:44:51Z</dcterms:created>
  <dcterms:modified xsi:type="dcterms:W3CDTF">2021-10-12T02:26:09Z</dcterms:modified>
</cp:coreProperties>
</file>