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 xmlns:mc="http://schemas.openxmlformats.org/markup-compatibility/2006">
    <mc:Choice Requires="x15">
      <x15ac:absPath xmlns:x15ac="http://schemas.microsoft.com/office/spreadsheetml/2010/11/ac" url="/Users/ipatel/Downloads/"/>
    </mc:Choice>
  </mc:AlternateContent>
  <xr:revisionPtr revIDLastSave="0" documentId="13_ncr:1_{31C02662-1E19-434B-A4B6-356162BC9B99}" xr6:coauthVersionLast="47" xr6:coauthVersionMax="47" xr10:uidLastSave="{00000000-0000-0000-0000-000000000000}"/>
  <bookViews>
    <workbookView xWindow="0" yWindow="0" windowWidth="28800" windowHeight="18000" tabRatio="500" firstSheet="4" activeTab="7" xr2:uid="{00000000-000D-0000-FFFF-FFFF00000000}"/>
  </bookViews>
  <sheets>
    <sheet name="Descriptive Stats" sheetId="1" r:id="rId1"/>
    <sheet name="Frequency" sheetId="2" r:id="rId2"/>
    <sheet name="Discrete" sheetId="3" r:id="rId3"/>
    <sheet name="Probability Distributions" sheetId="4" r:id="rId4"/>
    <sheet name="Sample Sizes" sheetId="5" r:id="rId5"/>
    <sheet name="Contingency Probability" sheetId="6" r:id="rId6"/>
    <sheet name="Confidence Intervals" sheetId="7" r:id="rId7"/>
    <sheet name="1 Sample Tests" sheetId="8" r:id="rId8"/>
    <sheet name="2 Sample Tests" sheetId="9" r:id="rId9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4" i="9" l="1"/>
  <c r="I4" i="9"/>
  <c r="H9" i="9" s="1"/>
  <c r="H5" i="9"/>
  <c r="I5" i="9"/>
  <c r="H6" i="9"/>
  <c r="D8" i="9"/>
  <c r="D9" i="9"/>
  <c r="E9" i="9"/>
  <c r="H10" i="9"/>
  <c r="L10" i="9"/>
  <c r="L9" i="9" s="1"/>
  <c r="L11" i="9"/>
  <c r="H14" i="9"/>
  <c r="H17" i="9" s="1"/>
  <c r="H18" i="9"/>
  <c r="C9" i="8"/>
  <c r="D14" i="8" s="1"/>
  <c r="F14" i="8" s="1"/>
  <c r="C10" i="8"/>
  <c r="G10" i="8"/>
  <c r="G9" i="8" s="1"/>
  <c r="H9" i="8" s="1"/>
  <c r="G11" i="8"/>
  <c r="H11" i="8"/>
  <c r="C13" i="8"/>
  <c r="D13" i="8"/>
  <c r="F13" i="8" s="1"/>
  <c r="E13" i="8"/>
  <c r="C14" i="8"/>
  <c r="E14" i="8" s="1"/>
  <c r="C15" i="8"/>
  <c r="E15" i="8" s="1"/>
  <c r="D15" i="8"/>
  <c r="F15" i="8" s="1"/>
  <c r="F6" i="7"/>
  <c r="C7" i="7"/>
  <c r="C9" i="7" s="1"/>
  <c r="F7" i="7"/>
  <c r="C8" i="7"/>
  <c r="C13" i="7" s="1"/>
  <c r="E10" i="7"/>
  <c r="F10" i="7"/>
  <c r="E15" i="7"/>
  <c r="D11" i="9" l="1"/>
  <c r="E17" i="9" s="1"/>
  <c r="D12" i="9"/>
  <c r="D17" i="9" s="1"/>
  <c r="H11" i="9"/>
  <c r="H13" i="9" s="1"/>
  <c r="E15" i="9"/>
  <c r="H19" i="9"/>
  <c r="H10" i="8"/>
  <c r="B17" i="7"/>
  <c r="C17" i="7"/>
  <c r="B13" i="7"/>
  <c r="I4" i="6"/>
  <c r="I5" i="6"/>
  <c r="I6" i="6"/>
  <c r="I7" i="6"/>
  <c r="I8" i="6"/>
  <c r="D9" i="6"/>
  <c r="E9" i="6"/>
  <c r="I9" i="6" s="1"/>
  <c r="D15" i="6" s="1" a="1"/>
  <c r="F9" i="6"/>
  <c r="G9" i="6"/>
  <c r="H9" i="6"/>
  <c r="D14" i="6"/>
  <c r="N14" i="6" s="1"/>
  <c r="E14" i="6"/>
  <c r="O14" i="6" s="1"/>
  <c r="F14" i="6"/>
  <c r="P14" i="6" s="1"/>
  <c r="G14" i="6"/>
  <c r="H14" i="6"/>
  <c r="Q14" i="6"/>
  <c r="R14" i="6"/>
  <c r="C15" i="6"/>
  <c r="M15" i="6" s="1"/>
  <c r="C16" i="6"/>
  <c r="C26" i="6" s="1"/>
  <c r="C17" i="6"/>
  <c r="M17" i="6" s="1"/>
  <c r="C18" i="6"/>
  <c r="M18" i="6" s="1"/>
  <c r="C19" i="6"/>
  <c r="M19" i="6" s="1"/>
  <c r="D24" i="6"/>
  <c r="E24" i="6"/>
  <c r="F24" i="6"/>
  <c r="G24" i="6"/>
  <c r="H24" i="6"/>
  <c r="C27" i="6"/>
  <c r="C28" i="6"/>
  <c r="D33" i="6"/>
  <c r="E33" i="6"/>
  <c r="F33" i="6"/>
  <c r="G33" i="6"/>
  <c r="H33" i="6"/>
  <c r="C34" i="6"/>
  <c r="C35" i="6"/>
  <c r="C36" i="6"/>
  <c r="C37" i="6"/>
  <c r="C38" i="6"/>
  <c r="B5" i="5"/>
  <c r="B6" i="5" s="1"/>
  <c r="B7" i="5" s="1"/>
  <c r="E5" i="5"/>
  <c r="E6" i="5" s="1"/>
  <c r="E7" i="5" s="1"/>
  <c r="E16" i="9" l="1"/>
  <c r="D16" i="9"/>
  <c r="D15" i="9"/>
  <c r="I17" i="9"/>
  <c r="I19" i="9"/>
  <c r="I18" i="9"/>
  <c r="I16" i="6"/>
  <c r="I17" i="6"/>
  <c r="I18" i="6"/>
  <c r="I19" i="6"/>
  <c r="E20" i="6"/>
  <c r="E27" i="6"/>
  <c r="G28" i="6"/>
  <c r="F34" i="6"/>
  <c r="F20" i="6"/>
  <c r="F27" i="6"/>
  <c r="H28" i="6"/>
  <c r="G34" i="6"/>
  <c r="E37" i="6"/>
  <c r="G38" i="6"/>
  <c r="E36" i="6"/>
  <c r="P15" i="6"/>
  <c r="P19" i="6"/>
  <c r="E25" i="6"/>
  <c r="E29" i="6"/>
  <c r="F36" i="6"/>
  <c r="H26" i="6"/>
  <c r="F29" i="6"/>
  <c r="G36" i="6"/>
  <c r="R16" i="6"/>
  <c r="N16" i="6"/>
  <c r="N17" i="6"/>
  <c r="N18" i="6"/>
  <c r="N19" i="6"/>
  <c r="G20" i="6"/>
  <c r="E26" i="6"/>
  <c r="G27" i="6"/>
  <c r="H34" i="6"/>
  <c r="D36" i="6"/>
  <c r="F37" i="6"/>
  <c r="H38" i="6"/>
  <c r="O16" i="6"/>
  <c r="O17" i="6"/>
  <c r="O18" i="6"/>
  <c r="O19" i="6"/>
  <c r="H20" i="6"/>
  <c r="F26" i="6"/>
  <c r="H27" i="6"/>
  <c r="D29" i="6"/>
  <c r="G37" i="6"/>
  <c r="P16" i="6"/>
  <c r="G26" i="6"/>
  <c r="F25" i="6"/>
  <c r="E35" i="6"/>
  <c r="R15" i="6"/>
  <c r="R18" i="6"/>
  <c r="E28" i="6"/>
  <c r="H36" i="6"/>
  <c r="G25" i="6"/>
  <c r="Q15" i="6"/>
  <c r="Q16" i="6"/>
  <c r="Q17" i="6"/>
  <c r="Q18" i="6"/>
  <c r="Q19" i="6"/>
  <c r="R17" i="6"/>
  <c r="G29" i="6"/>
  <c r="F35" i="6"/>
  <c r="D15" i="6"/>
  <c r="H25" i="6"/>
  <c r="D27" i="6"/>
  <c r="F28" i="6"/>
  <c r="H29" i="6"/>
  <c r="G35" i="6"/>
  <c r="E38" i="6"/>
  <c r="H35" i="6"/>
  <c r="D37" i="6"/>
  <c r="F38" i="6"/>
  <c r="P17" i="6"/>
  <c r="P18" i="6"/>
  <c r="H37" i="6"/>
  <c r="D28" i="6"/>
  <c r="R19" i="6"/>
  <c r="D38" i="6"/>
  <c r="C29" i="6"/>
  <c r="C25" i="6"/>
  <c r="M16" i="6"/>
  <c r="I15" i="6" l="1"/>
  <c r="N15" i="6" s="1"/>
  <c r="D20" i="6"/>
  <c r="D25" i="6" s="1"/>
  <c r="D34" i="6" l="1"/>
  <c r="I20" i="6"/>
  <c r="D35" i="6"/>
  <c r="D26" i="6"/>
  <c r="E34" i="6"/>
  <c r="O15" i="6"/>
  <c r="K3" i="4"/>
  <c r="E4" i="4"/>
  <c r="B5" i="4"/>
  <c r="E5" i="4"/>
  <c r="B6" i="4"/>
  <c r="E6" i="4"/>
  <c r="B7" i="4"/>
  <c r="E7" i="4"/>
  <c r="H7" i="4"/>
  <c r="K7" i="4"/>
  <c r="K8" i="4" s="1"/>
  <c r="B8" i="4"/>
  <c r="E8" i="4"/>
  <c r="H8" i="4"/>
  <c r="B9" i="4"/>
  <c r="H9" i="4"/>
  <c r="B10" i="4"/>
  <c r="K12" i="4"/>
  <c r="H13" i="4"/>
  <c r="K13" i="4"/>
  <c r="H14" i="4"/>
  <c r="H15" i="4"/>
  <c r="H19" i="4"/>
  <c r="H20" i="4"/>
  <c r="H26" i="4"/>
  <c r="H27" i="4"/>
  <c r="H2" i="3"/>
  <c r="D2" i="3" s="1"/>
  <c r="D4" i="3"/>
  <c r="D6" i="3"/>
  <c r="D2" i="2"/>
  <c r="E2" i="2"/>
  <c r="G2" i="2" s="1"/>
  <c r="H2" i="2"/>
  <c r="I2" i="2" a="1"/>
  <c r="I2" i="2" s="1"/>
  <c r="D5" i="2" s="1"/>
  <c r="C6" i="2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E2" i="3" l="1"/>
  <c r="I2" i="3"/>
  <c r="D3" i="3"/>
  <c r="D8" i="3"/>
  <c r="D5" i="3"/>
  <c r="D7" i="3"/>
  <c r="D6" i="2"/>
  <c r="D7" i="2" s="1"/>
  <c r="D8" i="2" s="1"/>
  <c r="D9" i="2" s="1"/>
  <c r="D10" i="2" s="1"/>
  <c r="D11" i="2" s="1"/>
  <c r="D12" i="2" s="1"/>
  <c r="D13" i="2" s="1"/>
  <c r="D14" i="2" s="1"/>
  <c r="D15" i="2" s="1"/>
  <c r="D16" i="2" s="1"/>
  <c r="D17" i="2" s="1"/>
  <c r="D18" i="2" s="1"/>
  <c r="D19" i="2" s="1"/>
  <c r="D20" i="2" s="1"/>
  <c r="D21" i="2" s="1"/>
  <c r="D22" i="2" s="1"/>
  <c r="D23" i="2" s="1"/>
  <c r="D24" i="2" s="1"/>
  <c r="C17" i="1"/>
  <c r="C16" i="1"/>
  <c r="C15" i="1"/>
  <c r="C13" i="1"/>
  <c r="C12" i="1"/>
  <c r="C11" i="1"/>
  <c r="C10" i="1"/>
  <c r="C9" i="1"/>
  <c r="C8" i="1"/>
  <c r="C7" i="1"/>
  <c r="C6" i="1"/>
  <c r="C5" i="1"/>
  <c r="C4" i="1"/>
  <c r="C3" i="1"/>
  <c r="K13" i="1" s="1"/>
  <c r="C2" i="1"/>
  <c r="E3" i="3" l="1"/>
  <c r="E4" i="3" s="1"/>
  <c r="E5" i="3" s="1"/>
  <c r="E6" i="3" s="1"/>
  <c r="E7" i="3" s="1"/>
  <c r="E8" i="3" s="1"/>
  <c r="F8" i="3"/>
  <c r="F7" i="3" s="1"/>
  <c r="F6" i="3" s="1"/>
  <c r="F5" i="3" s="1"/>
  <c r="F4" i="3" s="1"/>
  <c r="F3" i="3" s="1"/>
  <c r="F2" i="3" s="1"/>
  <c r="E5" i="2" a="1"/>
  <c r="K6" i="1"/>
  <c r="K7" i="1"/>
  <c r="K8" i="1"/>
  <c r="K9" i="1"/>
  <c r="K2" i="1"/>
  <c r="K10" i="1"/>
  <c r="K3" i="1"/>
  <c r="K11" i="1"/>
  <c r="K4" i="1"/>
  <c r="K12" i="1"/>
  <c r="K5" i="1"/>
  <c r="C14" i="1"/>
  <c r="C19" i="1"/>
  <c r="C18" i="1"/>
  <c r="E5" i="2" l="1"/>
  <c r="E13" i="2"/>
  <c r="F13" i="2" s="1"/>
  <c r="E8" i="2"/>
  <c r="F8" i="2" s="1"/>
  <c r="E12" i="2"/>
  <c r="F12" i="2" s="1"/>
  <c r="E16" i="2"/>
  <c r="F16" i="2" s="1"/>
  <c r="E20" i="2"/>
  <c r="F20" i="2" s="1"/>
  <c r="E24" i="2"/>
  <c r="F24" i="2" s="1"/>
  <c r="E7" i="2"/>
  <c r="F7" i="2" s="1"/>
  <c r="E11" i="2"/>
  <c r="F11" i="2" s="1"/>
  <c r="E15" i="2"/>
  <c r="F15" i="2" s="1"/>
  <c r="E19" i="2"/>
  <c r="F19" i="2" s="1"/>
  <c r="E23" i="2"/>
  <c r="F23" i="2" s="1"/>
  <c r="E6" i="2"/>
  <c r="F6" i="2" s="1"/>
  <c r="E10" i="2"/>
  <c r="F10" i="2" s="1"/>
  <c r="E14" i="2"/>
  <c r="F14" i="2" s="1"/>
  <c r="E18" i="2"/>
  <c r="F18" i="2" s="1"/>
  <c r="E22" i="2"/>
  <c r="F22" i="2" s="1"/>
  <c r="E21" i="2"/>
  <c r="F21" i="2" s="1"/>
  <c r="E9" i="2"/>
  <c r="F9" i="2" s="1"/>
  <c r="E17" i="2"/>
  <c r="F17" i="2" s="1"/>
  <c r="F5" i="2" l="1"/>
  <c r="H5" i="2" s="1"/>
  <c r="H6" i="2" s="1"/>
  <c r="H7" i="2" s="1"/>
  <c r="H8" i="2" s="1"/>
  <c r="H9" i="2" s="1"/>
  <c r="H10" i="2" s="1"/>
  <c r="H11" i="2" s="1"/>
  <c r="H12" i="2" s="1"/>
  <c r="H13" i="2" s="1"/>
  <c r="H14" i="2" s="1"/>
  <c r="H15" i="2" s="1"/>
  <c r="H16" i="2" s="1"/>
  <c r="H17" i="2" s="1"/>
  <c r="H18" i="2" s="1"/>
  <c r="H19" i="2" s="1"/>
  <c r="H20" i="2" s="1"/>
  <c r="H21" i="2" s="1"/>
  <c r="H22" i="2" s="1"/>
  <c r="H23" i="2" s="1"/>
  <c r="H24" i="2" s="1"/>
  <c r="G5" i="2"/>
  <c r="G6" i="2" s="1"/>
  <c r="G7" i="2" s="1"/>
  <c r="G8" i="2" s="1"/>
  <c r="G9" i="2" s="1"/>
  <c r="G10" i="2" s="1"/>
  <c r="G11" i="2" s="1"/>
  <c r="G12" i="2" s="1"/>
  <c r="G13" i="2" s="1"/>
  <c r="G14" i="2" s="1"/>
  <c r="G15" i="2" s="1"/>
  <c r="G16" i="2" s="1"/>
  <c r="G17" i="2" s="1"/>
  <c r="G18" i="2" s="1"/>
  <c r="G19" i="2" s="1"/>
  <c r="G20" i="2" s="1"/>
  <c r="G21" i="2" s="1"/>
  <c r="G22" i="2" s="1"/>
  <c r="G23" i="2" s="1"/>
  <c r="G24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Kevin Schaub</author>
  </authors>
  <commentList>
    <comment ref="D3" authorId="0" shapeId="0" xr:uid="{00000000-0006-0000-0000-000001000000}">
      <text>
        <r>
          <rPr>
            <sz val="10"/>
            <color rgb="FF000000"/>
            <rFont val="Verdana"/>
            <family val="2"/>
          </rPr>
          <t>You may enter a short name for the column here.</t>
        </r>
      </text>
    </comment>
    <comment ref="C4" authorId="0" shapeId="0" xr:uid="{00000000-0006-0000-0000-000002000000}">
      <text>
        <r>
          <rPr>
            <sz val="10"/>
            <color rgb="FF000000"/>
            <rFont val="Verdana"/>
            <family val="2"/>
          </rPr>
          <t>You may enter a short name for the row here.</t>
        </r>
      </text>
    </comment>
    <comment ref="D4" authorId="0" shapeId="0" xr:uid="{00000000-0006-0000-0000-000003000000}">
      <text>
        <r>
          <rPr>
            <sz val="10"/>
            <color rgb="FF000000"/>
            <rFont val="Verdana"/>
            <family val="2"/>
          </rPr>
          <t>This is the cell frequency.  If the data you have is joint probability, then enter the joint probability in each of these cells.</t>
        </r>
      </text>
    </comment>
    <comment ref="D15" authorId="0" shapeId="0" xr:uid="{00000000-0006-0000-0000-000004000000}">
      <text>
        <r>
          <rPr>
            <sz val="10"/>
            <color rgb="FF000000"/>
            <rFont val="Verdana"/>
            <family val="2"/>
          </rPr>
          <t>This is the joint probability of Row 1 and Column 1.</t>
        </r>
      </text>
    </comment>
    <comment ref="N15" authorId="0" shapeId="0" xr:uid="{00000000-0006-0000-0000-000006000000}">
      <text>
        <r>
          <rPr>
            <sz val="10"/>
            <color rgb="FF000000"/>
            <rFont val="Verdana"/>
            <family val="2"/>
          </rPr>
          <t>This is the conditional probability of Col 1 given Row 1, or P(Col1 | Row 1).</t>
        </r>
      </text>
    </comment>
    <comment ref="D25" authorId="0" shapeId="0" xr:uid="{00000000-0006-0000-0000-000008000000}">
      <text>
        <r>
          <rPr>
            <sz val="10"/>
            <color rgb="FF000000"/>
            <rFont val="Verdana"/>
            <family val="2"/>
          </rPr>
          <t>This is the conditional probability of Row 1 given Col 1, or P(Row 1 | Col 1).</t>
        </r>
      </text>
    </comment>
    <comment ref="D34" authorId="0" shapeId="0" xr:uid="{00000000-0006-0000-0000-000009000000}">
      <text>
        <r>
          <rPr>
            <sz val="10"/>
            <color rgb="FF000000"/>
            <rFont val="Verdana"/>
            <family val="2"/>
          </rPr>
          <t>This is the conditional probability of Row 1 given Col 1, or P(Row 1 | Col 1).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<sst xmlns="http://schemas.openxmlformats.org/spreadsheetml/2006/main" count="230" uniqueCount="141">
  <si>
    <t>Descriptive Statistics</t>
  </si>
  <si>
    <t>Mean</t>
  </si>
  <si>
    <t>Median</t>
  </si>
  <si>
    <t>Mode</t>
  </si>
  <si>
    <t>Std. Deviation</t>
  </si>
  <si>
    <t>Variance</t>
  </si>
  <si>
    <t>Pop Std Dev.</t>
  </si>
  <si>
    <t>Pop. Variance</t>
  </si>
  <si>
    <t>Skewness</t>
  </si>
  <si>
    <t>Kurtosis</t>
  </si>
  <si>
    <t>Minimum</t>
  </si>
  <si>
    <t>Maximum</t>
  </si>
  <si>
    <t>Sum</t>
  </si>
  <si>
    <t>Count</t>
  </si>
  <si>
    <t>Range</t>
  </si>
  <si>
    <t>1st Quartile</t>
  </si>
  <si>
    <t>3rd Quartile</t>
  </si>
  <si>
    <t>Interquartile Range</t>
  </si>
  <si>
    <t>CV</t>
  </si>
  <si>
    <t>peakness of the data</t>
  </si>
  <si>
    <t>stdev/mean = coefficient of variance</t>
  </si>
  <si>
    <t>skewed to the left if negative value</t>
  </si>
  <si>
    <t>Number Set</t>
  </si>
  <si>
    <t>Cum. %</t>
  </si>
  <si>
    <t>Cum. Freq.</t>
  </si>
  <si>
    <t>%</t>
  </si>
  <si>
    <t>Freq</t>
  </si>
  <si>
    <t>End</t>
  </si>
  <si>
    <t>Start</t>
  </si>
  <si>
    <t>Max Decimals</t>
  </si>
  <si>
    <t>n</t>
  </si>
  <si>
    <t>App. Width</t>
  </si>
  <si>
    <t>No. Of Bins</t>
  </si>
  <si>
    <t>Width</t>
  </si>
  <si>
    <t>Freq Plot</t>
  </si>
  <si>
    <t xml:space="preserve"> </t>
  </si>
  <si>
    <t>Stdev</t>
  </si>
  <si>
    <t>Mean E(X)</t>
  </si>
  <si>
    <t>n or Sum</t>
  </si>
  <si>
    <t>P(X ≥ x)</t>
  </si>
  <si>
    <t>P(X ≤ x)</t>
  </si>
  <si>
    <t>P(X)</t>
  </si>
  <si>
    <t>f or P(X)</t>
  </si>
  <si>
    <t>x</t>
  </si>
  <si>
    <t>Mu - Right Tail p</t>
  </si>
  <si>
    <t>Mu - Left Tail p</t>
  </si>
  <si>
    <t>P</t>
  </si>
  <si>
    <t>Std Dev.</t>
  </si>
  <si>
    <t>x (MEAN)</t>
  </si>
  <si>
    <t>Calculating Mu</t>
  </si>
  <si>
    <t>P(X &gt; x)</t>
  </si>
  <si>
    <t>P(X&lt; x)</t>
  </si>
  <si>
    <t>z</t>
  </si>
  <si>
    <t>z - Score Probabilities</t>
  </si>
  <si>
    <t>|z|</t>
  </si>
  <si>
    <t>x - upper tail</t>
  </si>
  <si>
    <t>x - lower tail</t>
  </si>
  <si>
    <t>Inverse Calculations</t>
  </si>
  <si>
    <t>right</t>
  </si>
  <si>
    <t>P(X &lt; x)</t>
  </si>
  <si>
    <t>left</t>
  </si>
  <si>
    <t>P(X≤ x)</t>
  </si>
  <si>
    <t>P(x)</t>
  </si>
  <si>
    <t>Probabilities</t>
  </si>
  <si>
    <t>E(X)</t>
  </si>
  <si>
    <t>mu = 1/lambda</t>
  </si>
  <si>
    <t>pi</t>
  </si>
  <si>
    <t>is a rate</t>
  </si>
  <si>
    <t>Lambda</t>
  </si>
  <si>
    <t>Lambda(mean number of  occurances)</t>
  </si>
  <si>
    <t>Exponential Distribution</t>
  </si>
  <si>
    <t>Normal Distribution</t>
  </si>
  <si>
    <t>Poisson Distribution</t>
  </si>
  <si>
    <t>Binomial Distribution</t>
  </si>
  <si>
    <t>n (rounded)</t>
  </si>
  <si>
    <t>Sample Size(n)</t>
  </si>
  <si>
    <t>Sample Size (n)</t>
  </si>
  <si>
    <t>Alpha</t>
  </si>
  <si>
    <t>MOE</t>
  </si>
  <si>
    <t>MoE</t>
  </si>
  <si>
    <t>π</t>
  </si>
  <si>
    <t>sigma</t>
  </si>
  <si>
    <t>Confidence</t>
  </si>
  <si>
    <t>Sample Size Proportions</t>
  </si>
  <si>
    <t>Sample Size Means</t>
  </si>
  <si>
    <t>Union Probabilities</t>
  </si>
  <si>
    <t>Column-Conditional Probabilities</t>
  </si>
  <si>
    <t>Marginal</t>
  </si>
  <si>
    <t>Row-Conditional Probabilities</t>
  </si>
  <si>
    <t>Joint Probabilities</t>
  </si>
  <si>
    <t>Total</t>
  </si>
  <si>
    <t>Company2</t>
  </si>
  <si>
    <t>Company1</t>
  </si>
  <si>
    <t>!Defective</t>
  </si>
  <si>
    <t>Defective</t>
  </si>
  <si>
    <t>Contingency Table</t>
  </si>
  <si>
    <t>Contingency Table and Probabilities</t>
  </si>
  <si>
    <t>Upper</t>
  </si>
  <si>
    <t>Lower</t>
  </si>
  <si>
    <t>st dev of population</t>
  </si>
  <si>
    <r>
      <t xml:space="preserve">z- Score Using </t>
    </r>
    <r>
      <rPr>
        <sz val="12"/>
        <color theme="1"/>
        <rFont val="Symbol"/>
        <charset val="2"/>
      </rPr>
      <t xml:space="preserve">s </t>
    </r>
    <r>
      <rPr>
        <sz val="12"/>
        <color theme="1"/>
        <rFont val="Calibri"/>
        <family val="2"/>
        <scheme val="minor"/>
      </rPr>
      <t>(</t>
    </r>
    <r>
      <rPr>
        <sz val="12"/>
        <color theme="1"/>
        <rFont val="Calibri (Body)"/>
      </rPr>
      <t>not s</t>
    </r>
    <r>
      <rPr>
        <sz val="12"/>
        <color theme="1"/>
        <rFont val="Calibri"/>
        <family val="2"/>
        <scheme val="minor"/>
      </rPr>
      <t>)</t>
    </r>
  </si>
  <si>
    <t>st dev of sample</t>
  </si>
  <si>
    <r>
      <t xml:space="preserve">t- Score Using s (not </t>
    </r>
    <r>
      <rPr>
        <sz val="12"/>
        <color theme="1"/>
        <rFont val="Symbol"/>
        <charset val="2"/>
      </rPr>
      <t>s</t>
    </r>
    <r>
      <rPr>
        <sz val="12"/>
        <color theme="1"/>
        <rFont val="Calibri"/>
        <family val="2"/>
        <scheme val="minor"/>
      </rPr>
      <t>)</t>
    </r>
  </si>
  <si>
    <t>margin of error</t>
  </si>
  <si>
    <t>MOE_z</t>
  </si>
  <si>
    <t>MOE_t</t>
  </si>
  <si>
    <t>p</t>
  </si>
  <si>
    <t>Std Dev</t>
  </si>
  <si>
    <t>Proportions</t>
  </si>
  <si>
    <t>Means</t>
  </si>
  <si>
    <t>Confidence Intervals</t>
  </si>
  <si>
    <t>Data</t>
  </si>
  <si>
    <t>Right Tail</t>
  </si>
  <si>
    <t>Left Tail</t>
  </si>
  <si>
    <t>Two Tailed</t>
  </si>
  <si>
    <t>p-value</t>
  </si>
  <si>
    <t>t_critical</t>
  </si>
  <si>
    <t>df</t>
  </si>
  <si>
    <t>standard error = st dev/ sqrt sample size</t>
  </si>
  <si>
    <t>Test Statistic t_calc</t>
  </si>
  <si>
    <t>Significance</t>
  </si>
  <si>
    <t>Hyp. Mean</t>
  </si>
  <si>
    <t>Hyp. Proportion</t>
  </si>
  <si>
    <t>Sample Stdev.</t>
  </si>
  <si>
    <t>Sample Mean</t>
  </si>
  <si>
    <t>Sample Size</t>
  </si>
  <si>
    <t>Proportions (Exact)</t>
  </si>
  <si>
    <t>1 Sample Tests</t>
  </si>
  <si>
    <t>Std Dev. Diff</t>
  </si>
  <si>
    <t>Correl.</t>
  </si>
  <si>
    <t>Mean Diff</t>
  </si>
  <si>
    <t>Hyp Mean</t>
  </si>
  <si>
    <t>Mean Difference</t>
  </si>
  <si>
    <t>Sample 2</t>
  </si>
  <si>
    <t>Sample 1</t>
  </si>
  <si>
    <t>Independent Proportions (Exact)</t>
  </si>
  <si>
    <t>Dependent Means</t>
  </si>
  <si>
    <t>Independent Means</t>
  </si>
  <si>
    <t>2 Sample Tests</t>
  </si>
  <si>
    <t>Data 2</t>
  </si>
  <si>
    <t>Data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</si>
</sst>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"/>
    <numFmt numFmtId="165" formatCode="0.00000"/>
    <numFmt numFmtId="166" formatCode="0.000000000000000"/>
    <numFmt numFmtId="167" formatCode="0.000000"/>
    <numFmt numFmtId="168" formatCode="0.000"/>
    <numFmt numFmtId="169" formatCode="0.00000000"/>
  </numFmts>
  <fonts count="2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rgb="FF252525"/>
      <name val="Arial"/>
      <family val="2"/>
    </font>
    <font>
      <sz val="12"/>
      <color rgb="FF252525"/>
      <name val="Inherit"/>
    </font>
    <font>
      <sz val="10"/>
      <name val="MS Sans Serif"/>
    </font>
    <font>
      <sz val="10"/>
      <name val="Arial"/>
      <family val="2"/>
    </font>
    <font>
      <b/>
      <sz val="10"/>
      <name val="Arial"/>
      <family val="2"/>
    </font>
    <font>
      <sz val="10"/>
      <name val="Helvetica"/>
    </font>
    <font>
      <b/>
      <i/>
      <sz val="10"/>
      <name val="Arial"/>
      <family val="2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indexed="12"/>
      <name val="Arial"/>
      <family val="2"/>
    </font>
    <font>
      <sz val="12"/>
      <color theme="1"/>
      <name val="Calibri"/>
      <family val="2"/>
    </font>
    <font>
      <sz val="10"/>
      <name val="Arial"/>
    </font>
    <font>
      <sz val="10"/>
      <color indexed="10"/>
      <name val="Arial"/>
      <family val="2"/>
    </font>
    <font>
      <sz val="10"/>
      <color rgb="FF0070C0"/>
      <name val="Arial"/>
      <family val="2"/>
    </font>
    <font>
      <b/>
      <sz val="10"/>
      <color indexed="12"/>
      <name val="Arial"/>
      <family val="2"/>
    </font>
    <font>
      <sz val="10"/>
      <color indexed="12"/>
      <name val="Arial"/>
      <family val="2"/>
    </font>
    <font>
      <sz val="10"/>
      <color rgb="FF000000"/>
      <name val="Verdana"/>
      <family val="2"/>
    </font>
    <font>
      <sz val="12"/>
      <color theme="1"/>
      <name val="Symbol"/>
      <charset val="2"/>
    </font>
    <font>
      <sz val="12"/>
      <color theme="1"/>
      <name val="Calibri (Body)"/>
    </font>
    <font>
      <b/>
      <sz val="14"/>
      <color indexed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theme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5" fillId="0" borderId="0"/>
    <xf numFmtId="0" fontId="8" fillId="0" borderId="0"/>
    <xf numFmtId="0" fontId="14" fillId="0" borderId="0"/>
    <xf numFmtId="0" fontId="14" fillId="0" borderId="0"/>
  </cellStyleXfs>
  <cellXfs count="101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/>
    <xf numFmtId="10" fontId="2" fillId="0" borderId="0" xfId="1" applyNumberFormat="1" applyFont="1"/>
    <xf numFmtId="0" fontId="0" fillId="0" borderId="1" xfId="0" applyBorder="1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0" fontId="0" fillId="0" borderId="0" xfId="1" applyNumberFormat="1" applyFont="1" applyAlignment="1">
      <alignment horizontal="center"/>
    </xf>
    <xf numFmtId="0" fontId="0" fillId="2" borderId="0" xfId="0" applyFill="1" applyAlignment="1">
      <alignment horizontal="center"/>
    </xf>
    <xf numFmtId="0" fontId="3" fillId="0" borderId="0" xfId="0" applyFont="1"/>
    <xf numFmtId="0" fontId="4" fillId="0" borderId="0" xfId="0" applyFont="1"/>
    <xf numFmtId="3" fontId="4" fillId="0" borderId="0" xfId="0" applyNumberFormat="1" applyFont="1"/>
    <xf numFmtId="164" fontId="6" fillId="0" borderId="2" xfId="2" applyNumberFormat="1" applyFont="1" applyBorder="1" applyAlignment="1">
      <alignment horizontal="center"/>
    </xf>
    <xf numFmtId="164" fontId="6" fillId="0" borderId="3" xfId="2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7" fillId="3" borderId="4" xfId="2" applyFont="1" applyFill="1" applyBorder="1" applyAlignment="1">
      <alignment horizontal="center"/>
    </xf>
    <xf numFmtId="0" fontId="7" fillId="3" borderId="2" xfId="2" applyFont="1" applyFill="1" applyBorder="1" applyAlignment="1">
      <alignment horizontal="center"/>
    </xf>
    <xf numFmtId="0" fontId="7" fillId="3" borderId="5" xfId="2" applyFont="1" applyFill="1" applyBorder="1" applyAlignment="1">
      <alignment horizontal="center"/>
    </xf>
    <xf numFmtId="0" fontId="7" fillId="3" borderId="2" xfId="3" applyFont="1" applyFill="1" applyBorder="1" applyAlignment="1">
      <alignment horizontal="center"/>
    </xf>
    <xf numFmtId="0" fontId="7" fillId="3" borderId="5" xfId="3" applyFont="1" applyFill="1" applyBorder="1" applyAlignment="1">
      <alignment horizontal="center"/>
    </xf>
    <xf numFmtId="0" fontId="9" fillId="3" borderId="5" xfId="2" applyFont="1" applyFill="1" applyBorder="1" applyAlignment="1">
      <alignment horizontal="center"/>
    </xf>
    <xf numFmtId="0" fontId="10" fillId="0" borderId="0" xfId="0" applyFont="1"/>
    <xf numFmtId="0" fontId="2" fillId="0" borderId="0" xfId="0" applyFont="1" applyAlignment="1">
      <alignment horizontal="center"/>
    </xf>
    <xf numFmtId="0" fontId="11" fillId="0" borderId="0" xfId="0" applyFont="1"/>
    <xf numFmtId="0" fontId="0" fillId="0" borderId="6" xfId="0" applyBorder="1" applyAlignment="1">
      <alignment horizontal="center"/>
    </xf>
    <xf numFmtId="165" fontId="2" fillId="0" borderId="0" xfId="0" applyNumberFormat="1" applyFont="1" applyAlignment="1">
      <alignment horizontal="center"/>
    </xf>
    <xf numFmtId="166" fontId="10" fillId="0" borderId="0" xfId="0" applyNumberFormat="1" applyFont="1"/>
    <xf numFmtId="165" fontId="10" fillId="0" borderId="0" xfId="0" applyNumberFormat="1" applyFont="1"/>
    <xf numFmtId="2" fontId="0" fillId="2" borderId="0" xfId="0" applyNumberFormat="1" applyFill="1" applyAlignment="1">
      <alignment horizontal="center"/>
    </xf>
    <xf numFmtId="0" fontId="12" fillId="0" borderId="0" xfId="2" applyFont="1"/>
    <xf numFmtId="0" fontId="1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/>
    </xf>
    <xf numFmtId="0" fontId="0" fillId="2" borderId="0" xfId="1" applyNumberFormat="1" applyFont="1" applyFill="1" applyAlignment="1">
      <alignment horizontal="center"/>
    </xf>
    <xf numFmtId="0" fontId="13" fillId="0" borderId="0" xfId="0" applyFont="1"/>
    <xf numFmtId="9" fontId="0" fillId="2" borderId="0" xfId="1" applyFont="1" applyFill="1" applyAlignment="1">
      <alignment horizontal="center"/>
    </xf>
    <xf numFmtId="0" fontId="14" fillId="0" borderId="0" xfId="4"/>
    <xf numFmtId="164" fontId="14" fillId="3" borderId="7" xfId="4" applyNumberFormat="1" applyFill="1" applyBorder="1" applyAlignment="1">
      <alignment horizontal="center"/>
    </xf>
    <xf numFmtId="164" fontId="14" fillId="3" borderId="1" xfId="4" applyNumberFormat="1" applyFill="1" applyBorder="1" applyAlignment="1">
      <alignment horizontal="center"/>
    </xf>
    <xf numFmtId="164" fontId="15" fillId="3" borderId="1" xfId="4" applyNumberFormat="1" applyFont="1" applyFill="1" applyBorder="1" applyAlignment="1">
      <alignment horizontal="center"/>
    </xf>
    <xf numFmtId="0" fontId="7" fillId="3" borderId="1" xfId="4" applyFont="1" applyFill="1" applyBorder="1" applyAlignment="1">
      <alignment horizontal="center"/>
    </xf>
    <xf numFmtId="0" fontId="14" fillId="3" borderId="8" xfId="4" applyFill="1" applyBorder="1"/>
    <xf numFmtId="164" fontId="15" fillId="3" borderId="9" xfId="4" applyNumberFormat="1" applyFont="1" applyFill="1" applyBorder="1" applyAlignment="1">
      <alignment horizontal="center"/>
    </xf>
    <xf numFmtId="0" fontId="14" fillId="3" borderId="0" xfId="4" applyFill="1"/>
    <xf numFmtId="164" fontId="16" fillId="0" borderId="10" xfId="4" applyNumberFormat="1" applyFont="1" applyBorder="1" applyAlignment="1">
      <alignment horizontal="center"/>
    </xf>
    <xf numFmtId="0" fontId="7" fillId="3" borderId="5" xfId="4" applyFont="1" applyFill="1" applyBorder="1" applyAlignment="1">
      <alignment horizontal="center"/>
    </xf>
    <xf numFmtId="0" fontId="14" fillId="3" borderId="11" xfId="4" applyFill="1" applyBorder="1"/>
    <xf numFmtId="0" fontId="7" fillId="3" borderId="9" xfId="4" applyFont="1" applyFill="1" applyBorder="1" applyAlignment="1">
      <alignment horizontal="center"/>
    </xf>
    <xf numFmtId="0" fontId="7" fillId="3" borderId="12" xfId="4" applyFont="1" applyFill="1" applyBorder="1" applyAlignment="1">
      <alignment horizontal="center"/>
    </xf>
    <xf numFmtId="0" fontId="14" fillId="3" borderId="13" xfId="4" applyFill="1" applyBorder="1"/>
    <xf numFmtId="0" fontId="14" fillId="3" borderId="14" xfId="4" applyFill="1" applyBorder="1"/>
    <xf numFmtId="0" fontId="17" fillId="3" borderId="14" xfId="4" applyFont="1" applyFill="1" applyBorder="1" applyAlignment="1">
      <alignment horizontal="left"/>
    </xf>
    <xf numFmtId="0" fontId="14" fillId="3" borderId="15" xfId="4" applyFill="1" applyBorder="1"/>
    <xf numFmtId="0" fontId="14" fillId="3" borderId="7" xfId="4" applyFill="1" applyBorder="1"/>
    <xf numFmtId="0" fontId="14" fillId="3" borderId="1" xfId="4" applyFill="1" applyBorder="1"/>
    <xf numFmtId="0" fontId="14" fillId="3" borderId="9" xfId="4" applyFill="1" applyBorder="1"/>
    <xf numFmtId="164" fontId="16" fillId="0" borderId="16" xfId="4" applyNumberFormat="1" applyFont="1" applyBorder="1" applyAlignment="1">
      <alignment horizontal="center"/>
    </xf>
    <xf numFmtId="164" fontId="16" fillId="0" borderId="17" xfId="4" applyNumberFormat="1" applyFont="1" applyBorder="1" applyAlignment="1">
      <alignment horizontal="center"/>
    </xf>
    <xf numFmtId="164" fontId="14" fillId="3" borderId="9" xfId="4" applyNumberFormat="1" applyFill="1" applyBorder="1" applyAlignment="1">
      <alignment horizontal="center"/>
    </xf>
    <xf numFmtId="167" fontId="18" fillId="0" borderId="4" xfId="4" applyNumberFormat="1" applyFont="1" applyBorder="1" applyAlignment="1">
      <alignment horizontal="center"/>
    </xf>
    <xf numFmtId="0" fontId="18" fillId="0" borderId="18" xfId="4" applyFont="1" applyBorder="1" applyAlignment="1">
      <alignment horizontal="center"/>
    </xf>
    <xf numFmtId="0" fontId="7" fillId="3" borderId="19" xfId="4" applyFont="1" applyFill="1" applyBorder="1" applyAlignment="1">
      <alignment horizontal="center"/>
    </xf>
    <xf numFmtId="164" fontId="16" fillId="0" borderId="20" xfId="4" applyNumberFormat="1" applyFont="1" applyBorder="1" applyAlignment="1">
      <alignment horizontal="center"/>
    </xf>
    <xf numFmtId="0" fontId="18" fillId="0" borderId="4" xfId="4" applyFont="1" applyBorder="1" applyAlignment="1">
      <alignment horizontal="center"/>
    </xf>
    <xf numFmtId="164" fontId="16" fillId="0" borderId="21" xfId="4" applyNumberFormat="1" applyFont="1" applyBorder="1" applyAlignment="1">
      <alignment horizontal="center"/>
    </xf>
    <xf numFmtId="164" fontId="16" fillId="0" borderId="22" xfId="4" applyNumberFormat="1" applyFont="1" applyBorder="1" applyAlignment="1">
      <alignment horizontal="center"/>
    </xf>
    <xf numFmtId="164" fontId="16" fillId="0" borderId="23" xfId="4" applyNumberFormat="1" applyFont="1" applyBorder="1" applyAlignment="1">
      <alignment horizontal="center"/>
    </xf>
    <xf numFmtId="164" fontId="16" fillId="0" borderId="24" xfId="4" applyNumberFormat="1" applyFont="1" applyBorder="1" applyAlignment="1">
      <alignment horizontal="center"/>
    </xf>
    <xf numFmtId="164" fontId="16" fillId="0" borderId="2" xfId="4" applyNumberFormat="1" applyFont="1" applyBorder="1" applyAlignment="1">
      <alignment horizontal="center"/>
    </xf>
    <xf numFmtId="0" fontId="7" fillId="3" borderId="3" xfId="4" applyFont="1" applyFill="1" applyBorder="1" applyAlignment="1">
      <alignment horizontal="center"/>
    </xf>
    <xf numFmtId="0" fontId="14" fillId="3" borderId="9" xfId="4" applyFill="1" applyBorder="1" applyAlignment="1">
      <alignment horizontal="center"/>
    </xf>
    <xf numFmtId="0" fontId="14" fillId="4" borderId="21" xfId="4" applyFill="1" applyBorder="1" applyAlignment="1" applyProtection="1">
      <alignment horizontal="center"/>
      <protection locked="0"/>
    </xf>
    <xf numFmtId="0" fontId="14" fillId="4" borderId="22" xfId="4" applyFill="1" applyBorder="1" applyAlignment="1" applyProtection="1">
      <alignment horizontal="center"/>
      <protection locked="0"/>
    </xf>
    <xf numFmtId="0" fontId="14" fillId="4" borderId="23" xfId="4" applyFill="1" applyBorder="1" applyAlignment="1" applyProtection="1">
      <alignment horizontal="center"/>
      <protection locked="0"/>
    </xf>
    <xf numFmtId="0" fontId="7" fillId="5" borderId="25" xfId="4" applyFont="1" applyFill="1" applyBorder="1" applyAlignment="1" applyProtection="1">
      <alignment horizontal="center"/>
      <protection locked="0"/>
    </xf>
    <xf numFmtId="0" fontId="14" fillId="4" borderId="24" xfId="4" applyFill="1" applyBorder="1" applyAlignment="1" applyProtection="1">
      <alignment horizontal="center"/>
      <protection locked="0"/>
    </xf>
    <xf numFmtId="0" fontId="14" fillId="4" borderId="2" xfId="4" applyFill="1" applyBorder="1" applyAlignment="1" applyProtection="1">
      <alignment horizontal="center"/>
      <protection locked="0"/>
    </xf>
    <xf numFmtId="0" fontId="14" fillId="4" borderId="20" xfId="4" applyFill="1" applyBorder="1" applyAlignment="1" applyProtection="1">
      <alignment horizontal="center"/>
      <protection locked="0"/>
    </xf>
    <xf numFmtId="0" fontId="7" fillId="5" borderId="5" xfId="4" applyFont="1" applyFill="1" applyBorder="1" applyAlignment="1" applyProtection="1">
      <alignment horizontal="center"/>
      <protection locked="0"/>
    </xf>
    <xf numFmtId="0" fontId="14" fillId="4" borderId="16" xfId="4" applyFill="1" applyBorder="1" applyAlignment="1" applyProtection="1">
      <alignment horizontal="center"/>
      <protection locked="0"/>
    </xf>
    <xf numFmtId="0" fontId="14" fillId="4" borderId="17" xfId="4" applyFill="1" applyBorder="1" applyAlignment="1" applyProtection="1">
      <alignment horizontal="center"/>
      <protection locked="0"/>
    </xf>
    <xf numFmtId="0" fontId="14" fillId="4" borderId="10" xfId="4" applyFill="1" applyBorder="1" applyAlignment="1" applyProtection="1">
      <alignment horizontal="center"/>
      <protection locked="0"/>
    </xf>
    <xf numFmtId="0" fontId="7" fillId="5" borderId="12" xfId="4" applyFont="1" applyFill="1" applyBorder="1" applyAlignment="1" applyProtection="1">
      <alignment horizontal="center"/>
      <protection locked="0"/>
    </xf>
    <xf numFmtId="0" fontId="17" fillId="3" borderId="14" xfId="4" applyFont="1" applyFill="1" applyBorder="1"/>
    <xf numFmtId="0" fontId="12" fillId="0" borderId="0" xfId="4" applyFont="1"/>
    <xf numFmtId="165" fontId="2" fillId="0" borderId="26" xfId="0" applyNumberFormat="1" applyFont="1" applyBorder="1" applyAlignment="1">
      <alignment horizontal="center"/>
    </xf>
    <xf numFmtId="2" fontId="2" fillId="0" borderId="26" xfId="0" applyNumberFormat="1" applyFont="1" applyBorder="1" applyAlignment="1">
      <alignment horizontal="center"/>
    </xf>
    <xf numFmtId="167" fontId="2" fillId="0" borderId="26" xfId="0" applyNumberFormat="1" applyFont="1" applyBorder="1" applyAlignment="1">
      <alignment horizontal="center"/>
    </xf>
    <xf numFmtId="168" fontId="0" fillId="0" borderId="0" xfId="0" applyNumberFormat="1" applyAlignment="1">
      <alignment horizontal="center"/>
    </xf>
    <xf numFmtId="0" fontId="22" fillId="0" borderId="0" xfId="5" applyFont="1"/>
    <xf numFmtId="0" fontId="2" fillId="0" borderId="2" xfId="0" applyFont="1" applyBorder="1" applyAlignment="1">
      <alignment horizontal="center"/>
    </xf>
    <xf numFmtId="165" fontId="2" fillId="0" borderId="2" xfId="0" applyNumberFormat="1" applyFont="1" applyBorder="1"/>
    <xf numFmtId="164" fontId="2" fillId="0" borderId="2" xfId="0" applyNumberFormat="1" applyFont="1" applyBorder="1" applyAlignment="1">
      <alignment horizontal="center"/>
    </xf>
    <xf numFmtId="0" fontId="0" fillId="2" borderId="0" xfId="0" applyFill="1" applyAlignment="1">
      <alignment horizontal="center" vertical="center"/>
    </xf>
    <xf numFmtId="169" fontId="2" fillId="0" borderId="2" xfId="0" applyNumberFormat="1" applyFont="1" applyBorder="1"/>
    <xf numFmtId="164" fontId="2" fillId="0" borderId="2" xfId="0" applyNumberFormat="1" applyFont="1" applyBorder="1"/>
    <xf numFmtId="0" fontId="2" fillId="0" borderId="2" xfId="0" applyFont="1" applyBorder="1"/>
    <xf numFmtId="167" fontId="2" fillId="0" borderId="2" xfId="0" applyNumberFormat="1" applyFont="1" applyBorder="1"/>
    <xf numFmtId="164" fontId="0" fillId="2" borderId="0" xfId="0" applyNumberFormat="1" applyFill="1"/>
    <xf numFmtId="0" fontId="0" fillId="2" borderId="0" xfId="0" applyFill="1"/>
  </cellXfs>
  <cellStyles count="6">
    <cellStyle name="Normal" xfId="0" builtinId="0"/>
    <cellStyle name="Normal 2" xfId="4" xr:uid="{52F9C32E-1880-CE41-89C5-3A6118D62A36}"/>
    <cellStyle name="Normal_Binomial.xls" xfId="2" xr:uid="{381CD76B-A3D6-E642-BECE-6DD73DB80E0D}"/>
    <cellStyle name="Normal_Estimating Mean.xls" xfId="5" xr:uid="{A5A06E9B-53BD-B047-A533-74B7B9FA42E1}"/>
    <cellStyle name="Normal_Poisson.xls_1" xfId="3" xr:uid="{C6A5D4AF-7A85-6346-8066-86C468E1525F}"/>
    <cellStyle name="Percent" xfId="1" builtinId="5"/>
  </cellStyles>
  <dxfs count="6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Histogram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Frequency!$E$4</c:f>
              <c:strCache>
                <c:ptCount val="1"/>
                <c:pt idx="0">
                  <c:v>Freq</c:v>
                </c:pt>
              </c:strCache>
            </c:strRef>
          </c:tx>
          <c:spPr>
            <a:solidFill>
              <a:schemeClr val="accent1"/>
            </a:solidFill>
            <a:ln w="15875">
              <a:solidFill>
                <a:schemeClr val="tx1"/>
              </a:solidFill>
            </a:ln>
            <a:effectLst/>
          </c:spPr>
          <c:invertIfNegative val="0"/>
          <c:cat>
            <c:numRef>
              <c:f>Frequency!$D$5:$D$24</c:f>
              <c:numCache>
                <c:formatCode>General</c:formatCode>
                <c:ptCount val="20"/>
                <c:pt idx="0">
                  <c:v>74.900000000000006</c:v>
                </c:pt>
                <c:pt idx="1">
                  <c:v>79.900000000000006</c:v>
                </c:pt>
                <c:pt idx="2">
                  <c:v>84.9</c:v>
                </c:pt>
                <c:pt idx="3">
                  <c:v>89.9</c:v>
                </c:pt>
                <c:pt idx="4">
                  <c:v>94.9</c:v>
                </c:pt>
                <c:pt idx="5">
                  <c:v>99.9</c:v>
                </c:pt>
                <c:pt idx="6">
                  <c:v>104.9</c:v>
                </c:pt>
                <c:pt idx="7">
                  <c:v>109.9</c:v>
                </c:pt>
                <c:pt idx="8">
                  <c:v>114.9</c:v>
                </c:pt>
                <c:pt idx="9">
                  <c:v>119.9</c:v>
                </c:pt>
                <c:pt idx="10">
                  <c:v>124.9</c:v>
                </c:pt>
                <c:pt idx="11">
                  <c:v>129.9</c:v>
                </c:pt>
                <c:pt idx="12">
                  <c:v>134.9</c:v>
                </c:pt>
                <c:pt idx="13">
                  <c:v>139.9</c:v>
                </c:pt>
                <c:pt idx="14">
                  <c:v>144.9</c:v>
                </c:pt>
                <c:pt idx="15">
                  <c:v>149.9</c:v>
                </c:pt>
                <c:pt idx="16">
                  <c:v>154.9</c:v>
                </c:pt>
                <c:pt idx="17">
                  <c:v>159.9</c:v>
                </c:pt>
                <c:pt idx="18">
                  <c:v>164.9</c:v>
                </c:pt>
                <c:pt idx="19">
                  <c:v>169.9</c:v>
                </c:pt>
              </c:numCache>
            </c:numRef>
          </c:cat>
          <c:val>
            <c:numRef>
              <c:f>Frequency!$E$5:$E$24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6</c:v>
                </c:pt>
                <c:pt idx="4">
                  <c:v>3</c:v>
                </c:pt>
                <c:pt idx="5">
                  <c:v>8</c:v>
                </c:pt>
                <c:pt idx="6">
                  <c:v>8</c:v>
                </c:pt>
                <c:pt idx="7">
                  <c:v>6</c:v>
                </c:pt>
                <c:pt idx="8">
                  <c:v>3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6A-EE41-B8A0-41A9C1D6F1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86010143"/>
        <c:axId val="186011791"/>
      </c:barChart>
      <c:catAx>
        <c:axId val="1860101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End Limit</a:t>
                </a:r>
                <a:r>
                  <a:rPr lang="en-US" baseline="0"/>
                  <a:t> for Bins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011791"/>
        <c:crosses val="autoZero"/>
        <c:auto val="1"/>
        <c:lblAlgn val="ctr"/>
        <c:lblOffset val="100"/>
        <c:noMultiLvlLbl val="0"/>
      </c:catAx>
      <c:valAx>
        <c:axId val="186011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0101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6350</xdr:colOff>
      <xdr:row>6</xdr:row>
      <xdr:rowOff>95250</xdr:rowOff>
    </xdr:from>
    <xdr:to>
      <xdr:col>17</xdr:col>
      <xdr:colOff>596900</xdr:colOff>
      <xdr:row>25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34E439-856D-4841-ACBA-68BCA1100E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609600</xdr:colOff>
      <xdr:row>9</xdr:row>
      <xdr:rowOff>72390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BBBBD79-5072-7E44-AE4F-050C1A2C6A1B}"/>
            </a:ext>
          </a:extLst>
        </xdr:cNvPr>
        <xdr:cNvSpPr txBox="1"/>
      </xdr:nvSpPr>
      <xdr:spPr>
        <a:xfrm>
          <a:off x="4648200" y="190119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opLeftCell="A34" workbookViewId="0">
      <selection activeCell="D35" sqref="D35"/>
    </sheetView>
  </sheetViews>
  <sheetFormatPr baseColWidth="10" defaultRowHeight="16"/>
  <cols>
    <col min="1" max="1" width="20.5" bestFit="1" customWidth="1"/>
    <col min="2" max="2" width="17.83203125" bestFit="1" customWidth="1"/>
    <col min="3" max="3" width="12.1640625" bestFit="1" customWidth="1"/>
  </cols>
  <sheetData>
    <row r="1" spans="1:11" ht="17" thickBot="1">
      <c r="A1" t="s">
        <v>22</v>
      </c>
      <c r="B1" s="4" t="s">
        <v>0</v>
      </c>
      <c r="C1" s="4"/>
    </row>
    <row r="2" spans="1:11">
      <c r="A2">
        <v>42</v>
      </c>
      <c r="B2" s="1" t="s">
        <v>13</v>
      </c>
      <c r="C2" s="2">
        <f>COUNT(A:A)</f>
        <v>6</v>
      </c>
      <c r="K2">
        <f>112-C3</f>
        <v>67.166666666666657</v>
      </c>
    </row>
    <row r="3" spans="1:11">
      <c r="A3">
        <v>44</v>
      </c>
      <c r="B3" s="1" t="s">
        <v>1</v>
      </c>
      <c r="C3" s="2">
        <f>AVERAGE(A:A)</f>
        <v>44.833333333333336</v>
      </c>
      <c r="K3">
        <f>0-C3</f>
        <v>-44.833333333333336</v>
      </c>
    </row>
    <row r="4" spans="1:11">
      <c r="A4">
        <v>40</v>
      </c>
      <c r="B4" s="1" t="s">
        <v>2</v>
      </c>
      <c r="C4" s="2">
        <f>MEDIAN(A:A)</f>
        <v>45</v>
      </c>
      <c r="K4">
        <f>0-C3</f>
        <v>-44.833333333333336</v>
      </c>
    </row>
    <row r="5" spans="1:11">
      <c r="A5">
        <v>46</v>
      </c>
      <c r="B5" s="1" t="s">
        <v>3</v>
      </c>
      <c r="C5" s="2" t="e">
        <f>_xlfn.MODE.SNGL(A:A)</f>
        <v>#N/A</v>
      </c>
      <c r="D5" s="2"/>
      <c r="E5" s="2"/>
      <c r="F5" s="2"/>
      <c r="G5" s="2"/>
      <c r="H5" s="2"/>
      <c r="K5">
        <f>12-C3</f>
        <v>-32.833333333333336</v>
      </c>
    </row>
    <row r="6" spans="1:11">
      <c r="A6">
        <v>49</v>
      </c>
      <c r="B6" s="1" t="s">
        <v>4</v>
      </c>
      <c r="C6" s="2">
        <f>_xlfn.STDEV.S(A:A)</f>
        <v>3.488074922742725</v>
      </c>
      <c r="K6">
        <f>7-C3</f>
        <v>-37.833333333333336</v>
      </c>
    </row>
    <row r="7" spans="1:11">
      <c r="A7">
        <v>48</v>
      </c>
      <c r="B7" s="1" t="s">
        <v>6</v>
      </c>
      <c r="C7" s="2">
        <f>_xlfn.STDEV.P(A:A)</f>
        <v>3.1841621957571333</v>
      </c>
      <c r="K7">
        <f>18-C3</f>
        <v>-26.833333333333336</v>
      </c>
    </row>
    <row r="8" spans="1:11">
      <c r="B8" s="1" t="s">
        <v>5</v>
      </c>
      <c r="C8" s="2">
        <f>_xlfn.VAR.S(A:A)</f>
        <v>12.166666666666668</v>
      </c>
      <c r="K8">
        <f>0-C3</f>
        <v>-44.833333333333336</v>
      </c>
    </row>
    <row r="9" spans="1:11">
      <c r="B9" s="1" t="s">
        <v>7</v>
      </c>
      <c r="C9" s="2">
        <f>_xlfn.VAR.P(A:A)</f>
        <v>10.138888888888889</v>
      </c>
      <c r="K9">
        <f>25-C3</f>
        <v>-19.833333333333336</v>
      </c>
    </row>
    <row r="10" spans="1:11">
      <c r="B10" s="1" t="s">
        <v>8</v>
      </c>
      <c r="C10" s="2">
        <f>SKEW(A:A)</f>
        <v>-0.21600013595517281</v>
      </c>
      <c r="D10" t="s">
        <v>21</v>
      </c>
      <c r="K10">
        <f>0-C3</f>
        <v>-44.833333333333336</v>
      </c>
    </row>
    <row r="11" spans="1:11">
      <c r="B11" s="1" t="s">
        <v>9</v>
      </c>
      <c r="C11" s="2">
        <f>KURT(A:A)</f>
        <v>-1.4526552824169627</v>
      </c>
      <c r="D11" t="s">
        <v>19</v>
      </c>
      <c r="K11">
        <f>13-C3</f>
        <v>-31.833333333333336</v>
      </c>
    </row>
    <row r="12" spans="1:11">
      <c r="B12" s="1" t="s">
        <v>10</v>
      </c>
      <c r="C12" s="2">
        <f>MIN(A:A)</f>
        <v>40</v>
      </c>
      <c r="K12">
        <f>0-C3</f>
        <v>-44.833333333333336</v>
      </c>
    </row>
    <row r="13" spans="1:11">
      <c r="B13" s="1" t="s">
        <v>11</v>
      </c>
      <c r="C13" s="2">
        <f>MAX(A:A)</f>
        <v>49</v>
      </c>
      <c r="K13">
        <f>35-C3</f>
        <v>-9.8333333333333357</v>
      </c>
    </row>
    <row r="14" spans="1:11">
      <c r="B14" s="1" t="s">
        <v>14</v>
      </c>
      <c r="C14" s="2">
        <f>C13-C12</f>
        <v>9</v>
      </c>
    </row>
    <row r="15" spans="1:11">
      <c r="B15" s="1" t="s">
        <v>12</v>
      </c>
      <c r="C15" s="2">
        <f>SUM(A:A)</f>
        <v>269</v>
      </c>
    </row>
    <row r="16" spans="1:11">
      <c r="B16" s="1" t="s">
        <v>15</v>
      </c>
      <c r="C16" s="2">
        <f>_xlfn.QUARTILE.EXC(A:A,1)</f>
        <v>41.5</v>
      </c>
    </row>
    <row r="17" spans="2:4">
      <c r="B17" s="1" t="s">
        <v>16</v>
      </c>
      <c r="C17" s="2">
        <f>_xlfn.QUARTILE.EXC(A:A,3)</f>
        <v>48.25</v>
      </c>
    </row>
    <row r="18" spans="2:4">
      <c r="B18" s="1" t="s">
        <v>17</v>
      </c>
      <c r="C18" s="2">
        <f>C17-C16</f>
        <v>6.75</v>
      </c>
    </row>
    <row r="19" spans="2:4">
      <c r="B19" s="1" t="s">
        <v>18</v>
      </c>
      <c r="C19" s="3">
        <f>C6/C3</f>
        <v>7.7800927644819134E-2</v>
      </c>
      <c r="D19" t="s">
        <v>20</v>
      </c>
    </row>
  </sheetData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52616-40E7-C341-8A27-01BB44801A5A}">
  <dimension ref="A1:I41"/>
  <sheetViews>
    <sheetView topLeftCell="B1" workbookViewId="0">
      <selection activeCell="H36" sqref="H36"/>
    </sheetView>
  </sheetViews>
  <sheetFormatPr baseColWidth="10" defaultColWidth="11" defaultRowHeight="16"/>
  <cols>
    <col min="7" max="7" width="12.83203125" bestFit="1" customWidth="1"/>
    <col min="9" max="9" width="12.33203125" bestFit="1" customWidth="1"/>
  </cols>
  <sheetData>
    <row r="1" spans="1:9">
      <c r="A1" s="6" t="s">
        <v>34</v>
      </c>
      <c r="C1" s="6" t="s">
        <v>33</v>
      </c>
      <c r="D1" s="6" t="s">
        <v>10</v>
      </c>
      <c r="E1" s="6" t="s">
        <v>11</v>
      </c>
      <c r="F1" s="6" t="s">
        <v>32</v>
      </c>
      <c r="G1" s="6" t="s">
        <v>31</v>
      </c>
      <c r="H1" s="6" t="s">
        <v>30</v>
      </c>
      <c r="I1" s="6" t="s">
        <v>29</v>
      </c>
    </row>
    <row r="2" spans="1:9">
      <c r="A2">
        <v>100</v>
      </c>
      <c r="C2" s="8">
        <v>5</v>
      </c>
      <c r="D2" s="6">
        <f>MIN(A:A)</f>
        <v>74</v>
      </c>
      <c r="E2" s="6">
        <f>MAX(A:A)</f>
        <v>123</v>
      </c>
      <c r="F2" s="8">
        <v>10</v>
      </c>
      <c r="G2" s="6">
        <f>(E2-D2)/F2</f>
        <v>4.9000000000000004</v>
      </c>
      <c r="H2" s="6">
        <f>COUNT(A:A)</f>
        <v>40</v>
      </c>
      <c r="I2">
        <f t="array" aca="1" ref="I2" ca="1">MAX(LEN(OFFSET(A:A,1,0,ROWS(A:A)-1))-LEN(INT(OFFSET(A:A,1,0,ROWS(A:A)-1))))-1</f>
        <v>-1</v>
      </c>
    </row>
    <row r="3" spans="1:9">
      <c r="A3">
        <v>100</v>
      </c>
      <c r="C3" s="6"/>
      <c r="D3" s="6"/>
      <c r="E3" s="6"/>
      <c r="F3" s="6"/>
      <c r="G3" s="6"/>
      <c r="H3" s="6"/>
    </row>
    <row r="4" spans="1:9">
      <c r="A4">
        <v>84</v>
      </c>
      <c r="C4" s="6" t="s">
        <v>28</v>
      </c>
      <c r="D4" s="6" t="s">
        <v>27</v>
      </c>
      <c r="E4" s="6" t="s">
        <v>26</v>
      </c>
      <c r="F4" s="6" t="s">
        <v>25</v>
      </c>
      <c r="G4" s="6" t="s">
        <v>24</v>
      </c>
      <c r="H4" s="6" t="s">
        <v>23</v>
      </c>
    </row>
    <row r="5" spans="1:9">
      <c r="A5">
        <v>100</v>
      </c>
      <c r="C5" s="8">
        <v>70</v>
      </c>
      <c r="D5" s="6">
        <f ca="1">IF(I2&lt;=0,C6-0.1,C6-10^-(I2+1))</f>
        <v>74.900000000000006</v>
      </c>
      <c r="E5" s="6">
        <f t="array" aca="1" ref="E5:E24" ca="1">FREQUENCY(A:A,D5:D24)</f>
        <v>1</v>
      </c>
      <c r="F5" s="7">
        <f ca="1">E5/$H$2</f>
        <v>2.5000000000000001E-2</v>
      </c>
      <c r="G5" s="6">
        <f ca="1">E5</f>
        <v>1</v>
      </c>
      <c r="H5" s="5">
        <f ca="1">F5</f>
        <v>2.5000000000000001E-2</v>
      </c>
    </row>
    <row r="6" spans="1:9">
      <c r="A6">
        <v>87</v>
      </c>
      <c r="C6" s="6">
        <f>C5+$C$2</f>
        <v>75</v>
      </c>
      <c r="D6" s="6">
        <f ca="1">$C$2+D5</f>
        <v>79.900000000000006</v>
      </c>
      <c r="E6" s="6">
        <f ca="1"/>
        <v>1</v>
      </c>
      <c r="F6" s="7">
        <f ca="1">E6/$H$2</f>
        <v>2.5000000000000001E-2</v>
      </c>
      <c r="G6" s="6">
        <f ca="1">G5+E6</f>
        <v>2</v>
      </c>
      <c r="H6" s="5">
        <f ca="1">H5+F6</f>
        <v>0.05</v>
      </c>
    </row>
    <row r="7" spans="1:9">
      <c r="A7">
        <v>74</v>
      </c>
      <c r="C7" s="6">
        <f>C6+$C$2</f>
        <v>80</v>
      </c>
      <c r="D7" s="6">
        <f ca="1">$C$2+D6</f>
        <v>84.9</v>
      </c>
      <c r="E7" s="6">
        <f ca="1"/>
        <v>3</v>
      </c>
      <c r="F7" s="7">
        <f ca="1">E7/$H$2</f>
        <v>7.4999999999999997E-2</v>
      </c>
      <c r="G7" s="6">
        <f ca="1">G6+E7</f>
        <v>5</v>
      </c>
      <c r="H7" s="5">
        <f ca="1">H6+F7</f>
        <v>0.125</v>
      </c>
    </row>
    <row r="8" spans="1:9">
      <c r="A8">
        <v>108</v>
      </c>
      <c r="C8" s="6">
        <f>C7+$C$2</f>
        <v>85</v>
      </c>
      <c r="D8" s="6">
        <f ca="1">$C$2+D7</f>
        <v>89.9</v>
      </c>
      <c r="E8" s="6">
        <f ca="1"/>
        <v>6</v>
      </c>
      <c r="F8" s="7">
        <f ca="1">E8/$H$2</f>
        <v>0.15</v>
      </c>
      <c r="G8" s="6">
        <f ca="1">G7+E8</f>
        <v>11</v>
      </c>
      <c r="H8" s="5">
        <f ca="1">H7+F8</f>
        <v>0.27500000000000002</v>
      </c>
    </row>
    <row r="9" spans="1:9">
      <c r="A9">
        <v>110</v>
      </c>
      <c r="C9" s="6">
        <f>C8+$C$2</f>
        <v>90</v>
      </c>
      <c r="D9" s="6">
        <f ca="1">$C$2+D8</f>
        <v>94.9</v>
      </c>
      <c r="E9" s="6">
        <f ca="1"/>
        <v>3</v>
      </c>
      <c r="F9" s="7">
        <f ca="1">E9/$H$2</f>
        <v>7.4999999999999997E-2</v>
      </c>
      <c r="G9" s="6">
        <f ca="1">G8+E9</f>
        <v>14</v>
      </c>
      <c r="H9" s="5">
        <f ca="1">H8+F9</f>
        <v>0.35000000000000003</v>
      </c>
    </row>
    <row r="10" spans="1:9">
      <c r="A10">
        <v>98</v>
      </c>
      <c r="C10" s="6">
        <f>C9+$C$2</f>
        <v>95</v>
      </c>
      <c r="D10" s="6">
        <f ca="1">$C$2+D9</f>
        <v>99.9</v>
      </c>
      <c r="E10" s="6">
        <f ca="1"/>
        <v>8</v>
      </c>
      <c r="F10" s="7">
        <f ca="1">E10/$H$2</f>
        <v>0.2</v>
      </c>
      <c r="G10" s="6">
        <f ca="1">G9+E10</f>
        <v>22</v>
      </c>
      <c r="H10" s="5">
        <f ca="1">H9+F10</f>
        <v>0.55000000000000004</v>
      </c>
    </row>
    <row r="11" spans="1:9">
      <c r="A11">
        <v>105</v>
      </c>
      <c r="C11" s="6">
        <f>C10+$C$2</f>
        <v>100</v>
      </c>
      <c r="D11" s="6">
        <f ca="1">$C$2+D10</f>
        <v>104.9</v>
      </c>
      <c r="E11" s="6">
        <f ca="1"/>
        <v>8</v>
      </c>
      <c r="F11" s="7">
        <f ca="1">E11/$H$2</f>
        <v>0.2</v>
      </c>
      <c r="G11" s="6">
        <f ca="1">G10+E11</f>
        <v>30</v>
      </c>
      <c r="H11" s="5">
        <f ca="1">H10+F11</f>
        <v>0.75</v>
      </c>
    </row>
    <row r="12" spans="1:9">
      <c r="A12">
        <v>84</v>
      </c>
      <c r="C12" s="6">
        <f>C11+$C$2</f>
        <v>105</v>
      </c>
      <c r="D12" s="6">
        <f ca="1">$C$2+D11</f>
        <v>109.9</v>
      </c>
      <c r="E12" s="6">
        <f ca="1"/>
        <v>6</v>
      </c>
      <c r="F12" s="7">
        <f ca="1">E12/$H$2</f>
        <v>0.15</v>
      </c>
      <c r="G12" s="6">
        <f ca="1">G11+E12</f>
        <v>36</v>
      </c>
      <c r="H12" s="5">
        <f ca="1">H11+F12</f>
        <v>0.9</v>
      </c>
    </row>
    <row r="13" spans="1:9">
      <c r="A13">
        <v>85</v>
      </c>
      <c r="C13" s="6">
        <f>C12+$C$2</f>
        <v>110</v>
      </c>
      <c r="D13" s="6">
        <f ca="1">$C$2+D12</f>
        <v>114.9</v>
      </c>
      <c r="E13" s="6">
        <f ca="1"/>
        <v>3</v>
      </c>
      <c r="F13" s="7">
        <f ca="1">E13/$H$2</f>
        <v>7.4999999999999997E-2</v>
      </c>
      <c r="G13" s="6">
        <f ca="1">G12+E13</f>
        <v>39</v>
      </c>
      <c r="H13" s="5">
        <f ca="1">H12+F13</f>
        <v>0.97499999999999998</v>
      </c>
    </row>
    <row r="14" spans="1:9">
      <c r="A14">
        <v>113</v>
      </c>
      <c r="C14" s="6">
        <f>C13+$C$2</f>
        <v>115</v>
      </c>
      <c r="D14" s="6">
        <f ca="1">$C$2+D13</f>
        <v>119.9</v>
      </c>
      <c r="E14" s="6">
        <f ca="1"/>
        <v>0</v>
      </c>
      <c r="F14" s="7">
        <f ca="1">E14/$H$2</f>
        <v>0</v>
      </c>
      <c r="G14" s="6">
        <f ca="1">G13+E14</f>
        <v>39</v>
      </c>
      <c r="H14" s="5">
        <f ca="1">H13+F14</f>
        <v>0.97499999999999998</v>
      </c>
    </row>
    <row r="15" spans="1:9">
      <c r="A15">
        <v>100</v>
      </c>
      <c r="C15" s="6">
        <f>C14+$C$2</f>
        <v>120</v>
      </c>
      <c r="D15" s="6">
        <f ca="1">$C$2+D14</f>
        <v>124.9</v>
      </c>
      <c r="E15" s="6">
        <f ca="1"/>
        <v>1</v>
      </c>
      <c r="F15" s="7">
        <f ca="1">E15/$H$2</f>
        <v>2.5000000000000001E-2</v>
      </c>
      <c r="G15" s="6">
        <f ca="1">G14+E15</f>
        <v>40</v>
      </c>
      <c r="H15" s="5">
        <f ca="1">H14+F15</f>
        <v>1</v>
      </c>
    </row>
    <row r="16" spans="1:9">
      <c r="A16">
        <v>88</v>
      </c>
      <c r="C16" s="6">
        <f>C15+$C$2</f>
        <v>125</v>
      </c>
      <c r="D16" s="6">
        <f ca="1">$C$2+D15</f>
        <v>129.9</v>
      </c>
      <c r="E16" s="6">
        <f ca="1"/>
        <v>0</v>
      </c>
      <c r="F16" s="7">
        <f ca="1">E16/$H$2</f>
        <v>0</v>
      </c>
      <c r="G16" s="6">
        <f ca="1">G15+E16</f>
        <v>40</v>
      </c>
      <c r="H16" s="5">
        <f ca="1">H15+F16</f>
        <v>1</v>
      </c>
    </row>
    <row r="17" spans="1:8">
      <c r="A17">
        <v>95</v>
      </c>
      <c r="C17" s="6">
        <f>C16+$C$2</f>
        <v>130</v>
      </c>
      <c r="D17" s="6">
        <f ca="1">$C$2+D16</f>
        <v>134.9</v>
      </c>
      <c r="E17" s="6">
        <f ca="1"/>
        <v>0</v>
      </c>
      <c r="F17" s="7">
        <f ca="1">E17/$H$2</f>
        <v>0</v>
      </c>
      <c r="G17" s="6">
        <f ca="1">G16+E17</f>
        <v>40</v>
      </c>
      <c r="H17" s="5">
        <f ca="1">H16+F17</f>
        <v>1</v>
      </c>
    </row>
    <row r="18" spans="1:8">
      <c r="A18">
        <v>103</v>
      </c>
      <c r="C18" s="6">
        <f>C17+$C$2</f>
        <v>135</v>
      </c>
      <c r="D18" s="6">
        <f ca="1">$C$2+D17</f>
        <v>139.9</v>
      </c>
      <c r="E18" s="6">
        <f ca="1"/>
        <v>0</v>
      </c>
      <c r="F18" s="7">
        <f ca="1">E18/$H$2</f>
        <v>0</v>
      </c>
      <c r="G18" s="6">
        <f ca="1">G17+E18</f>
        <v>40</v>
      </c>
      <c r="H18" s="5">
        <f ca="1">H17+F18</f>
        <v>1</v>
      </c>
    </row>
    <row r="19" spans="1:8">
      <c r="A19">
        <v>105</v>
      </c>
      <c r="C19" s="6">
        <f>C18+$C$2</f>
        <v>140</v>
      </c>
      <c r="D19" s="6">
        <f ca="1">$C$2+D18</f>
        <v>144.9</v>
      </c>
      <c r="E19" s="6">
        <f ca="1"/>
        <v>0</v>
      </c>
      <c r="F19" s="7">
        <f ca="1">E19/$H$2</f>
        <v>0</v>
      </c>
      <c r="G19" s="6">
        <f ca="1">G18+E19</f>
        <v>40</v>
      </c>
      <c r="H19" s="5">
        <f ca="1">H18+F19</f>
        <v>1</v>
      </c>
    </row>
    <row r="20" spans="1:8">
      <c r="A20">
        <v>107</v>
      </c>
      <c r="C20" s="6">
        <f>C19+$C$2</f>
        <v>145</v>
      </c>
      <c r="D20" s="6">
        <f ca="1">$C$2+D19</f>
        <v>149.9</v>
      </c>
      <c r="E20" s="6">
        <f ca="1"/>
        <v>0</v>
      </c>
      <c r="F20" s="7">
        <f ca="1">E20/$H$2</f>
        <v>0</v>
      </c>
      <c r="G20" s="6">
        <f ca="1">G19+E20</f>
        <v>40</v>
      </c>
      <c r="H20" s="5">
        <f ca="1">H19+F20</f>
        <v>1</v>
      </c>
    </row>
    <row r="21" spans="1:8">
      <c r="A21">
        <v>85</v>
      </c>
      <c r="C21" s="6">
        <f>C20+$C$2</f>
        <v>150</v>
      </c>
      <c r="D21" s="6">
        <f ca="1">$C$2+D20</f>
        <v>154.9</v>
      </c>
      <c r="E21" s="6">
        <f ca="1"/>
        <v>0</v>
      </c>
      <c r="F21" s="7">
        <f ca="1">E21/$H$2</f>
        <v>0</v>
      </c>
      <c r="G21" s="6">
        <f ca="1">G20+E21</f>
        <v>40</v>
      </c>
      <c r="H21" s="5">
        <f ca="1">H20+F21</f>
        <v>1</v>
      </c>
    </row>
    <row r="22" spans="1:8">
      <c r="A22">
        <v>95</v>
      </c>
      <c r="C22" s="6">
        <f>C21+$C$2</f>
        <v>155</v>
      </c>
      <c r="D22" s="6">
        <f ca="1">$C$2+D21</f>
        <v>159.9</v>
      </c>
      <c r="E22" s="6">
        <f ca="1"/>
        <v>0</v>
      </c>
      <c r="F22" s="7">
        <f ca="1">E22/$H$2</f>
        <v>0</v>
      </c>
      <c r="G22" s="6">
        <f ca="1">G21+E22</f>
        <v>40</v>
      </c>
      <c r="H22" s="5">
        <f ca="1">H21+F22</f>
        <v>1</v>
      </c>
    </row>
    <row r="23" spans="1:8">
      <c r="A23">
        <v>99</v>
      </c>
      <c r="C23" s="6">
        <f>C22+$C$2</f>
        <v>160</v>
      </c>
      <c r="D23" s="6">
        <f ca="1">$C$2+D22</f>
        <v>164.9</v>
      </c>
      <c r="E23" s="6">
        <f ca="1"/>
        <v>0</v>
      </c>
      <c r="F23" s="7">
        <f ca="1">E23/$H$2</f>
        <v>0</v>
      </c>
      <c r="G23" s="6">
        <f ca="1">G22+E23</f>
        <v>40</v>
      </c>
      <c r="H23" s="5">
        <f ca="1">H22+F23</f>
        <v>1</v>
      </c>
    </row>
    <row r="24" spans="1:8">
      <c r="A24">
        <v>100</v>
      </c>
      <c r="C24" s="6">
        <f>C23+$C$2</f>
        <v>165</v>
      </c>
      <c r="D24" s="6">
        <f ca="1">$C$2+D23</f>
        <v>169.9</v>
      </c>
      <c r="E24" s="6">
        <f ca="1"/>
        <v>0</v>
      </c>
      <c r="F24" s="7">
        <f ca="1">E24/$H$2</f>
        <v>0</v>
      </c>
      <c r="G24" s="6">
        <f ca="1">G23+E24</f>
        <v>40</v>
      </c>
      <c r="H24" s="5">
        <f ca="1">H23+F24</f>
        <v>1</v>
      </c>
    </row>
    <row r="25" spans="1:8">
      <c r="A25">
        <v>79</v>
      </c>
    </row>
    <row r="26" spans="1:8">
      <c r="A26">
        <v>99</v>
      </c>
    </row>
    <row r="27" spans="1:8">
      <c r="A27">
        <v>110</v>
      </c>
    </row>
    <row r="28" spans="1:8">
      <c r="A28">
        <v>83</v>
      </c>
    </row>
    <row r="29" spans="1:8">
      <c r="A29">
        <v>98</v>
      </c>
    </row>
    <row r="30" spans="1:8">
      <c r="A30">
        <v>86</v>
      </c>
    </row>
    <row r="31" spans="1:8">
      <c r="A31">
        <v>101</v>
      </c>
    </row>
    <row r="32" spans="1:8">
      <c r="A32">
        <v>99</v>
      </c>
    </row>
    <row r="33" spans="1:1">
      <c r="A33">
        <v>91</v>
      </c>
    </row>
    <row r="34" spans="1:1">
      <c r="A34">
        <v>100</v>
      </c>
    </row>
    <row r="35" spans="1:1">
      <c r="A35">
        <v>123</v>
      </c>
    </row>
    <row r="36" spans="1:1">
      <c r="A36">
        <v>93</v>
      </c>
    </row>
    <row r="37" spans="1:1">
      <c r="A37">
        <v>87</v>
      </c>
    </row>
    <row r="38" spans="1:1">
      <c r="A38">
        <v>91</v>
      </c>
    </row>
    <row r="39" spans="1:1">
      <c r="A39">
        <v>108</v>
      </c>
    </row>
    <row r="40" spans="1:1">
      <c r="A40">
        <v>107</v>
      </c>
    </row>
    <row r="41" spans="1:1">
      <c r="A41">
        <v>99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C0D2F-AE5A-324D-BF74-CB70C631F3FC}">
  <dimension ref="B1:K25"/>
  <sheetViews>
    <sheetView zoomScale="132" workbookViewId="0">
      <selection activeCell="C14" sqref="C14"/>
    </sheetView>
  </sheetViews>
  <sheetFormatPr baseColWidth="10" defaultColWidth="11" defaultRowHeight="16"/>
  <cols>
    <col min="2" max="11" width="11" style="6"/>
  </cols>
  <sheetData>
    <row r="1" spans="2:11">
      <c r="B1" s="20" t="s">
        <v>43</v>
      </c>
      <c r="C1" s="19" t="s">
        <v>42</v>
      </c>
      <c r="D1" s="19" t="s">
        <v>41</v>
      </c>
      <c r="E1" s="18" t="s">
        <v>40</v>
      </c>
      <c r="F1" s="18" t="s">
        <v>39</v>
      </c>
      <c r="G1"/>
      <c r="H1" s="17" t="s">
        <v>38</v>
      </c>
      <c r="I1" s="17" t="s">
        <v>37</v>
      </c>
      <c r="J1" s="16" t="s">
        <v>5</v>
      </c>
      <c r="K1" s="15" t="s">
        <v>36</v>
      </c>
    </row>
    <row r="2" spans="2:11">
      <c r="B2" s="11">
        <v>1200</v>
      </c>
      <c r="C2" s="10">
        <v>0.21</v>
      </c>
      <c r="D2" s="6">
        <f>C2/$H$2</f>
        <v>0.21</v>
      </c>
      <c r="E2" s="6">
        <f>D2</f>
        <v>0.21</v>
      </c>
      <c r="F2" s="6">
        <f>F3+D2</f>
        <v>1</v>
      </c>
      <c r="H2" s="14">
        <f>SUM(C:C)</f>
        <v>1</v>
      </c>
      <c r="I2" s="13">
        <f>SUMPRODUCT(B:B,D:D)</f>
        <v>4018</v>
      </c>
      <c r="J2" s="13"/>
      <c r="K2" s="12"/>
    </row>
    <row r="3" spans="2:11">
      <c r="B3" s="11">
        <v>2500</v>
      </c>
      <c r="C3" s="10">
        <v>0.41</v>
      </c>
      <c r="D3" s="6">
        <f>C3/$H$2</f>
        <v>0.41</v>
      </c>
      <c r="E3" s="6">
        <f>D3+E2</f>
        <v>0.62</v>
      </c>
      <c r="F3" s="6">
        <f>F4+D3</f>
        <v>0.79</v>
      </c>
    </row>
    <row r="4" spans="2:11">
      <c r="B4" s="11">
        <v>5200</v>
      </c>
      <c r="C4" s="10">
        <v>0.21</v>
      </c>
      <c r="D4" s="6">
        <f>C4/$H$2</f>
        <v>0.21</v>
      </c>
      <c r="E4" s="6">
        <f>D4+E3</f>
        <v>0.83</v>
      </c>
      <c r="F4" s="6">
        <f>F5+D4</f>
        <v>0.38</v>
      </c>
    </row>
    <row r="5" spans="2:11">
      <c r="B5" s="11">
        <v>9700</v>
      </c>
      <c r="C5" s="10">
        <v>0.17</v>
      </c>
      <c r="D5" s="6">
        <f>C5/$H$2</f>
        <v>0.17</v>
      </c>
      <c r="E5" s="6">
        <f>D5+E4</f>
        <v>1</v>
      </c>
      <c r="F5" s="6">
        <f>F6+D5</f>
        <v>0.17</v>
      </c>
    </row>
    <row r="6" spans="2:11">
      <c r="B6" s="8"/>
      <c r="C6" s="8"/>
      <c r="D6" s="6">
        <f>C6/$H$2</f>
        <v>0</v>
      </c>
      <c r="E6" s="6">
        <f>D6+E5</f>
        <v>1</v>
      </c>
      <c r="F6" s="6">
        <f>F7+D6</f>
        <v>0</v>
      </c>
    </row>
    <row r="7" spans="2:11">
      <c r="B7" s="8"/>
      <c r="C7" s="8"/>
      <c r="D7" s="6">
        <f>C7/$H$2</f>
        <v>0</v>
      </c>
      <c r="E7" s="6">
        <f>D7+E6</f>
        <v>1</v>
      </c>
      <c r="F7" s="6">
        <f>F8+D7</f>
        <v>0</v>
      </c>
    </row>
    <row r="8" spans="2:11">
      <c r="B8" s="8"/>
      <c r="C8" s="8"/>
      <c r="D8" s="6">
        <f>C8/$H$2</f>
        <v>0</v>
      </c>
      <c r="E8" s="6">
        <f>D8+E7</f>
        <v>1</v>
      </c>
      <c r="F8" s="6">
        <f>D8</f>
        <v>0</v>
      </c>
    </row>
    <row r="13" spans="2:11">
      <c r="G13" s="6" t="s">
        <v>35</v>
      </c>
    </row>
    <row r="21" spans="6:7">
      <c r="F21" s="11"/>
      <c r="G21" s="10"/>
    </row>
    <row r="22" spans="6:7">
      <c r="F22" s="11"/>
      <c r="G22" s="10"/>
    </row>
    <row r="23" spans="6:7">
      <c r="F23" s="11"/>
      <c r="G23" s="10"/>
    </row>
    <row r="24" spans="6:7">
      <c r="F24" s="11"/>
      <c r="G24" s="10"/>
    </row>
    <row r="25" spans="6:7">
      <c r="F25" s="9"/>
      <c r="G2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E2FFF-EE1B-1949-84EE-A859C94E52DF}">
  <dimension ref="A1:L27"/>
  <sheetViews>
    <sheetView zoomScale="108" workbookViewId="0">
      <selection activeCell="I16" sqref="I16"/>
    </sheetView>
  </sheetViews>
  <sheetFormatPr baseColWidth="10" defaultColWidth="11" defaultRowHeight="16"/>
  <cols>
    <col min="3" max="3" width="11" customWidth="1"/>
    <col min="4" max="4" width="33.33203125" bestFit="1" customWidth="1"/>
    <col min="6" max="6" width="11" customWidth="1"/>
    <col min="9" max="9" width="11" customWidth="1"/>
    <col min="12" max="12" width="11" customWidth="1"/>
  </cols>
  <sheetData>
    <row r="1" spans="1:12">
      <c r="A1" s="29" t="s">
        <v>73</v>
      </c>
      <c r="B1" s="6"/>
      <c r="D1" s="29" t="s">
        <v>72</v>
      </c>
      <c r="E1" s="6"/>
      <c r="G1" s="29" t="s">
        <v>71</v>
      </c>
      <c r="H1" s="6"/>
      <c r="J1" s="29" t="s">
        <v>70</v>
      </c>
      <c r="K1" s="6"/>
    </row>
    <row r="2" spans="1:12">
      <c r="A2" s="1" t="s">
        <v>30</v>
      </c>
      <c r="B2" s="8">
        <v>12</v>
      </c>
      <c r="D2" s="1" t="s">
        <v>69</v>
      </c>
      <c r="E2" s="8">
        <v>8</v>
      </c>
      <c r="G2" s="1" t="s">
        <v>1</v>
      </c>
      <c r="H2" s="8">
        <v>5</v>
      </c>
      <c r="J2" s="1" t="s">
        <v>68</v>
      </c>
      <c r="K2" s="28">
        <v>0.2</v>
      </c>
      <c r="L2" t="s">
        <v>67</v>
      </c>
    </row>
    <row r="3" spans="1:12">
      <c r="A3" s="1" t="s">
        <v>66</v>
      </c>
      <c r="B3" s="8">
        <v>0.2</v>
      </c>
      <c r="D3" s="1" t="s">
        <v>43</v>
      </c>
      <c r="E3" s="8">
        <v>2</v>
      </c>
      <c r="G3" s="1" t="s">
        <v>47</v>
      </c>
      <c r="H3" s="8">
        <v>10</v>
      </c>
      <c r="J3" s="1" t="s">
        <v>65</v>
      </c>
      <c r="K3" s="6">
        <f>1/K2</f>
        <v>5</v>
      </c>
    </row>
    <row r="4" spans="1:12">
      <c r="A4" s="1" t="s">
        <v>43</v>
      </c>
      <c r="B4" s="8">
        <v>0</v>
      </c>
      <c r="D4" s="1" t="s">
        <v>62</v>
      </c>
      <c r="E4" s="25">
        <f>_xlfn.POISSON.DIST(E3,E2,0)</f>
        <v>1.0734804092880379E-2</v>
      </c>
      <c r="F4" s="21"/>
      <c r="K4" s="22"/>
    </row>
    <row r="5" spans="1:12">
      <c r="A5" s="1" t="s">
        <v>64</v>
      </c>
      <c r="B5" s="22">
        <f>B2*B3</f>
        <v>2.4000000000000004</v>
      </c>
      <c r="C5" s="21"/>
      <c r="D5" s="1" t="s">
        <v>61</v>
      </c>
      <c r="E5" s="25">
        <f>_xlfn.POISSON.DIST(E3,E2,1)</f>
        <v>1.3753967744002987E-2</v>
      </c>
      <c r="F5" s="21"/>
      <c r="G5" s="24" t="s">
        <v>63</v>
      </c>
      <c r="H5" s="24"/>
      <c r="J5" s="24" t="s">
        <v>63</v>
      </c>
      <c r="K5" s="24"/>
    </row>
    <row r="6" spans="1:12">
      <c r="A6" s="1" t="s">
        <v>62</v>
      </c>
      <c r="B6" s="25">
        <f>_xlfn.BINOM.DIST(B4, B2, B3, 0)</f>
        <v>6.8719476735999971E-2</v>
      </c>
      <c r="C6" s="21"/>
      <c r="D6" s="1" t="s">
        <v>59</v>
      </c>
      <c r="E6" s="25">
        <f>IF(E3=0,0,_xlfn.POISSON.DIST(E3-1,E2,1))</f>
        <v>3.0191636511226068E-3</v>
      </c>
      <c r="F6" s="21"/>
      <c r="G6" s="1" t="s">
        <v>43</v>
      </c>
      <c r="H6" s="8">
        <v>3.8</v>
      </c>
      <c r="J6" s="1" t="s">
        <v>43</v>
      </c>
      <c r="K6" s="8">
        <v>25</v>
      </c>
    </row>
    <row r="7" spans="1:12">
      <c r="A7" s="1" t="s">
        <v>61</v>
      </c>
      <c r="B7" s="25">
        <f>_xlfn.BINOM.DIST(B4, B2, B3, 1)</f>
        <v>6.8719476735999971E-2</v>
      </c>
      <c r="C7" s="21"/>
      <c r="D7" s="1" t="s">
        <v>39</v>
      </c>
      <c r="E7" s="25">
        <f>IF(E3=0,1,1-_xlfn.POISSON.DIST(E3-1,E2,1))</f>
        <v>0.99698083634887735</v>
      </c>
      <c r="F7" s="21"/>
      <c r="G7" s="1" t="s">
        <v>51</v>
      </c>
      <c r="H7" s="25">
        <f>_xlfn.NORM.DIST(H6,H2,H3,1)</f>
        <v>0.45224157397941611</v>
      </c>
      <c r="I7" s="21" t="s">
        <v>60</v>
      </c>
      <c r="J7" s="1" t="s">
        <v>51</v>
      </c>
      <c r="K7" s="25">
        <f>_xlfn.EXPON.DIST(K6,K2,1)</f>
        <v>0.99326205300091452</v>
      </c>
      <c r="L7" s="21"/>
    </row>
    <row r="8" spans="1:12">
      <c r="A8" s="1" t="s">
        <v>59</v>
      </c>
      <c r="B8" s="25">
        <f>IF(B4=0, 0, _xlfn.BINOM.DIST(B4-1,B2,B3,1))</f>
        <v>0</v>
      </c>
      <c r="C8" s="21"/>
      <c r="D8" s="1" t="s">
        <v>50</v>
      </c>
      <c r="E8" s="25">
        <f>1-_xlfn.POISSON.DIST(E3,E2,1)</f>
        <v>0.98624603225599705</v>
      </c>
      <c r="F8" s="21"/>
      <c r="G8" s="1" t="s">
        <v>50</v>
      </c>
      <c r="H8" s="25">
        <f>1-H7</f>
        <v>0.54775842602058389</v>
      </c>
      <c r="I8" s="27" t="s">
        <v>58</v>
      </c>
      <c r="J8" s="1" t="s">
        <v>50</v>
      </c>
      <c r="K8" s="25">
        <f>1-K7</f>
        <v>6.7379469990854757E-3</v>
      </c>
      <c r="L8" s="21"/>
    </row>
    <row r="9" spans="1:12">
      <c r="A9" s="1" t="s">
        <v>39</v>
      </c>
      <c r="B9" s="25">
        <f>IF(B4=0, 1, 1- _xlfn.BINOM.DIST(B4-1,B2,B3,1))</f>
        <v>1</v>
      </c>
      <c r="C9" s="21"/>
      <c r="G9" s="1" t="s">
        <v>52</v>
      </c>
      <c r="H9" s="22">
        <f>STANDARDIZE(H6,H2,H3)</f>
        <v>-0.12000000000000002</v>
      </c>
      <c r="I9" s="21"/>
      <c r="L9" s="23"/>
    </row>
    <row r="10" spans="1:12">
      <c r="A10" s="1" t="s">
        <v>50</v>
      </c>
      <c r="B10" s="25">
        <f>1-_xlfn.BINOM.DIST(B4,B2, B3, 1)</f>
        <v>0.93128052326400002</v>
      </c>
      <c r="C10" s="21"/>
      <c r="I10" s="23"/>
      <c r="J10" s="24" t="s">
        <v>57</v>
      </c>
      <c r="K10" s="24"/>
      <c r="L10" s="23"/>
    </row>
    <row r="11" spans="1:12">
      <c r="G11" s="24" t="s">
        <v>57</v>
      </c>
      <c r="H11" s="24"/>
      <c r="I11" s="23"/>
      <c r="J11" s="1" t="s">
        <v>46</v>
      </c>
      <c r="K11" s="8">
        <v>0.3</v>
      </c>
      <c r="L11" s="23"/>
    </row>
    <row r="12" spans="1:12">
      <c r="G12" s="1" t="s">
        <v>46</v>
      </c>
      <c r="H12" s="8">
        <v>0.9</v>
      </c>
      <c r="I12" s="23"/>
      <c r="J12" s="1" t="s">
        <v>56</v>
      </c>
      <c r="K12" s="22">
        <f>-LN(1-K11)*(1/K2)</f>
        <v>1.7833747196936622</v>
      </c>
      <c r="L12" s="21"/>
    </row>
    <row r="13" spans="1:12">
      <c r="G13" s="1" t="s">
        <v>56</v>
      </c>
      <c r="H13" s="22">
        <f>_xlfn.NORM.INV(H12,H2,H3)</f>
        <v>17.815515655446006</v>
      </c>
      <c r="I13" s="21"/>
      <c r="J13" s="1" t="s">
        <v>55</v>
      </c>
      <c r="K13" s="22">
        <f>-LN(K11)*(1/K2)</f>
        <v>6.0198640216296804</v>
      </c>
      <c r="L13" s="21"/>
    </row>
    <row r="14" spans="1:12">
      <c r="G14" s="1" t="s">
        <v>55</v>
      </c>
      <c r="H14" s="22">
        <f>_xlfn.NORM.INV(1-H12,H2,H3)</f>
        <v>-7.8155156554460063</v>
      </c>
      <c r="I14" s="21"/>
    </row>
    <row r="15" spans="1:12">
      <c r="G15" s="1" t="s">
        <v>54</v>
      </c>
      <c r="H15" s="22">
        <f>_xlfn.NORM.S.INV(H12)</f>
        <v>1.2815515655446006</v>
      </c>
      <c r="I15" s="21"/>
    </row>
    <row r="16" spans="1:12">
      <c r="I16" s="23"/>
      <c r="K16" s="2"/>
    </row>
    <row r="17" spans="7:9">
      <c r="G17" s="24" t="s">
        <v>53</v>
      </c>
      <c r="H17" s="24"/>
      <c r="I17" s="23"/>
    </row>
    <row r="18" spans="7:9">
      <c r="G18" s="1" t="s">
        <v>52</v>
      </c>
      <c r="H18" s="8">
        <v>-0.5</v>
      </c>
      <c r="I18" s="23"/>
    </row>
    <row r="19" spans="7:9">
      <c r="G19" s="1" t="s">
        <v>51</v>
      </c>
      <c r="H19" s="25">
        <f>_xlfn.NORM.S.DIST(H18,1)</f>
        <v>0.30853753872598688</v>
      </c>
      <c r="I19" s="26"/>
    </row>
    <row r="20" spans="7:9">
      <c r="G20" s="1" t="s">
        <v>50</v>
      </c>
      <c r="H20" s="25">
        <f>1-H19</f>
        <v>0.69146246127401312</v>
      </c>
      <c r="I20" s="21"/>
    </row>
    <row r="21" spans="7:9">
      <c r="I21" s="23"/>
    </row>
    <row r="22" spans="7:9">
      <c r="G22" s="24" t="s">
        <v>49</v>
      </c>
      <c r="H22" s="24"/>
      <c r="I22" s="23"/>
    </row>
    <row r="23" spans="7:9">
      <c r="G23" s="1" t="s">
        <v>48</v>
      </c>
      <c r="H23" s="8">
        <v>2</v>
      </c>
      <c r="I23" s="23"/>
    </row>
    <row r="24" spans="7:9">
      <c r="G24" s="1" t="s">
        <v>47</v>
      </c>
      <c r="H24" s="8">
        <v>1</v>
      </c>
      <c r="I24" s="23"/>
    </row>
    <row r="25" spans="7:9">
      <c r="G25" s="1" t="s">
        <v>46</v>
      </c>
      <c r="H25" s="8">
        <v>2.5000000000000001E-2</v>
      </c>
      <c r="I25" s="23"/>
    </row>
    <row r="26" spans="7:9">
      <c r="G26" s="1" t="s">
        <v>45</v>
      </c>
      <c r="H26" s="22">
        <f>_xlfn.NORM.INV(H25,H23,H24)</f>
        <v>4.0036015459946173E-2</v>
      </c>
      <c r="I26" s="21"/>
    </row>
    <row r="27" spans="7:9">
      <c r="G27" s="1" t="s">
        <v>44</v>
      </c>
      <c r="H27" s="22">
        <f>_xlfn.NORM.INV(1-H25,H23,H24)</f>
        <v>3.9599639845400536</v>
      </c>
      <c r="I27" s="21"/>
    </row>
  </sheetData>
  <mergeCells count="6">
    <mergeCell ref="G22:H22"/>
    <mergeCell ref="G5:H5"/>
    <mergeCell ref="J5:K5"/>
    <mergeCell ref="J10:K10"/>
    <mergeCell ref="G11:H11"/>
    <mergeCell ref="G17:H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47B6E-14B8-B240-BC86-00A63D952707}">
  <dimension ref="A1:E10"/>
  <sheetViews>
    <sheetView workbookViewId="0">
      <selection activeCell="L11" sqref="L11"/>
    </sheetView>
  </sheetViews>
  <sheetFormatPr baseColWidth="10" defaultColWidth="8.83203125" defaultRowHeight="16"/>
  <cols>
    <col min="1" max="1" width="15" customWidth="1"/>
    <col min="4" max="4" width="15.6640625" customWidth="1"/>
    <col min="5" max="5" width="19.1640625" customWidth="1"/>
  </cols>
  <sheetData>
    <row r="1" spans="1:5" ht="17" thickBot="1">
      <c r="A1" s="4" t="s">
        <v>84</v>
      </c>
      <c r="B1" s="4"/>
      <c r="D1" s="4" t="s">
        <v>83</v>
      </c>
      <c r="E1" s="4"/>
    </row>
    <row r="2" spans="1:5">
      <c r="A2" t="s">
        <v>82</v>
      </c>
      <c r="B2" s="36">
        <v>0.95</v>
      </c>
      <c r="D2" t="s">
        <v>82</v>
      </c>
      <c r="E2" s="36">
        <v>0.95</v>
      </c>
    </row>
    <row r="3" spans="1:5">
      <c r="A3" t="s">
        <v>81</v>
      </c>
      <c r="B3" s="34">
        <v>1.5</v>
      </c>
      <c r="D3" s="35" t="s">
        <v>80</v>
      </c>
      <c r="E3" s="34">
        <v>0.5</v>
      </c>
    </row>
    <row r="4" spans="1:5">
      <c r="A4" t="s">
        <v>79</v>
      </c>
      <c r="B4" s="34">
        <v>0.25</v>
      </c>
      <c r="D4" t="s">
        <v>78</v>
      </c>
      <c r="E4" s="34">
        <v>0.04</v>
      </c>
    </row>
    <row r="5" spans="1:5">
      <c r="A5" t="s">
        <v>77</v>
      </c>
      <c r="B5" s="33">
        <f>1-B2</f>
        <v>5.0000000000000044E-2</v>
      </c>
      <c r="D5" t="s">
        <v>77</v>
      </c>
      <c r="E5" s="32">
        <f>1-E2</f>
        <v>5.0000000000000044E-2</v>
      </c>
    </row>
    <row r="6" spans="1:5">
      <c r="A6" t="s">
        <v>76</v>
      </c>
      <c r="B6" s="6">
        <f>(_xlfn.NORM.S.INV(B5/2)*B3/B4)^2</f>
        <v>138.29251754498847</v>
      </c>
      <c r="D6" t="s">
        <v>75</v>
      </c>
      <c r="E6" s="31">
        <f>(_xlfn.NORM.S.INV(E5/2)/E4)^2*E3*(1-E3)</f>
        <v>600.22794073345665</v>
      </c>
    </row>
    <row r="7" spans="1:5">
      <c r="A7" t="s">
        <v>74</v>
      </c>
      <c r="B7" s="6">
        <f>ROUNDUP(B6,0)</f>
        <v>139</v>
      </c>
      <c r="D7" t="s">
        <v>74</v>
      </c>
      <c r="E7" s="31">
        <f>ROUNDUP(E6,0)</f>
        <v>601</v>
      </c>
    </row>
    <row r="8" spans="1:5">
      <c r="A8" s="23"/>
      <c r="B8" s="6"/>
      <c r="E8" s="30"/>
    </row>
    <row r="9" spans="1:5">
      <c r="A9" s="23"/>
      <c r="E9" s="30"/>
    </row>
    <row r="10" spans="1:5">
      <c r="A10" s="23"/>
      <c r="E10" s="30"/>
    </row>
  </sheetData>
  <mergeCells count="2">
    <mergeCell ref="A1:B1"/>
    <mergeCell ref="D1:E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1F24C-5102-B144-B63C-3FDD862AFBA2}">
  <dimension ref="A1:S39"/>
  <sheetViews>
    <sheetView showGridLines="0" workbookViewId="0">
      <selection activeCell="Q33" sqref="Q33"/>
    </sheetView>
  </sheetViews>
  <sheetFormatPr baseColWidth="10" defaultColWidth="8.83203125" defaultRowHeight="13"/>
  <cols>
    <col min="1" max="2" width="2.83203125" style="37" customWidth="1"/>
    <col min="3" max="3" width="12.5" style="37" customWidth="1"/>
    <col min="4" max="4" width="11.1640625" style="37" customWidth="1"/>
    <col min="5" max="5" width="13.1640625" style="37" customWidth="1"/>
    <col min="6" max="9" width="8.83203125" style="37" customWidth="1"/>
    <col min="10" max="10" width="2.33203125" style="37" customWidth="1"/>
    <col min="11" max="12" width="2" style="37" customWidth="1"/>
    <col min="13" max="13" width="12.5" style="37" customWidth="1"/>
    <col min="14" max="14" width="10.5" style="37" bestFit="1" customWidth="1"/>
    <col min="15" max="15" width="17.5" style="37" customWidth="1"/>
    <col min="16" max="16384" width="8.83203125" style="37"/>
  </cols>
  <sheetData>
    <row r="1" spans="1:19" ht="17" thickBot="1">
      <c r="A1" s="85" t="s">
        <v>96</v>
      </c>
      <c r="B1" s="85"/>
    </row>
    <row r="2" spans="1:19">
      <c r="B2" s="53"/>
      <c r="C2" s="84" t="s">
        <v>95</v>
      </c>
      <c r="D2" s="51"/>
      <c r="E2" s="51"/>
      <c r="F2" s="51"/>
      <c r="G2" s="51"/>
      <c r="H2" s="51"/>
      <c r="I2" s="51"/>
      <c r="J2" s="50"/>
    </row>
    <row r="3" spans="1:19" ht="14" thickBot="1">
      <c r="B3" s="47"/>
      <c r="C3" s="44"/>
      <c r="D3" s="83" t="s">
        <v>94</v>
      </c>
      <c r="E3" s="83" t="s">
        <v>93</v>
      </c>
      <c r="F3" s="83"/>
      <c r="G3" s="83"/>
      <c r="H3" s="83"/>
      <c r="I3" s="70" t="s">
        <v>90</v>
      </c>
      <c r="J3" s="48"/>
    </row>
    <row r="4" spans="1:19">
      <c r="B4" s="47"/>
      <c r="C4" s="79" t="s">
        <v>92</v>
      </c>
      <c r="D4" s="82">
        <v>10</v>
      </c>
      <c r="E4" s="81">
        <v>90</v>
      </c>
      <c r="F4" s="81"/>
      <c r="G4" s="81"/>
      <c r="H4" s="80"/>
      <c r="I4" s="64">
        <f>IF(SUM(D4:H4)&lt;&gt;0,SUM(D4:H4),"")</f>
        <v>100</v>
      </c>
      <c r="J4" s="71"/>
    </row>
    <row r="5" spans="1:19">
      <c r="B5" s="47"/>
      <c r="C5" s="79" t="s">
        <v>91</v>
      </c>
      <c r="D5" s="78">
        <v>5</v>
      </c>
      <c r="E5" s="77">
        <v>60</v>
      </c>
      <c r="F5" s="77"/>
      <c r="G5" s="77"/>
      <c r="H5" s="76"/>
      <c r="I5" s="64">
        <f>IF(SUM(D5:H5)&lt;&gt;0,SUM(D5:H5),"")</f>
        <v>65</v>
      </c>
      <c r="J5" s="71"/>
    </row>
    <row r="6" spans="1:19">
      <c r="B6" s="47"/>
      <c r="C6" s="79"/>
      <c r="D6" s="78"/>
      <c r="E6" s="77"/>
      <c r="F6" s="77"/>
      <c r="G6" s="77"/>
      <c r="H6" s="76"/>
      <c r="I6" s="64" t="str">
        <f>IF(SUM(D6:H6)&lt;&gt;0,SUM(D6:H6),"")</f>
        <v/>
      </c>
      <c r="J6" s="71"/>
    </row>
    <row r="7" spans="1:19">
      <c r="B7" s="47"/>
      <c r="C7" s="79"/>
      <c r="D7" s="78"/>
      <c r="E7" s="77"/>
      <c r="F7" s="77"/>
      <c r="G7" s="77"/>
      <c r="H7" s="76"/>
      <c r="I7" s="64" t="str">
        <f>IF(SUM(D7:H7)&lt;&gt;0,SUM(D7:H7),"")</f>
        <v/>
      </c>
      <c r="J7" s="71"/>
    </row>
    <row r="8" spans="1:19" ht="14" thickBot="1">
      <c r="B8" s="47"/>
      <c r="C8" s="75"/>
      <c r="D8" s="74"/>
      <c r="E8" s="73"/>
      <c r="F8" s="73"/>
      <c r="G8" s="73"/>
      <c r="H8" s="72"/>
      <c r="I8" s="64" t="str">
        <f>IF(SUM(D8:H8)&lt;&gt;0,SUM(D8:H8),"")</f>
        <v/>
      </c>
      <c r="J8" s="71"/>
    </row>
    <row r="9" spans="1:19">
      <c r="B9" s="47"/>
      <c r="C9" s="62" t="s">
        <v>90</v>
      </c>
      <c r="D9" s="61">
        <f>IF(SUM(D4:D8)&lt;&gt;0,SUM(D4:D8),"")</f>
        <v>15</v>
      </c>
      <c r="E9" s="61">
        <f>IF(SUM(E4:E8)&lt;&gt;0,SUM(E4:E8),"")</f>
        <v>150</v>
      </c>
      <c r="F9" s="61" t="str">
        <f>IF(SUM(F4:F8)&lt;&gt;0,SUM(F4:F8),"")</f>
        <v/>
      </c>
      <c r="G9" s="61" t="str">
        <f>IF(SUM(G4:G8)&lt;&gt;0,SUM(G4:G8),"")</f>
        <v/>
      </c>
      <c r="H9" s="61" t="str">
        <f>IF(SUM(H4:H8)&lt;&gt;0,SUM(H4:H8),"")</f>
        <v/>
      </c>
      <c r="I9" s="64">
        <f>IF(SUM(D9:H9)&lt;&gt;0,SUM(D9:H9),"")</f>
        <v>165</v>
      </c>
      <c r="J9" s="71"/>
    </row>
    <row r="10" spans="1:19" ht="14" thickBot="1">
      <c r="B10" s="42"/>
      <c r="C10" s="55"/>
      <c r="D10" s="55"/>
      <c r="E10" s="55"/>
      <c r="F10" s="55"/>
      <c r="G10" s="55"/>
      <c r="H10" s="55"/>
      <c r="I10" s="55"/>
      <c r="J10" s="54"/>
    </row>
    <row r="12" spans="1:19" ht="14" thickBot="1"/>
    <row r="13" spans="1:19">
      <c r="B13" s="53"/>
      <c r="C13" s="52" t="s">
        <v>89</v>
      </c>
      <c r="D13" s="51"/>
      <c r="E13" s="51"/>
      <c r="F13" s="51"/>
      <c r="G13" s="51"/>
      <c r="H13" s="51"/>
      <c r="I13" s="51"/>
      <c r="J13" s="50"/>
      <c r="L13" s="53"/>
      <c r="M13" s="52" t="s">
        <v>88</v>
      </c>
      <c r="N13" s="51"/>
      <c r="O13" s="51"/>
      <c r="P13" s="51"/>
      <c r="Q13" s="51"/>
      <c r="R13" s="51"/>
      <c r="S13" s="50"/>
    </row>
    <row r="14" spans="1:19" ht="14" thickBot="1">
      <c r="B14" s="47"/>
      <c r="C14" s="44"/>
      <c r="D14" s="49" t="str">
        <f>IF(D3&lt;&gt;"",D3,"")</f>
        <v>Defective</v>
      </c>
      <c r="E14" s="49" t="str">
        <f>IF(E3&lt;&gt;"",E3,"")</f>
        <v>!Defective</v>
      </c>
      <c r="F14" s="49" t="str">
        <f>IF(F3&lt;&gt;"",F3,"")</f>
        <v/>
      </c>
      <c r="G14" s="49" t="str">
        <f>IF(G3&lt;&gt;"",G3,"")</f>
        <v/>
      </c>
      <c r="H14" s="49" t="str">
        <f>IF(H3&lt;&gt;"",H3,"")</f>
        <v/>
      </c>
      <c r="I14" s="70" t="s">
        <v>87</v>
      </c>
      <c r="J14" s="48"/>
      <c r="L14" s="47"/>
      <c r="M14" s="44"/>
      <c r="N14" s="49" t="str">
        <f>IF(D14&lt;&gt;"","P("&amp;D14,"")</f>
        <v>P(Defective</v>
      </c>
      <c r="O14" s="49" t="str">
        <f>IF(E14&lt;&gt;"","P("&amp;E14,"")</f>
        <v>P(!Defective</v>
      </c>
      <c r="P14" s="49" t="str">
        <f>IF(F14&lt;&gt;"","P("&amp;F14,"")</f>
        <v/>
      </c>
      <c r="Q14" s="49" t="str">
        <f>IF(G14&lt;&gt;"","P("&amp;G14,"")</f>
        <v/>
      </c>
      <c r="R14" s="49" t="str">
        <f>IF(H14&lt;&gt;"","P("&amp;H14,"")</f>
        <v/>
      </c>
      <c r="S14" s="56"/>
    </row>
    <row r="15" spans="1:19">
      <c r="B15" s="47"/>
      <c r="C15" s="46" t="str">
        <f>IF(C4&lt;&gt;"",C4,"")</f>
        <v>Company1</v>
      </c>
      <c r="D15" s="45" cm="1">
        <f t="array" ref="D15:H19">IF(D4:H8/I9&lt;&gt;0,D4:H8/I9,"")</f>
        <v>6.0606060606060608E-2</v>
      </c>
      <c r="E15" s="58">
        <v>0.54545454545454541</v>
      </c>
      <c r="F15" s="58" t="str">
        <v/>
      </c>
      <c r="G15" s="58" t="str">
        <v/>
      </c>
      <c r="H15" s="57" t="str">
        <v/>
      </c>
      <c r="I15" s="64">
        <f>IF(SUM(D15:H15)&lt;&gt;0,SUM(D15:H15),"")</f>
        <v>0.60606060606060597</v>
      </c>
      <c r="J15" s="43"/>
      <c r="L15" s="47"/>
      <c r="M15" s="46" t="str">
        <f>IF(C15&lt;&gt;"","| "&amp;C15&amp;")","")</f>
        <v>| Company1)</v>
      </c>
      <c r="N15" s="45">
        <f>IF(D15&lt;&gt;"",D15/$I$15,"")</f>
        <v>0.10000000000000002</v>
      </c>
      <c r="O15" s="45">
        <f>IF(E15&lt;&gt;"",E15/$I$15,"")</f>
        <v>0.9</v>
      </c>
      <c r="P15" s="45" t="str">
        <f>IF(F15&lt;&gt;"",F15/$I$15,"")</f>
        <v/>
      </c>
      <c r="Q15" s="45" t="str">
        <f>IF(G15&lt;&gt;"",G15/$I$15,"")</f>
        <v/>
      </c>
      <c r="R15" s="45" t="str">
        <f>IF(H15&lt;&gt;"",H15/$I$15,"")</f>
        <v/>
      </c>
      <c r="S15" s="56"/>
    </row>
    <row r="16" spans="1:19">
      <c r="B16" s="47"/>
      <c r="C16" s="46" t="str">
        <f>IF(C5&lt;&gt;"",C5,"")</f>
        <v>Company2</v>
      </c>
      <c r="D16" s="63">
        <v>3.0303030303030304E-2</v>
      </c>
      <c r="E16" s="69">
        <v>0.36363636363636365</v>
      </c>
      <c r="F16" s="69" t="str">
        <v/>
      </c>
      <c r="G16" s="69" t="str">
        <v/>
      </c>
      <c r="H16" s="68" t="str">
        <v/>
      </c>
      <c r="I16" s="64">
        <f>IF(SUM(D16:H16)&lt;&gt;0,SUM(D16:H16),"")</f>
        <v>0.39393939393939392</v>
      </c>
      <c r="J16" s="43"/>
      <c r="L16" s="47"/>
      <c r="M16" s="46" t="str">
        <f>IF(C16&lt;&gt;"","| "&amp;C16&amp;")","")</f>
        <v>| Company2)</v>
      </c>
      <c r="N16" s="63">
        <f>IF(D16&lt;&gt;"",D16/$I$16,"")</f>
        <v>7.6923076923076927E-2</v>
      </c>
      <c r="O16" s="63">
        <f>IF(E16&lt;&gt;"",E16/$I$16,"")</f>
        <v>0.92307692307692313</v>
      </c>
      <c r="P16" s="63" t="str">
        <f>IF(F16&lt;&gt;"",F16/$I$16,"")</f>
        <v/>
      </c>
      <c r="Q16" s="63" t="str">
        <f>IF(G16&lt;&gt;"",G16/$I$16,"")</f>
        <v/>
      </c>
      <c r="R16" s="63" t="str">
        <f>IF(H16&lt;&gt;"",H16/$I$16,"")</f>
        <v/>
      </c>
      <c r="S16" s="56"/>
    </row>
    <row r="17" spans="2:19">
      <c r="B17" s="47"/>
      <c r="C17" s="46" t="str">
        <f>IF(C6&lt;&gt;"",C6,"")</f>
        <v/>
      </c>
      <c r="D17" s="63" t="str">
        <v/>
      </c>
      <c r="E17" s="69" t="str">
        <v/>
      </c>
      <c r="F17" s="69" t="str">
        <v/>
      </c>
      <c r="G17" s="69" t="str">
        <v/>
      </c>
      <c r="H17" s="68" t="str">
        <v/>
      </c>
      <c r="I17" s="64" t="str">
        <f>IF(SUM(D17:H17)&lt;&gt;0,SUM(D17:H17),"")</f>
        <v/>
      </c>
      <c r="J17" s="43"/>
      <c r="L17" s="47"/>
      <c r="M17" s="46" t="str">
        <f>IF(C17&lt;&gt;"","| "&amp;C17&amp;")","")</f>
        <v/>
      </c>
      <c r="N17" s="63" t="str">
        <f>IF(D17&lt;&gt;"",D17/$I$17,"")</f>
        <v/>
      </c>
      <c r="O17" s="63" t="str">
        <f>IF(E17&lt;&gt;"",E17/$I$17,"")</f>
        <v/>
      </c>
      <c r="P17" s="63" t="str">
        <f>IF(F17&lt;&gt;"",F17/$I$17,"")</f>
        <v/>
      </c>
      <c r="Q17" s="63" t="str">
        <f>IF(G17&lt;&gt;"",G17/$I$17,"")</f>
        <v/>
      </c>
      <c r="R17" s="63" t="str">
        <f>IF(H17&lt;&gt;"",H17/$I$17,"")</f>
        <v/>
      </c>
      <c r="S17" s="56"/>
    </row>
    <row r="18" spans="2:19">
      <c r="B18" s="47"/>
      <c r="C18" s="46" t="str">
        <f>IF(C7&lt;&gt;"",C7,"")</f>
        <v/>
      </c>
      <c r="D18" s="63" t="str">
        <v/>
      </c>
      <c r="E18" s="69" t="str">
        <v/>
      </c>
      <c r="F18" s="69" t="str">
        <v/>
      </c>
      <c r="G18" s="69" t="str">
        <v/>
      </c>
      <c r="H18" s="68" t="str">
        <v/>
      </c>
      <c r="I18" s="64" t="str">
        <f>IF(SUM(D18:H18)&lt;&gt;0,SUM(D18:H18),"")</f>
        <v/>
      </c>
      <c r="J18" s="43"/>
      <c r="L18" s="47"/>
      <c r="M18" s="46" t="str">
        <f>IF(C18&lt;&gt;"","| "&amp;C18&amp;")","")</f>
        <v/>
      </c>
      <c r="N18" s="63" t="str">
        <f>IF(D18&lt;&gt;"",D18/$I$18,"")</f>
        <v/>
      </c>
      <c r="O18" s="63" t="str">
        <f>IF(E18&lt;&gt;"",E18/$I$18,"")</f>
        <v/>
      </c>
      <c r="P18" s="63" t="str">
        <f>IF(F18&lt;&gt;"",F18/$I$18,"")</f>
        <v/>
      </c>
      <c r="Q18" s="63" t="str">
        <f>IF(G18&lt;&gt;"",G18/$I$18,"")</f>
        <v/>
      </c>
      <c r="R18" s="63" t="str">
        <f>IF(H18&lt;&gt;"",H18/$I$18,"")</f>
        <v/>
      </c>
      <c r="S18" s="56"/>
    </row>
    <row r="19" spans="2:19" ht="14" thickBot="1">
      <c r="B19" s="47"/>
      <c r="C19" s="46" t="str">
        <f>IF(C8&lt;&gt;"",C8,"")</f>
        <v/>
      </c>
      <c r="D19" s="67" t="str">
        <v/>
      </c>
      <c r="E19" s="66" t="str">
        <v/>
      </c>
      <c r="F19" s="66" t="str">
        <v/>
      </c>
      <c r="G19" s="66" t="str">
        <v/>
      </c>
      <c r="H19" s="65" t="str">
        <v/>
      </c>
      <c r="I19" s="64" t="str">
        <f>IF(SUM(D19:H19)&lt;&gt;0,SUM(D19:H19),"")</f>
        <v/>
      </c>
      <c r="J19" s="43"/>
      <c r="L19" s="47"/>
      <c r="M19" s="46" t="str">
        <f>IF(C19&lt;&gt;"","| "&amp;C19&amp;")","")</f>
        <v/>
      </c>
      <c r="N19" s="63" t="str">
        <f>IF(D19&lt;&gt;"",D19/$I$19,"")</f>
        <v/>
      </c>
      <c r="O19" s="63" t="str">
        <f>IF(E19&lt;&gt;"",E19/$I$19,"")</f>
        <v/>
      </c>
      <c r="P19" s="63" t="str">
        <f>IF(F19&lt;&gt;"",F19/$I$19,"")</f>
        <v/>
      </c>
      <c r="Q19" s="63" t="str">
        <f>IF(G19&lt;&gt;"",G19/$I$19,"")</f>
        <v/>
      </c>
      <c r="R19" s="63" t="str">
        <f>IF(H19&lt;&gt;"",H19/$I$19,"")</f>
        <v/>
      </c>
      <c r="S19" s="56"/>
    </row>
    <row r="20" spans="2:19" ht="14" thickBot="1">
      <c r="B20" s="47"/>
      <c r="C20" s="62" t="s">
        <v>87</v>
      </c>
      <c r="D20" s="61">
        <f>IF(SUM(D15:D19)&lt;&gt;0,SUM(D15:D19),"")</f>
        <v>9.0909090909090912E-2</v>
      </c>
      <c r="E20" s="61">
        <f>IF(SUM(E15:E19)&lt;&gt;0,SUM(E15:E19),"")</f>
        <v>0.90909090909090906</v>
      </c>
      <c r="F20" s="61" t="str">
        <f>IF(SUM(F15:F19)&lt;&gt;0,SUM(F15:F19),"")</f>
        <v/>
      </c>
      <c r="G20" s="61" t="str">
        <f>IF(SUM(G15:G19)&lt;&gt;0,SUM(G15:G19),"")</f>
        <v/>
      </c>
      <c r="H20" s="61" t="str">
        <f>IF(SUM(H15:H19)&lt;&gt;0,SUM(H15:H19),"")</f>
        <v/>
      </c>
      <c r="I20" s="60">
        <f>IF(SUM(D20:H20)&lt;&gt;0,SUM(D20:H20),"")</f>
        <v>1</v>
      </c>
      <c r="J20" s="59"/>
      <c r="L20" s="42"/>
      <c r="M20" s="55"/>
      <c r="N20" s="55"/>
      <c r="O20" s="55"/>
      <c r="P20" s="55"/>
      <c r="Q20" s="55"/>
      <c r="R20" s="55"/>
      <c r="S20" s="54"/>
    </row>
    <row r="21" spans="2:19" ht="14" thickBot="1">
      <c r="B21" s="42"/>
      <c r="C21" s="41"/>
      <c r="D21" s="40"/>
      <c r="E21" s="40"/>
      <c r="F21" s="40"/>
      <c r="G21" s="40"/>
      <c r="H21" s="40"/>
      <c r="I21" s="39"/>
      <c r="J21" s="38"/>
    </row>
    <row r="22" spans="2:19" ht="14" thickBot="1"/>
    <row r="23" spans="2:19">
      <c r="B23" s="53"/>
      <c r="C23" s="52" t="s">
        <v>86</v>
      </c>
      <c r="D23" s="51"/>
      <c r="E23" s="51"/>
      <c r="F23" s="51"/>
      <c r="G23" s="51"/>
      <c r="H23" s="51"/>
      <c r="I23" s="51"/>
      <c r="J23" s="50"/>
    </row>
    <row r="24" spans="2:19" ht="14" thickBot="1">
      <c r="B24" s="47"/>
      <c r="C24" s="44"/>
      <c r="D24" s="49" t="str">
        <f>IF(D3&lt;&gt;"","| "&amp;D3&amp;")","")</f>
        <v>| Defective)</v>
      </c>
      <c r="E24" s="49" t="str">
        <f>IF(E3&lt;&gt;"","| "&amp;E3&amp;")","")</f>
        <v>| !Defective)</v>
      </c>
      <c r="F24" s="49" t="str">
        <f>IF(F3&lt;&gt;"","| "&amp;F3&amp;")","")</f>
        <v/>
      </c>
      <c r="G24" s="49" t="str">
        <f>IF(G3&lt;&gt;"","| "&amp;G3&amp;")","")</f>
        <v/>
      </c>
      <c r="H24" s="49" t="str">
        <f>IF(H3&lt;&gt;"","| "&amp;H3&amp;")","")</f>
        <v/>
      </c>
      <c r="I24" s="44"/>
      <c r="J24" s="56"/>
    </row>
    <row r="25" spans="2:19" ht="14" thickBot="1">
      <c r="B25" s="47"/>
      <c r="C25" s="46" t="str">
        <f>IF(C15&lt;&gt;"","P("&amp;C15,"")</f>
        <v>P(Company1</v>
      </c>
      <c r="D25" s="45">
        <f>IF(D15&lt;&gt;"",D15/$D$20,"")</f>
        <v>0.66666666666666663</v>
      </c>
      <c r="E25" s="58">
        <f>IF(E15&lt;&gt;"",E15/$E$20,"")</f>
        <v>0.6</v>
      </c>
      <c r="F25" s="58" t="str">
        <f>IF(F15&lt;&gt;"",F15/$F$20,"")</f>
        <v/>
      </c>
      <c r="G25" s="58" t="str">
        <f>IF(G15&lt;&gt;"",G15/$G$20,"")</f>
        <v/>
      </c>
      <c r="H25" s="57" t="str">
        <f>IF(H15&lt;&gt;"",H15/$H$20,"")</f>
        <v/>
      </c>
      <c r="I25" s="44"/>
      <c r="J25" s="56"/>
    </row>
    <row r="26" spans="2:19" ht="14" thickBot="1">
      <c r="B26" s="47"/>
      <c r="C26" s="46" t="str">
        <f>IF(C16&lt;&gt;"","P("&amp;C16,"")</f>
        <v>P(Company2</v>
      </c>
      <c r="D26" s="45">
        <f>IF(D16&lt;&gt;"",D16/$D$20,"")</f>
        <v>0.33333333333333331</v>
      </c>
      <c r="E26" s="58">
        <f>IF(E16&lt;&gt;"",E16/$E$20,"")</f>
        <v>0.4</v>
      </c>
      <c r="F26" s="58" t="str">
        <f>IF(F16&lt;&gt;"",F16/$F$20,"")</f>
        <v/>
      </c>
      <c r="G26" s="58" t="str">
        <f>IF(G16&lt;&gt;"",G16/$G$20,"")</f>
        <v/>
      </c>
      <c r="H26" s="57" t="str">
        <f>IF(H16&lt;&gt;"",H16/$H$20,"")</f>
        <v/>
      </c>
      <c r="I26" s="44"/>
      <c r="J26" s="56"/>
    </row>
    <row r="27" spans="2:19" ht="14" thickBot="1">
      <c r="B27" s="47"/>
      <c r="C27" s="46" t="str">
        <f>IF(C17&lt;&gt;"","P("&amp;C17,"")</f>
        <v/>
      </c>
      <c r="D27" s="45" t="str">
        <f>IF(D17&lt;&gt;"",D17/$D$20,"")</f>
        <v/>
      </c>
      <c r="E27" s="58" t="str">
        <f>IF(E17&lt;&gt;"",E17/$E$20,"")</f>
        <v/>
      </c>
      <c r="F27" s="58" t="str">
        <f>IF(F17&lt;&gt;"",F17/$F$20,"")</f>
        <v/>
      </c>
      <c r="G27" s="58" t="str">
        <f>IF(G17&lt;&gt;"",G17/$G$20,"")</f>
        <v/>
      </c>
      <c r="H27" s="57" t="str">
        <f>IF(H17&lt;&gt;"",H17/$H$20,"")</f>
        <v/>
      </c>
      <c r="I27" s="44"/>
      <c r="J27" s="56"/>
    </row>
    <row r="28" spans="2:19" ht="14" thickBot="1">
      <c r="B28" s="47"/>
      <c r="C28" s="46" t="str">
        <f>IF(C18&lt;&gt;"","P("&amp;C18,"")</f>
        <v/>
      </c>
      <c r="D28" s="45" t="str">
        <f>IF(D18&lt;&gt;"",D18/$D$20,"")</f>
        <v/>
      </c>
      <c r="E28" s="58" t="str">
        <f>IF(E18&lt;&gt;"",E18/$E$20,"")</f>
        <v/>
      </c>
      <c r="F28" s="58" t="str">
        <f>IF(F18&lt;&gt;"",F18/$F$20,"")</f>
        <v/>
      </c>
      <c r="G28" s="58" t="str">
        <f>IF(G18&lt;&gt;"",G18/$G$20,"")</f>
        <v/>
      </c>
      <c r="H28" s="57" t="str">
        <f>IF(H18&lt;&gt;"",H18/$H$20,"")</f>
        <v/>
      </c>
      <c r="I28" s="44"/>
      <c r="J28" s="56"/>
    </row>
    <row r="29" spans="2:19">
      <c r="B29" s="47"/>
      <c r="C29" s="46" t="str">
        <f>IF(C19&lt;&gt;"","P("&amp;C19,"")</f>
        <v/>
      </c>
      <c r="D29" s="45" t="str">
        <f>IF(D19&lt;&gt;"",D19/$D$20,"")</f>
        <v/>
      </c>
      <c r="E29" s="58" t="str">
        <f>IF(E19&lt;&gt;"",E19/$E$20,"")</f>
        <v/>
      </c>
      <c r="F29" s="58" t="str">
        <f>IF(F19&lt;&gt;"",F19/$F$20,"")</f>
        <v/>
      </c>
      <c r="G29" s="58" t="str">
        <f>IF(G19&lt;&gt;"",G19/$G$20,"")</f>
        <v/>
      </c>
      <c r="H29" s="57" t="str">
        <f>IF(H19&lt;&gt;"",H19/$H$20,"")</f>
        <v/>
      </c>
      <c r="I29" s="44"/>
      <c r="J29" s="56"/>
    </row>
    <row r="30" spans="2:19" ht="14" thickBot="1">
      <c r="B30" s="42"/>
      <c r="C30" s="55"/>
      <c r="D30" s="55"/>
      <c r="E30" s="55"/>
      <c r="F30" s="55"/>
      <c r="G30" s="55"/>
      <c r="H30" s="55"/>
      <c r="I30" s="55"/>
      <c r="J30" s="54"/>
    </row>
    <row r="31" spans="2:19" ht="14" thickBot="1"/>
    <row r="32" spans="2:19">
      <c r="B32" s="53"/>
      <c r="C32" s="52" t="s">
        <v>85</v>
      </c>
      <c r="D32" s="51"/>
      <c r="E32" s="51"/>
      <c r="F32" s="51"/>
      <c r="G32" s="51"/>
      <c r="H32" s="51"/>
      <c r="I32" s="51"/>
      <c r="J32" s="50"/>
    </row>
    <row r="33" spans="2:10" ht="14" thickBot="1">
      <c r="B33" s="47"/>
      <c r="C33" s="44"/>
      <c r="D33" s="49" t="str">
        <f>IF(D3&lt;&gt;"",D3,"")</f>
        <v>Defective</v>
      </c>
      <c r="E33" s="49" t="str">
        <f>IF(E3&lt;&gt;"",E3,"")</f>
        <v>!Defective</v>
      </c>
      <c r="F33" s="49" t="str">
        <f>IF(F3&lt;&gt;"",F3,"")</f>
        <v/>
      </c>
      <c r="G33" s="49" t="str">
        <f>IF(G3&lt;&gt;"",G3,"")</f>
        <v/>
      </c>
      <c r="H33" s="49" t="str">
        <f>IF(H3&lt;&gt;"",H3,"")</f>
        <v/>
      </c>
      <c r="I33" s="44"/>
      <c r="J33" s="48"/>
    </row>
    <row r="34" spans="2:10" ht="14" thickBot="1">
      <c r="B34" s="47"/>
      <c r="C34" s="46" t="str">
        <f>IF(C4&lt;&gt;"",C4,"")</f>
        <v>Company1</v>
      </c>
      <c r="D34" s="45">
        <f>IF(D15&lt;&gt;"",D$20+$I15-D15,"")</f>
        <v>0.63636363636363624</v>
      </c>
      <c r="E34" s="45">
        <f>IF(E15&lt;&gt;"",E$20+$I15-E15,"")</f>
        <v>0.96969696969696972</v>
      </c>
      <c r="F34" s="45" t="str">
        <f>IF(F15&lt;&gt;"",F$20+$I15-F15,"")</f>
        <v/>
      </c>
      <c r="G34" s="45" t="str">
        <f>IF(G15&lt;&gt;"",G$20+$I15-G15,"")</f>
        <v/>
      </c>
      <c r="H34" s="45" t="str">
        <f>IF(H15&lt;&gt;"",H$20+$I15-H15,"")</f>
        <v/>
      </c>
      <c r="I34" s="44"/>
      <c r="J34" s="43"/>
    </row>
    <row r="35" spans="2:10" ht="14" thickBot="1">
      <c r="B35" s="47"/>
      <c r="C35" s="46" t="str">
        <f>IF(C5&lt;&gt;"",C5,"")</f>
        <v>Company2</v>
      </c>
      <c r="D35" s="45">
        <f>IF(D16&lt;&gt;"",D$20+$I16-D16,"")</f>
        <v>0.45454545454545459</v>
      </c>
      <c r="E35" s="45">
        <f>IF(E16&lt;&gt;"",E$20+$I16-E16,"")</f>
        <v>0.93939393939393934</v>
      </c>
      <c r="F35" s="45" t="str">
        <f>IF(F16&lt;&gt;"",F$20+$I16-F16,"")</f>
        <v/>
      </c>
      <c r="G35" s="45" t="str">
        <f>IF(G16&lt;&gt;"",G$20+$I16-G16,"")</f>
        <v/>
      </c>
      <c r="H35" s="45" t="str">
        <f>IF(H16&lt;&gt;"",H$20+$I16-H16,"")</f>
        <v/>
      </c>
      <c r="I35" s="44"/>
      <c r="J35" s="43"/>
    </row>
    <row r="36" spans="2:10" ht="14" thickBot="1">
      <c r="B36" s="47"/>
      <c r="C36" s="46" t="str">
        <f>IF(C6&lt;&gt;"",C6,"")</f>
        <v/>
      </c>
      <c r="D36" s="45" t="str">
        <f>IF(D17&lt;&gt;"",D$20+$I17-D17,"")</f>
        <v/>
      </c>
      <c r="E36" s="45" t="str">
        <f>IF(E17&lt;&gt;"",E$20+$I17-E17,"")</f>
        <v/>
      </c>
      <c r="F36" s="45" t="str">
        <f>IF(F17&lt;&gt;"",F$20+$I17-F17,"")</f>
        <v/>
      </c>
      <c r="G36" s="45" t="str">
        <f>IF(G17&lt;&gt;"",G$20+$I17-G17,"")</f>
        <v/>
      </c>
      <c r="H36" s="45" t="str">
        <f>IF(H17&lt;&gt;"",H$20+$I17-H17,"")</f>
        <v/>
      </c>
      <c r="I36" s="44"/>
      <c r="J36" s="43"/>
    </row>
    <row r="37" spans="2:10" ht="14" thickBot="1">
      <c r="B37" s="47"/>
      <c r="C37" s="46" t="str">
        <f>IF(C7&lt;&gt;"",C7,"")</f>
        <v/>
      </c>
      <c r="D37" s="45" t="str">
        <f>IF(D18&lt;&gt;"",D$20+$I18-D18,"")</f>
        <v/>
      </c>
      <c r="E37" s="45" t="str">
        <f>IF(E18&lt;&gt;"",E$20+$I18-E18,"")</f>
        <v/>
      </c>
      <c r="F37" s="45" t="str">
        <f>IF(F18&lt;&gt;"",F$20+$I18-F18,"")</f>
        <v/>
      </c>
      <c r="G37" s="45" t="str">
        <f>IF(G18&lt;&gt;"",G$20+$I18-G18,"")</f>
        <v/>
      </c>
      <c r="H37" s="45" t="str">
        <f>IF(H18&lt;&gt;"",H$20+$I18-H18,"")</f>
        <v/>
      </c>
      <c r="I37" s="44"/>
      <c r="J37" s="43"/>
    </row>
    <row r="38" spans="2:10">
      <c r="B38" s="47"/>
      <c r="C38" s="46" t="str">
        <f>IF(C8&lt;&gt;"",C8,"")</f>
        <v/>
      </c>
      <c r="D38" s="45" t="str">
        <f>IF(D19&lt;&gt;"",D$20+$I19-D19,"")</f>
        <v/>
      </c>
      <c r="E38" s="45" t="str">
        <f>IF(E19&lt;&gt;"",E$20+$I19-E19,"")</f>
        <v/>
      </c>
      <c r="F38" s="45" t="str">
        <f>IF(F19&lt;&gt;"",F$20+$I19-F19,"")</f>
        <v/>
      </c>
      <c r="G38" s="45" t="str">
        <f>IF(G19&lt;&gt;"",G$20+$I19-G19,"")</f>
        <v/>
      </c>
      <c r="H38" s="45" t="str">
        <f>IF(H19&lt;&gt;"",H$20+$I19-H19,"")</f>
        <v/>
      </c>
      <c r="I38" s="44"/>
      <c r="J38" s="43"/>
    </row>
    <row r="39" spans="2:10" ht="14" thickBot="1">
      <c r="B39" s="42"/>
      <c r="C39" s="41"/>
      <c r="D39" s="40"/>
      <c r="E39" s="40"/>
      <c r="F39" s="40"/>
      <c r="G39" s="40"/>
      <c r="H39" s="40"/>
      <c r="I39" s="39"/>
      <c r="J39" s="38"/>
    </row>
  </sheetData>
  <pageMargins left="0.75" right="0.75" top="1" bottom="1" header="0.5" footer="0.5"/>
  <pageSetup orientation="portrait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FA086-966B-8748-93A7-6984B499BD8C}">
  <dimension ref="A1:F17"/>
  <sheetViews>
    <sheetView zoomScale="150" workbookViewId="0">
      <selection activeCell="B24" sqref="B24"/>
    </sheetView>
  </sheetViews>
  <sheetFormatPr baseColWidth="10" defaultRowHeight="16"/>
  <cols>
    <col min="2" max="2" width="25.1640625" bestFit="1" customWidth="1"/>
    <col min="3" max="3" width="13.6640625" bestFit="1" customWidth="1"/>
    <col min="4" max="4" width="23.1640625" bestFit="1" customWidth="1"/>
  </cols>
  <sheetData>
    <row r="1" spans="1:6" ht="18">
      <c r="A1" t="s">
        <v>111</v>
      </c>
      <c r="B1" s="90" t="s">
        <v>110</v>
      </c>
    </row>
    <row r="2" spans="1:6" ht="17" thickBot="1">
      <c r="B2" s="4" t="s">
        <v>109</v>
      </c>
      <c r="C2" s="4"/>
      <c r="E2" s="4" t="s">
        <v>108</v>
      </c>
      <c r="F2" s="4"/>
    </row>
    <row r="3" spans="1:6">
      <c r="B3" t="s">
        <v>82</v>
      </c>
      <c r="C3" s="36">
        <v>0.95</v>
      </c>
      <c r="E3" t="s">
        <v>82</v>
      </c>
      <c r="F3" s="36">
        <v>0.95</v>
      </c>
    </row>
    <row r="4" spans="1:6">
      <c r="B4" t="s">
        <v>1</v>
      </c>
      <c r="C4" s="34">
        <v>44.83</v>
      </c>
      <c r="E4" t="s">
        <v>30</v>
      </c>
      <c r="F4" s="34">
        <v>170</v>
      </c>
    </row>
    <row r="5" spans="1:6">
      <c r="B5" t="s">
        <v>107</v>
      </c>
      <c r="C5" s="34">
        <v>3.49</v>
      </c>
      <c r="E5" t="s">
        <v>43</v>
      </c>
      <c r="F5" s="34">
        <v>68</v>
      </c>
    </row>
    <row r="6" spans="1:6">
      <c r="B6" t="s">
        <v>30</v>
      </c>
      <c r="C6" s="34">
        <v>6</v>
      </c>
      <c r="E6" t="s">
        <v>106</v>
      </c>
      <c r="F6" s="6">
        <f>F5/F4</f>
        <v>0.4</v>
      </c>
    </row>
    <row r="7" spans="1:6">
      <c r="B7" t="s">
        <v>77</v>
      </c>
      <c r="C7" s="33">
        <f>1-C3</f>
        <v>5.0000000000000044E-2</v>
      </c>
      <c r="E7" t="s">
        <v>77</v>
      </c>
      <c r="F7" s="33">
        <f>1-F3</f>
        <v>5.0000000000000044E-2</v>
      </c>
    </row>
    <row r="8" spans="1:6">
      <c r="B8" t="s">
        <v>105</v>
      </c>
      <c r="C8" s="89">
        <f>_xlfn.CONFIDENCE.T(C7,C5,C6)</f>
        <v>3.6625303832369864</v>
      </c>
      <c r="D8" t="s">
        <v>103</v>
      </c>
    </row>
    <row r="9" spans="1:6" ht="17" thickBot="1">
      <c r="B9" t="s">
        <v>104</v>
      </c>
      <c r="C9" s="89">
        <f>_xlfn.CONFIDENCE.NORM(C7,C5,C6)</f>
        <v>2.7925302917466714</v>
      </c>
      <c r="D9" t="s">
        <v>103</v>
      </c>
      <c r="E9" s="6" t="s">
        <v>98</v>
      </c>
      <c r="F9" s="6" t="s">
        <v>97</v>
      </c>
    </row>
    <row r="10" spans="1:6" ht="17" thickBot="1">
      <c r="E10" s="88">
        <f>_xlfn.BETA.INV(F7/2,F5,F4-F5+1)</f>
        <v>0.32575145611352707</v>
      </c>
      <c r="F10" s="88">
        <f>_xlfn.BETA.INV(1-F7/2,F5+1,F4-F5)</f>
        <v>0.47779910149639848</v>
      </c>
    </row>
    <row r="11" spans="1:6" ht="17" thickBot="1">
      <c r="B11" s="4" t="s">
        <v>102</v>
      </c>
      <c r="C11" s="4"/>
      <c r="D11" t="s">
        <v>101</v>
      </c>
    </row>
    <row r="12" spans="1:6" ht="17" thickBot="1">
      <c r="B12" s="6" t="s">
        <v>98</v>
      </c>
      <c r="C12" s="6" t="s">
        <v>97</v>
      </c>
    </row>
    <row r="13" spans="1:6" ht="17" thickBot="1">
      <c r="B13" s="87">
        <f>C4-C8</f>
        <v>41.167469616763015</v>
      </c>
      <c r="C13" s="87">
        <f>C4+C8</f>
        <v>48.492530383236982</v>
      </c>
    </row>
    <row r="15" spans="1:6" ht="17" thickBot="1">
      <c r="B15" s="4" t="s">
        <v>100</v>
      </c>
      <c r="C15" s="4"/>
      <c r="D15" t="s">
        <v>99</v>
      </c>
      <c r="E15">
        <f>_xlfn.NORM.S.INV(0.025)</f>
        <v>-1.9599639845400538</v>
      </c>
    </row>
    <row r="16" spans="1:6" ht="17" thickBot="1">
      <c r="B16" s="6" t="s">
        <v>98</v>
      </c>
      <c r="C16" s="6" t="s">
        <v>97</v>
      </c>
    </row>
    <row r="17" spans="2:3" ht="17" thickBot="1">
      <c r="B17" s="86">
        <f>C4-C9</f>
        <v>42.037469708253326</v>
      </c>
      <c r="C17" s="86">
        <f>C4+C9</f>
        <v>47.622530291746671</v>
      </c>
    </row>
  </sheetData>
  <mergeCells count="4">
    <mergeCell ref="B2:C2"/>
    <mergeCell ref="B15:C15"/>
    <mergeCell ref="B11:C11"/>
    <mergeCell ref="E2:F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53A15-F25B-F148-95E0-11E346DBC4A0}">
  <dimension ref="A1:H15"/>
  <sheetViews>
    <sheetView tabSelected="1" zoomScale="142" workbookViewId="0">
      <selection activeCell="E24" sqref="E24"/>
    </sheetView>
  </sheetViews>
  <sheetFormatPr baseColWidth="10" defaultRowHeight="16"/>
  <cols>
    <col min="2" max="2" width="15" customWidth="1"/>
    <col min="4" max="4" width="12.6640625" customWidth="1"/>
    <col min="5" max="5" width="31.5" bestFit="1" customWidth="1"/>
    <col min="6" max="6" width="16.6640625" bestFit="1" customWidth="1"/>
    <col min="8" max="8" width="16.6640625" bestFit="1" customWidth="1"/>
  </cols>
  <sheetData>
    <row r="1" spans="1:8" ht="18">
      <c r="A1" t="s">
        <v>111</v>
      </c>
      <c r="B1" s="90" t="s">
        <v>127</v>
      </c>
      <c r="F1" s="90"/>
    </row>
    <row r="2" spans="1:8" ht="17" thickBot="1">
      <c r="B2" s="4" t="s">
        <v>109</v>
      </c>
      <c r="C2" s="4"/>
      <c r="F2" s="4" t="s">
        <v>126</v>
      </c>
      <c r="G2" s="4"/>
    </row>
    <row r="3" spans="1:8">
      <c r="B3" s="1" t="s">
        <v>125</v>
      </c>
      <c r="C3" s="8">
        <v>41</v>
      </c>
      <c r="F3" s="1" t="s">
        <v>125</v>
      </c>
      <c r="G3" s="8">
        <v>100</v>
      </c>
    </row>
    <row r="4" spans="1:8">
      <c r="B4" s="1" t="s">
        <v>124</v>
      </c>
      <c r="C4" s="94">
        <v>32500</v>
      </c>
      <c r="F4" s="1" t="s">
        <v>13</v>
      </c>
      <c r="G4" s="8">
        <v>18</v>
      </c>
    </row>
    <row r="5" spans="1:8">
      <c r="B5" s="1" t="s">
        <v>123</v>
      </c>
      <c r="C5" s="8">
        <v>11866</v>
      </c>
      <c r="F5" s="1" t="s">
        <v>122</v>
      </c>
      <c r="G5" s="8">
        <v>0.1</v>
      </c>
    </row>
    <row r="6" spans="1:8">
      <c r="B6" s="1" t="s">
        <v>121</v>
      </c>
      <c r="C6" s="8">
        <v>30000</v>
      </c>
      <c r="F6" s="1" t="s">
        <v>120</v>
      </c>
      <c r="G6" s="36">
        <v>0.05</v>
      </c>
    </row>
    <row r="7" spans="1:8">
      <c r="B7" s="1" t="s">
        <v>120</v>
      </c>
      <c r="C7" s="36">
        <v>0.05</v>
      </c>
    </row>
    <row r="8" spans="1:8">
      <c r="G8" s="6" t="s">
        <v>115</v>
      </c>
    </row>
    <row r="9" spans="1:8">
      <c r="B9" s="1" t="s">
        <v>119</v>
      </c>
      <c r="C9" s="93">
        <f>(C4-C6)/(C5/SQRT(C3))</f>
        <v>1.3490485920766999</v>
      </c>
      <c r="D9" t="s">
        <v>118</v>
      </c>
      <c r="F9" s="1" t="s">
        <v>114</v>
      </c>
      <c r="G9" s="92">
        <f>2*MIN(G10,G11)</f>
        <v>2.0014558524250159E-2</v>
      </c>
      <c r="H9" t="str">
        <f>IF(G9&lt;$G$6,"REJECT H0", "FAIL TO REJECT H0")</f>
        <v>REJECT H0</v>
      </c>
    </row>
    <row r="10" spans="1:8">
      <c r="B10" s="1" t="s">
        <v>117</v>
      </c>
      <c r="C10" s="91">
        <f>C3-1</f>
        <v>40</v>
      </c>
      <c r="F10" s="1" t="s">
        <v>113</v>
      </c>
      <c r="G10" s="92">
        <f>_xlfn.BINOM.DIST(G4,G3,G5,1)</f>
        <v>0.99541924581999552</v>
      </c>
      <c r="H10" t="str">
        <f>IF(G10&lt;$G$6,"REJECT H0", "FAIL TO REJECT H0")</f>
        <v>FAIL TO REJECT H0</v>
      </c>
    </row>
    <row r="11" spans="1:8">
      <c r="F11" s="1" t="s">
        <v>112</v>
      </c>
      <c r="G11" s="92">
        <f>1-_xlfn.BINOM.DIST(G4-1,G3,G5,1)</f>
        <v>1.0007279262125079E-2</v>
      </c>
      <c r="H11" t="str">
        <f>IF(G11&lt;$G$6,"REJECT H0", "FAIL TO REJECT H0")</f>
        <v>REJECT H0</v>
      </c>
    </row>
    <row r="12" spans="1:8">
      <c r="C12" s="6" t="s">
        <v>116</v>
      </c>
      <c r="D12" s="6" t="s">
        <v>115</v>
      </c>
    </row>
    <row r="13" spans="1:8">
      <c r="B13" s="1" t="s">
        <v>114</v>
      </c>
      <c r="C13" s="91" t="str">
        <f>"±"&amp;ROUND(_xlfn.T.INV.2T(C7,C10),5)</f>
        <v>±2.02108</v>
      </c>
      <c r="D13" s="91">
        <f>_xlfn.T.DIST.2T(ABS(C9),C10)</f>
        <v>0.18490902503825676</v>
      </c>
      <c r="E13" t="str">
        <f>IF(ABS(C9)&gt;ABS(ROUND(_xlfn.T.INV.2T(C7,C10),5)),"REJECT H0","FAIL TO REJECT H0")</f>
        <v>FAIL TO REJECT H0</v>
      </c>
      <c r="F13" t="str">
        <f>IF(D13&lt;$C$7,"REJECT H0", "FAIL TO REJECT H0")</f>
        <v>FAIL TO REJECT H0</v>
      </c>
    </row>
    <row r="14" spans="1:8">
      <c r="B14" s="1" t="s">
        <v>113</v>
      </c>
      <c r="C14" s="91">
        <f>_xlfn.T.INV(C7,C10)</f>
        <v>-1.6838510133356521</v>
      </c>
      <c r="D14" s="91">
        <f>_xlfn.T.DIST(C9,C10,1)</f>
        <v>0.9075454874808716</v>
      </c>
      <c r="E14" t="str">
        <f>IF(C9&lt;C14,"REJECT H0", "FAIL TO REJECT H0")</f>
        <v>FAIL TO REJECT H0</v>
      </c>
      <c r="F14" t="str">
        <f>IF(D14&lt;$C$7,"REJECT H0", "FAIL TO REJECT H0")</f>
        <v>FAIL TO REJECT H0</v>
      </c>
    </row>
    <row r="15" spans="1:8">
      <c r="B15" s="1" t="s">
        <v>112</v>
      </c>
      <c r="C15" s="91">
        <f>_xlfn.T.INV(1-C7,C10)</f>
        <v>1.6838510133356521</v>
      </c>
      <c r="D15" s="91">
        <f>_xlfn.T.DIST.RT(C9,C10)</f>
        <v>9.2454512519128382E-2</v>
      </c>
      <c r="E15" t="str">
        <f>IF(C9&gt;C15,"REJECT H0", "FAIL TO REJECT H0")</f>
        <v>FAIL TO REJECT H0</v>
      </c>
      <c r="F15" t="str">
        <f>IF(D15&lt;$C$7,"REJECT H0", "FAIL TO REJECT H0")</f>
        <v>FAIL TO REJECT H0</v>
      </c>
    </row>
  </sheetData>
  <mergeCells count="2">
    <mergeCell ref="B2:C2"/>
    <mergeCell ref="F2:G2"/>
  </mergeCells>
  <conditionalFormatting sqref="E13:F15">
    <cfRule type="cellIs" dxfId="5" priority="4" operator="equal">
      <formula>"REJECT H0"</formula>
    </cfRule>
    <cfRule type="cellIs" dxfId="4" priority="5" operator="equal">
      <formula>"FAIL TO REJECT H0"</formula>
    </cfRule>
    <cfRule type="cellIs" dxfId="3" priority="6" operator="equal">
      <formula>"RAIL TO REJECT H0"</formula>
    </cfRule>
  </conditionalFormatting>
  <conditionalFormatting sqref="H9:H11">
    <cfRule type="cellIs" dxfId="2" priority="1" operator="equal">
      <formula>"REJECT H0"</formula>
    </cfRule>
    <cfRule type="cellIs" dxfId="1" priority="2" operator="equal">
      <formula>"FAIL TO REJECT H0"</formula>
    </cfRule>
    <cfRule type="cellIs" dxfId="0" priority="3" operator="equal">
      <formula>"RAIL TO REJECT H0"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4DDAB-CDD7-314C-8A56-2AD398B29CA8}">
  <dimension ref="A1:M19"/>
  <sheetViews>
    <sheetView topLeftCell="J1" zoomScale="150" workbookViewId="0">
      <selection activeCell="N12" sqref="N12"/>
    </sheetView>
  </sheetViews>
  <sheetFormatPr baseColWidth="10" defaultRowHeight="16"/>
  <cols>
    <col min="3" max="3" width="15" customWidth="1"/>
    <col min="9" max="9" width="17.6640625" customWidth="1"/>
  </cols>
  <sheetData>
    <row r="1" spans="1:13" ht="18">
      <c r="A1" t="s">
        <v>140</v>
      </c>
      <c r="B1" t="s">
        <v>139</v>
      </c>
      <c r="C1" s="90" t="s">
        <v>138</v>
      </c>
      <c r="G1" s="90"/>
    </row>
    <row r="2" spans="1:13" ht="17" thickBot="1">
      <c r="A2">
        <v>202</v>
      </c>
      <c r="B2">
        <v>189</v>
      </c>
      <c r="C2" s="4" t="s">
        <v>137</v>
      </c>
      <c r="D2" s="4"/>
      <c r="E2" s="4"/>
      <c r="G2" s="4" t="s">
        <v>136</v>
      </c>
      <c r="H2" s="4"/>
      <c r="I2" s="4"/>
      <c r="K2" s="4" t="s">
        <v>135</v>
      </c>
      <c r="L2" s="4"/>
      <c r="M2" s="4"/>
    </row>
    <row r="3" spans="1:13">
      <c r="A3">
        <v>202</v>
      </c>
      <c r="B3">
        <v>179</v>
      </c>
      <c r="D3" s="6" t="s">
        <v>134</v>
      </c>
      <c r="E3" s="6" t="s">
        <v>133</v>
      </c>
      <c r="H3" s="6" t="s">
        <v>134</v>
      </c>
      <c r="I3" s="6" t="s">
        <v>133</v>
      </c>
      <c r="L3" s="6" t="s">
        <v>134</v>
      </c>
      <c r="M3" s="6" t="s">
        <v>133</v>
      </c>
    </row>
    <row r="4" spans="1:13">
      <c r="A4">
        <v>220</v>
      </c>
      <c r="B4">
        <v>203</v>
      </c>
      <c r="C4" s="1" t="s">
        <v>1</v>
      </c>
      <c r="D4" s="100">
        <v>2.72</v>
      </c>
      <c r="E4" s="100">
        <v>2.88</v>
      </c>
      <c r="G4" s="1" t="s">
        <v>1</v>
      </c>
      <c r="H4" s="100">
        <f>AVERAGE(A:A)</f>
        <v>203.8</v>
      </c>
      <c r="I4" s="100">
        <f>AVERAGE(B:B)</f>
        <v>184.7</v>
      </c>
      <c r="K4" s="1" t="s">
        <v>125</v>
      </c>
      <c r="L4" s="8">
        <v>750</v>
      </c>
      <c r="M4" s="8">
        <v>750</v>
      </c>
    </row>
    <row r="5" spans="1:13">
      <c r="A5">
        <v>207</v>
      </c>
      <c r="B5">
        <v>192</v>
      </c>
      <c r="C5" s="1" t="s">
        <v>47</v>
      </c>
      <c r="D5" s="100">
        <v>0.2</v>
      </c>
      <c r="E5" s="100">
        <v>0.11</v>
      </c>
      <c r="G5" s="1" t="s">
        <v>47</v>
      </c>
      <c r="H5" s="99">
        <f>_xlfn.STDEV.S(A:A)</f>
        <v>15.215489184088399</v>
      </c>
      <c r="I5" s="99">
        <f>_xlfn.STDEV.S(B:B)</f>
        <v>13.565069521057056</v>
      </c>
      <c r="K5" s="1" t="s">
        <v>13</v>
      </c>
      <c r="L5" s="8">
        <v>135</v>
      </c>
      <c r="M5" s="8">
        <v>90</v>
      </c>
    </row>
    <row r="6" spans="1:13">
      <c r="A6">
        <v>194</v>
      </c>
      <c r="B6">
        <v>172</v>
      </c>
      <c r="C6" s="1" t="s">
        <v>125</v>
      </c>
      <c r="D6" s="8">
        <v>22</v>
      </c>
      <c r="E6" s="8">
        <v>22</v>
      </c>
      <c r="G6" s="1" t="s">
        <v>125</v>
      </c>
      <c r="H6" s="8">
        <f>COUNT(A:A)</f>
        <v>10</v>
      </c>
      <c r="K6" s="1" t="s">
        <v>120</v>
      </c>
      <c r="L6" s="36">
        <v>0.01</v>
      </c>
    </row>
    <row r="7" spans="1:13">
      <c r="A7">
        <v>177</v>
      </c>
      <c r="B7">
        <v>161</v>
      </c>
      <c r="C7" s="1" t="s">
        <v>120</v>
      </c>
      <c r="D7" s="36">
        <v>0.01</v>
      </c>
      <c r="G7" s="1" t="s">
        <v>120</v>
      </c>
      <c r="H7" s="36">
        <v>0.05</v>
      </c>
    </row>
    <row r="8" spans="1:13">
      <c r="A8">
        <v>193</v>
      </c>
      <c r="B8">
        <v>174</v>
      </c>
      <c r="C8" s="1" t="s">
        <v>132</v>
      </c>
      <c r="D8">
        <f>D4-E4</f>
        <v>-0.1599999999999997</v>
      </c>
      <c r="G8" s="1" t="s">
        <v>131</v>
      </c>
      <c r="H8" s="8">
        <v>0</v>
      </c>
      <c r="L8" s="6" t="s">
        <v>115</v>
      </c>
    </row>
    <row r="9" spans="1:13">
      <c r="A9">
        <v>202</v>
      </c>
      <c r="B9">
        <v>187</v>
      </c>
      <c r="C9" s="1" t="s">
        <v>5</v>
      </c>
      <c r="D9">
        <f>D5^2</f>
        <v>4.0000000000000008E-2</v>
      </c>
      <c r="E9">
        <f>E5^2</f>
        <v>1.21E-2</v>
      </c>
      <c r="G9" s="1" t="s">
        <v>130</v>
      </c>
      <c r="H9" s="97">
        <f>H4-I4</f>
        <v>19.100000000000023</v>
      </c>
      <c r="K9" s="1" t="s">
        <v>114</v>
      </c>
      <c r="L9" s="92">
        <f>2*MIN(L10,L11)</f>
        <v>1.4248790497108921E-3</v>
      </c>
    </row>
    <row r="10" spans="1:13">
      <c r="A10">
        <v>208</v>
      </c>
      <c r="B10">
        <v>186</v>
      </c>
      <c r="G10" s="1" t="s">
        <v>129</v>
      </c>
      <c r="H10" s="92">
        <f>CORREL(A:A,B:B)</f>
        <v>0.94875489843469185</v>
      </c>
      <c r="K10" s="1" t="s">
        <v>113</v>
      </c>
      <c r="L10" s="92">
        <f>_xlfn.HYPGEOM.DIST(L5,L5+M5,L4,L4+M4,1)</f>
        <v>0.99957413166094855</v>
      </c>
    </row>
    <row r="11" spans="1:13">
      <c r="A11">
        <v>233</v>
      </c>
      <c r="B11">
        <v>204</v>
      </c>
      <c r="C11" s="1" t="s">
        <v>119</v>
      </c>
      <c r="D11" s="96">
        <f>(D4-E4)/SQRT(D9/D6+E9/E6)</f>
        <v>-3.287853525651955</v>
      </c>
      <c r="G11" s="1" t="s">
        <v>128</v>
      </c>
      <c r="H11" s="92">
        <f>SQRT((H5^2+I5^2-2*H10*H5*I5))</f>
        <v>4.8864893101057465</v>
      </c>
      <c r="K11" s="1" t="s">
        <v>112</v>
      </c>
      <c r="L11" s="92">
        <f>1-_xlfn.HYPGEOM.DIST(L5-1,L5+M5,L4,L4+M4,1)</f>
        <v>7.1243952485544604E-4</v>
      </c>
    </row>
    <row r="12" spans="1:13">
      <c r="C12" s="1" t="s">
        <v>117</v>
      </c>
      <c r="D12" s="96">
        <f>ROUNDDOWN(((D9/D6+E9/E6)^2)/((D9/D6)^2/(D6-1)+(E9/E6)^2/(E6-1)),0)</f>
        <v>32</v>
      </c>
    </row>
    <row r="13" spans="1:13">
      <c r="G13" s="1" t="s">
        <v>119</v>
      </c>
      <c r="H13" s="92">
        <f>(H9-H8)/(H11/SQRT(H6))</f>
        <v>12.360510680807984</v>
      </c>
    </row>
    <row r="14" spans="1:13">
      <c r="D14" s="6" t="s">
        <v>116</v>
      </c>
      <c r="E14" s="6" t="s">
        <v>115</v>
      </c>
      <c r="G14" s="1" t="s">
        <v>117</v>
      </c>
      <c r="H14" s="97">
        <f>H6-1</f>
        <v>9</v>
      </c>
    </row>
    <row r="15" spans="1:13">
      <c r="C15" s="1" t="s">
        <v>114</v>
      </c>
      <c r="D15" s="97" t="str">
        <f>"±"&amp;ROUND(_xlfn.T.INV.2T(D7,D12),5)</f>
        <v>±2.73848</v>
      </c>
      <c r="E15" s="97">
        <f>_xlfn.T.DIST.2T(ABS(D11),D12)</f>
        <v>2.4570670260866032E-3</v>
      </c>
    </row>
    <row r="16" spans="1:13">
      <c r="C16" s="1" t="s">
        <v>113</v>
      </c>
      <c r="D16" s="96">
        <f>_xlfn.T.INV(D7,D12)</f>
        <v>-2.4486776336720522</v>
      </c>
      <c r="E16" s="97">
        <f>_xlfn.T.DIST(D11,D12,1)</f>
        <v>1.2285335130433016E-3</v>
      </c>
      <c r="H16" s="6" t="s">
        <v>116</v>
      </c>
      <c r="I16" s="6" t="s">
        <v>115</v>
      </c>
    </row>
    <row r="17" spans="3:9">
      <c r="C17" s="1" t="s">
        <v>112</v>
      </c>
      <c r="D17" s="96">
        <f>_xlfn.T.INV(1-D7,D12)</f>
        <v>2.4486776336720522</v>
      </c>
      <c r="E17" s="97">
        <f>_xlfn.T.DIST.RT(D11,D12)</f>
        <v>0.99877146648695669</v>
      </c>
      <c r="G17" s="1" t="s">
        <v>114</v>
      </c>
      <c r="H17" s="97" t="str">
        <f>"±"&amp;ROUND(_xlfn.T.INV.2T(H7,H14),5)</f>
        <v>±2.26216</v>
      </c>
      <c r="I17" s="98">
        <f>_xlfn.T.DIST.2T(ABS(H13),H14)</f>
        <v>5.9815039521035258E-7</v>
      </c>
    </row>
    <row r="18" spans="3:9">
      <c r="G18" s="1" t="s">
        <v>113</v>
      </c>
      <c r="H18" s="96">
        <f>_xlfn.T.INV(H7,H14)</f>
        <v>-1.8331129326562374</v>
      </c>
      <c r="I18" s="97">
        <f>_xlfn.T.DIST(H13,H14,1)</f>
        <v>0.99999970092480239</v>
      </c>
    </row>
    <row r="19" spans="3:9">
      <c r="G19" s="1" t="s">
        <v>112</v>
      </c>
      <c r="H19" s="96">
        <f>_xlfn.T.INV(1-H7,H14)</f>
        <v>1.8331129326562368</v>
      </c>
      <c r="I19" s="95">
        <f>_xlfn.T.DIST.RT(H13,H14)</f>
        <v>2.9907519760517629E-7</v>
      </c>
    </row>
  </sheetData>
  <mergeCells count="3">
    <mergeCell ref="C2:E2"/>
    <mergeCell ref="K2:M2"/>
    <mergeCell ref="G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Descriptive Stats</vt:lpstr>
      <vt:lpstr>Frequency</vt:lpstr>
      <vt:lpstr>Discrete</vt:lpstr>
      <vt:lpstr>Probability Distributions</vt:lpstr>
      <vt:lpstr>Sample Sizes</vt:lpstr>
      <vt:lpstr>Contingency Probability</vt:lpstr>
      <vt:lpstr>Confidence Intervals</vt:lpstr>
      <vt:lpstr>1 Sample Tests</vt:lpstr>
      <vt:lpstr>2 Sample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2016-09-02T21:44:51Z</dcterms:created>
  <dcterms:modified xsi:type="dcterms:W3CDTF">2021-09-21T17:25:34Z</dcterms:modified>
</cp:coreProperties>
</file>