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ishikaprashar/Desktop/Mini Case Study - Pivoting Avocado Sales with Pivot Tables/"/>
    </mc:Choice>
  </mc:AlternateContent>
  <xr:revisionPtr revIDLastSave="0" documentId="13_ncr:1_{7B3D5507-0599-304F-9142-575961413552}" xr6:coauthVersionLast="47" xr6:coauthVersionMax="47" xr10:uidLastSave="{00000000-0000-0000-0000-000000000000}"/>
  <bookViews>
    <workbookView xWindow="0" yWindow="460" windowWidth="28800" windowHeight="16400" activeTab="2" xr2:uid="{0BA63DD4-C331-42C3-B925-003958714913}"/>
  </bookViews>
  <sheets>
    <sheet name="Avocado_Sale_Data_Albany" sheetId="1" r:id="rId1"/>
    <sheet name="reference pivot tables" sheetId="6" r:id="rId2"/>
    <sheet name="Avocado_Mini_Summing_Exercise" sheetId="2" r:id="rId3"/>
  </sheets>
  <definedNames>
    <definedName name="_xlnm._FilterDatabase" localSheetId="0" hidden="1">Avocado_Sale_Data_Albany!$A$1:$N$1</definedName>
  </definedNames>
  <calcPr calcId="191029"/>
  <pivotCaches>
    <pivotCache cacheId="1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8" i="2" l="1"/>
  <c r="C68" i="2"/>
  <c r="D68" i="2"/>
  <c r="E68" i="2"/>
  <c r="F68" i="2"/>
  <c r="G68" i="2"/>
  <c r="H68" i="2"/>
  <c r="I68" i="2"/>
  <c r="J68" i="2"/>
  <c r="K68" i="2"/>
  <c r="L68" i="2"/>
  <c r="B68" i="2"/>
  <c r="C67" i="2"/>
  <c r="D67" i="2"/>
  <c r="E67" i="2"/>
  <c r="F67" i="2"/>
  <c r="G67" i="2"/>
  <c r="H67" i="2"/>
  <c r="I67" i="2"/>
  <c r="J67" i="2"/>
  <c r="K67" i="2"/>
  <c r="L67" i="2"/>
  <c r="M67" i="2"/>
  <c r="B67" i="2"/>
  <c r="N51" i="2"/>
  <c r="N50" i="2"/>
  <c r="N49" i="2"/>
  <c r="C51" i="2"/>
  <c r="D51" i="2"/>
  <c r="E51" i="2"/>
  <c r="F51" i="2"/>
  <c r="G51" i="2"/>
  <c r="H51" i="2"/>
  <c r="I51" i="2"/>
  <c r="J51" i="2"/>
  <c r="K51" i="2"/>
  <c r="L51" i="2"/>
  <c r="M51" i="2"/>
  <c r="B51" i="2"/>
  <c r="C50" i="2"/>
  <c r="D50" i="2"/>
  <c r="E50" i="2"/>
  <c r="F50" i="2"/>
  <c r="G50" i="2"/>
  <c r="H50" i="2"/>
  <c r="I50" i="2"/>
  <c r="J50" i="2"/>
  <c r="K50" i="2"/>
  <c r="L50" i="2"/>
  <c r="M50" i="2"/>
  <c r="B50" i="2"/>
  <c r="C49" i="2"/>
  <c r="D49" i="2"/>
  <c r="E49" i="2"/>
  <c r="F49" i="2"/>
  <c r="G49" i="2"/>
  <c r="H49" i="2"/>
  <c r="I49" i="2"/>
  <c r="J49" i="2"/>
  <c r="K49" i="2"/>
  <c r="L49" i="2"/>
  <c r="M49" i="2"/>
  <c r="B49" i="2"/>
  <c r="AB39" i="2"/>
  <c r="R39" i="2"/>
  <c r="V39" i="2"/>
  <c r="Z39" i="2"/>
  <c r="T39" i="2"/>
  <c r="U39" i="2"/>
  <c r="S39" i="2"/>
  <c r="W39" i="2"/>
  <c r="AA39" i="2"/>
  <c r="X39" i="2"/>
  <c r="Y39" i="2"/>
  <c r="Q39" i="2"/>
  <c r="R38" i="2"/>
  <c r="V38" i="2"/>
  <c r="Z38" i="2"/>
  <c r="X38" i="2"/>
  <c r="Y38" i="2"/>
  <c r="S38" i="2"/>
  <c r="W38" i="2"/>
  <c r="AA38" i="2"/>
  <c r="T38" i="2"/>
  <c r="AB38" i="2"/>
  <c r="U38" i="2"/>
  <c r="Q38" i="2"/>
  <c r="R37" i="2"/>
  <c r="V37" i="2"/>
  <c r="Z37" i="2"/>
  <c r="X37" i="2"/>
  <c r="Y37" i="2"/>
  <c r="S37" i="2"/>
  <c r="W37" i="2"/>
  <c r="AA37" i="2"/>
  <c r="T37" i="2"/>
  <c r="AB37" i="2"/>
  <c r="U37" i="2"/>
  <c r="Q37" i="2"/>
  <c r="Q34" i="2"/>
  <c r="AB33" i="2"/>
  <c r="R33" i="2"/>
  <c r="V33" i="2"/>
  <c r="Z33" i="2"/>
  <c r="X33" i="2"/>
  <c r="Y33" i="2"/>
  <c r="S33" i="2"/>
  <c r="W33" i="2"/>
  <c r="AA33" i="2"/>
  <c r="T33" i="2"/>
  <c r="U33" i="2"/>
  <c r="Q33" i="2"/>
  <c r="R34" i="2"/>
  <c r="V34" i="2"/>
  <c r="Z34" i="2"/>
  <c r="X34" i="2"/>
  <c r="U34" i="2"/>
  <c r="S34" i="2"/>
  <c r="W34" i="2"/>
  <c r="AA34" i="2"/>
  <c r="T34" i="2"/>
  <c r="AB34" i="2"/>
  <c r="Y34" i="2"/>
  <c r="T32" i="2"/>
  <c r="X32" i="2"/>
  <c r="AB32" i="2"/>
  <c r="Y32" i="2"/>
  <c r="Z32" i="2"/>
  <c r="AA32" i="2"/>
  <c r="U32" i="2"/>
  <c r="V32" i="2"/>
  <c r="W32" i="2"/>
  <c r="R32" i="2"/>
  <c r="S32" i="2"/>
  <c r="Q32" i="2"/>
  <c r="Q18" i="2"/>
  <c r="R25" i="2"/>
  <c r="V25" i="2"/>
  <c r="Z25" i="2"/>
  <c r="X25" i="2"/>
  <c r="U25" i="2"/>
  <c r="S25" i="2"/>
  <c r="W25" i="2"/>
  <c r="AA25" i="2"/>
  <c r="T25" i="2"/>
  <c r="AB25" i="2"/>
  <c r="Y25" i="2"/>
  <c r="Q25" i="2"/>
  <c r="AB24" i="2"/>
  <c r="R24" i="2"/>
  <c r="V24" i="2"/>
  <c r="Z24" i="2"/>
  <c r="X24" i="2"/>
  <c r="Y24" i="2"/>
  <c r="S24" i="2"/>
  <c r="W24" i="2"/>
  <c r="AA24" i="2"/>
  <c r="T24" i="2"/>
  <c r="U24" i="2"/>
  <c r="Q24" i="2"/>
  <c r="R23" i="2"/>
  <c r="V23" i="2"/>
  <c r="Z23" i="2"/>
  <c r="X23" i="2"/>
  <c r="Y23" i="2"/>
  <c r="S23" i="2"/>
  <c r="W23" i="2"/>
  <c r="AA23" i="2"/>
  <c r="T23" i="2"/>
  <c r="AB23" i="2"/>
  <c r="U23" i="2"/>
  <c r="Q23" i="2"/>
  <c r="AB20" i="2"/>
  <c r="R20" i="2"/>
  <c r="V20" i="2"/>
  <c r="Z20" i="2"/>
  <c r="X20" i="2"/>
  <c r="Y20" i="2"/>
  <c r="S20" i="2"/>
  <c r="W20" i="2"/>
  <c r="AA20" i="2"/>
  <c r="T20" i="2"/>
  <c r="U20" i="2"/>
  <c r="AB19" i="2"/>
  <c r="R19" i="2"/>
  <c r="V19" i="2"/>
  <c r="Z19" i="2"/>
  <c r="T19" i="2"/>
  <c r="Y19" i="2"/>
  <c r="S19" i="2"/>
  <c r="W19" i="2"/>
  <c r="AA19" i="2"/>
  <c r="X19" i="2"/>
  <c r="U19" i="2"/>
  <c r="R18" i="2"/>
  <c r="V18" i="2"/>
  <c r="Z18" i="2"/>
  <c r="AB18" i="2"/>
  <c r="S18" i="2"/>
  <c r="W18" i="2"/>
  <c r="AA18" i="2"/>
  <c r="T18" i="2"/>
  <c r="X18" i="2"/>
  <c r="U18" i="2"/>
  <c r="Y18" i="2"/>
  <c r="Q20" i="2"/>
  <c r="Q19" i="2"/>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alcChain>
</file>

<file path=xl/sharedStrings.xml><?xml version="1.0" encoding="utf-8"?>
<sst xmlns="http://schemas.openxmlformats.org/spreadsheetml/2006/main" count="399" uniqueCount="70">
  <si>
    <t>Date</t>
  </si>
  <si>
    <t>AveragePrice</t>
  </si>
  <si>
    <t>Total Volume</t>
  </si>
  <si>
    <t>Total Bags</t>
  </si>
  <si>
    <t>Small Bags</t>
  </si>
  <si>
    <t>Large Bags</t>
  </si>
  <si>
    <t>XLarge Bags</t>
  </si>
  <si>
    <t>conventional</t>
  </si>
  <si>
    <t>Albany</t>
  </si>
  <si>
    <t>organic</t>
  </si>
  <si>
    <t>Month</t>
  </si>
  <si>
    <r>
      <t xml:space="preserve">We produce both </t>
    </r>
    <r>
      <rPr>
        <b/>
        <sz val="12"/>
        <color theme="9" tint="-0.499984740745262"/>
        <rFont val="Arial"/>
        <family val="2"/>
      </rPr>
      <t xml:space="preserve">organic </t>
    </r>
    <r>
      <rPr>
        <sz val="12"/>
        <color theme="9" tint="-0.499984740745262"/>
        <rFont val="Arial"/>
        <family val="2"/>
      </rPr>
      <t xml:space="preserve">and </t>
    </r>
    <r>
      <rPr>
        <b/>
        <sz val="12"/>
        <color theme="9" tint="-0.499984740745262"/>
        <rFont val="Arial"/>
        <family val="2"/>
      </rPr>
      <t xml:space="preserve">conventional </t>
    </r>
    <r>
      <rPr>
        <sz val="12"/>
        <color theme="9" tint="-0.499984740745262"/>
        <rFont val="Arial"/>
        <family val="2"/>
      </rPr>
      <t>Avocado's that have different price points.</t>
    </r>
  </si>
  <si>
    <t>January</t>
  </si>
  <si>
    <t>February</t>
  </si>
  <si>
    <t>March</t>
  </si>
  <si>
    <t>April</t>
  </si>
  <si>
    <t>May</t>
  </si>
  <si>
    <t>June</t>
  </si>
  <si>
    <t>July</t>
  </si>
  <si>
    <t>August</t>
  </si>
  <si>
    <t>September</t>
  </si>
  <si>
    <t>October</t>
  </si>
  <si>
    <t>November</t>
  </si>
  <si>
    <t>December</t>
  </si>
  <si>
    <t>Conventional Avocados</t>
  </si>
  <si>
    <t>Organic Avocados</t>
  </si>
  <si>
    <t>Total</t>
  </si>
  <si>
    <t>YTD Total</t>
  </si>
  <si>
    <t>Aurella's Avos</t>
  </si>
  <si>
    <t>At Aurella's Avos we're committed to delivering excellent quality produce at affordable prices that families, businesses and generally everyone can enjoy.</t>
  </si>
  <si>
    <t xml:space="preserve">Previously, you helped us out with summarising our sales records for the 2015 Period. </t>
  </si>
  <si>
    <t>The team had mentioned that you're excellent with Pivot Tables so we'd like you to create some Pivots and check our sales figures below.</t>
  </si>
  <si>
    <t>Row Labels</t>
  </si>
  <si>
    <t>Grand Total</t>
  </si>
  <si>
    <t>Column Labels</t>
  </si>
  <si>
    <t>Sum of Small Bags</t>
  </si>
  <si>
    <t>Sum of Large Bags</t>
  </si>
  <si>
    <t>Sum of XLarge Bags</t>
  </si>
  <si>
    <t>YTD Average</t>
  </si>
  <si>
    <t>Conventional</t>
  </si>
  <si>
    <t>Organic</t>
  </si>
  <si>
    <t>Conditions</t>
  </si>
  <si>
    <t>Q3. Using your knowledge of the IF/IFS Syntax, please categorise the Monthly Averages based off the Criteria provided by Aurella.  Put this in table below.</t>
  </si>
  <si>
    <t>Hint: Remember the IF/IFS Syntax to help you out. Think carefully regarding how many conditions you have to evaluate…!</t>
  </si>
  <si>
    <r>
      <t xml:space="preserve">Q1. Using a Pivot Table, </t>
    </r>
    <r>
      <rPr>
        <b/>
        <u/>
        <sz val="12"/>
        <color rgb="FFFF0000"/>
        <rFont val="Arial"/>
        <family val="2"/>
      </rPr>
      <t>check</t>
    </r>
    <r>
      <rPr>
        <b/>
        <sz val="12"/>
        <color theme="9" tint="-0.499984740745262"/>
        <rFont val="Arial"/>
        <family val="2"/>
      </rPr>
      <t xml:space="preserve"> the production volumes for 2016 below and verify that Aurella's Summaries are correct. If you've found any values that don't match up, color-code those cells for follow up by the team.</t>
    </r>
  </si>
  <si>
    <t>Growth_Type</t>
  </si>
  <si>
    <t>Year</t>
  </si>
  <si>
    <t>Region</t>
  </si>
  <si>
    <t>Hass</t>
  </si>
  <si>
    <t>Haas</t>
  </si>
  <si>
    <t>Reed</t>
  </si>
  <si>
    <t>Zutano</t>
  </si>
  <si>
    <t>Sum of Haas</t>
  </si>
  <si>
    <t>Sum of Reed</t>
  </si>
  <si>
    <t>Sum of Zutano</t>
  </si>
  <si>
    <t>Hint: You might want to create multiple pivots to account for the different avocado types…! If you're stuck, we've got a tab labelled Pivot Table Checks that showcases what the Pivot Tables should look like once you've built them!
Rather than check manually, you might be able to use an IF Statement and use the following logic: IF(Sales For Hass in January = X Then 1 ELSE 0). In other words, if the Sales for January, match the values in the Pivot Table for January - we're good!
We've populated an example table below for you to give you an idea of how you might tackle this!</t>
  </si>
  <si>
    <t>Hint: Remember the AVERAGEIFS Syntax that we've highlighted here: =AVERAGEIFS(Average_Range, Criteria_Range_1, Criteria_To_Look_Up…)</t>
  </si>
  <si>
    <r>
      <t>Q2. Using your AVERAGEIFS capabilities, calculate the</t>
    </r>
    <r>
      <rPr>
        <b/>
        <u/>
        <sz val="12"/>
        <color theme="9" tint="-0.499984740745262"/>
        <rFont val="Arial"/>
        <family val="2"/>
      </rPr>
      <t xml:space="preserve"> Weekly Average Quantity Sold of Avocados by Growth Type</t>
    </r>
    <r>
      <rPr>
        <b/>
        <sz val="12"/>
        <color theme="9" tint="-0.499984740745262"/>
        <rFont val="Arial"/>
        <family val="2"/>
      </rPr>
      <t xml:space="preserve"> (Conventional | Organic Varieties) for each month for the 2016 Period.  
</t>
    </r>
  </si>
  <si>
    <t>Monthly Average Sold</t>
  </si>
  <si>
    <t>Now we've noticed there are some periods in the year where the overall quantity sold is abnormally high. Aurella has asked her team to categorise and label the months based off the following rules.</t>
  </si>
  <si>
    <r>
      <rPr>
        <sz val="11"/>
        <color theme="1"/>
        <rFont val="Arial"/>
        <family val="2"/>
      </rPr>
      <t xml:space="preserve">If the </t>
    </r>
    <r>
      <rPr>
        <b/>
        <sz val="11"/>
        <color theme="1"/>
        <rFont val="Arial"/>
        <family val="2"/>
      </rPr>
      <t>Overall Monthly Sales Volume is…</t>
    </r>
  </si>
  <si>
    <t>&lt; 65,000 - Low</t>
  </si>
  <si>
    <t>&gt;95000 - High</t>
  </si>
  <si>
    <t>65,000 - 95,000 - Medium</t>
  </si>
  <si>
    <t>&lt;1,500 - Low</t>
  </si>
  <si>
    <t>1500 - 2000 - Medium</t>
  </si>
  <si>
    <t>&gt; 2000 - High</t>
  </si>
  <si>
    <t>Pivot Tables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</si>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</sst>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17" x14ac:knownFonts="1">
    <font>
      <sz val="11"/>
      <color theme="1"/>
      <name val="Calibri"/>
      <family val="2"/>
      <scheme val="minor"/>
    </font>
    <font>
      <sz val="12"/>
      <color theme="1"/>
      <name val="Calibri"/>
      <family val="2"/>
      <scheme val="minor"/>
    </font>
    <font>
      <sz val="11"/>
      <color theme="1"/>
      <name val="Arial"/>
      <family val="2"/>
    </font>
    <font>
      <b/>
      <sz val="11"/>
      <color theme="1"/>
      <name val="Arial"/>
      <family val="2"/>
    </font>
    <font>
      <b/>
      <sz val="11"/>
      <color theme="9" tint="-0.499984740745262"/>
      <name val="Arial"/>
      <family val="2"/>
    </font>
    <font>
      <b/>
      <sz val="12"/>
      <color theme="9" tint="-0.499984740745262"/>
      <name val="Arial"/>
      <family val="2"/>
    </font>
    <font>
      <b/>
      <sz val="26"/>
      <color theme="9" tint="-0.499984740745262"/>
      <name val="Arial"/>
      <family val="2"/>
    </font>
    <font>
      <sz val="12"/>
      <color theme="9" tint="-0.499984740745262"/>
      <name val="Arial"/>
      <family val="2"/>
    </font>
    <font>
      <sz val="8"/>
      <name val="Calibri"/>
      <family val="2"/>
      <scheme val="minor"/>
    </font>
    <font>
      <b/>
      <sz val="11"/>
      <color rgb="FFEF628B"/>
      <name val="Arial"/>
      <family val="2"/>
    </font>
    <font>
      <sz val="11"/>
      <color rgb="FFEF628B"/>
      <name val="Calibri"/>
      <family val="2"/>
      <scheme val="minor"/>
    </font>
    <font>
      <b/>
      <u/>
      <sz val="12"/>
      <color rgb="FFFF0000"/>
      <name val="Arial"/>
      <family val="2"/>
    </font>
    <font>
      <b/>
      <sz val="11"/>
      <color theme="1"/>
      <name val="Calibri"/>
      <family val="2"/>
      <scheme val="minor"/>
    </font>
    <font>
      <b/>
      <sz val="11"/>
      <color theme="0"/>
      <name val="Arial"/>
      <family val="2"/>
    </font>
    <font>
      <b/>
      <u/>
      <sz val="12"/>
      <color theme="9" tint="-0.499984740745262"/>
      <name val="Arial"/>
      <family val="2"/>
    </font>
    <font>
      <sz val="12"/>
      <color rgb="FF9C0006"/>
      <name val="Calibri"/>
      <family val="2"/>
      <scheme val="minor"/>
    </font>
    <font>
      <sz val="11"/>
      <color rgb="FF000000"/>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theme="5" tint="0.79998168889431442"/>
        <bgColor indexed="65"/>
      </patternFill>
    </fill>
  </fills>
  <borders count="1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3">
    <xf numFmtId="0" fontId="0" fillId="0" borderId="0"/>
    <xf numFmtId="0" fontId="15" fillId="9" borderId="0" applyNumberFormat="0" applyBorder="0" applyAlignment="0" applyProtection="0"/>
    <xf numFmtId="0" fontId="1" fillId="10" borderId="0" applyNumberFormat="0" applyBorder="0" applyAlignment="0" applyProtection="0"/>
  </cellStyleXfs>
  <cellXfs count="64">
    <xf numFmtId="0" fontId="0" fillId="0" borderId="0" xfId="0"/>
    <xf numFmtId="4" fontId="0" fillId="0" borderId="0" xfId="0" applyNumberFormat="1"/>
    <xf numFmtId="0" fontId="2" fillId="0" borderId="0" xfId="0" applyFont="1"/>
    <xf numFmtId="14" fontId="2" fillId="0" borderId="0" xfId="0" applyNumberFormat="1" applyFont="1"/>
    <xf numFmtId="4" fontId="2" fillId="0" borderId="0" xfId="0" applyNumberFormat="1" applyFont="1"/>
    <xf numFmtId="1" fontId="2" fillId="0" borderId="0" xfId="0" applyNumberFormat="1" applyFont="1"/>
    <xf numFmtId="1" fontId="0" fillId="0" borderId="0" xfId="0" applyNumberFormat="1"/>
    <xf numFmtId="0" fontId="3" fillId="0" borderId="0" xfId="0" applyFont="1"/>
    <xf numFmtId="0" fontId="5" fillId="0" borderId="0" xfId="0" applyFont="1"/>
    <xf numFmtId="0" fontId="6" fillId="0" borderId="0" xfId="0" applyFont="1"/>
    <xf numFmtId="0" fontId="7" fillId="0" borderId="0" xfId="0" applyFont="1"/>
    <xf numFmtId="0" fontId="3" fillId="2" borderId="0" xfId="0" applyFont="1" applyFill="1"/>
    <xf numFmtId="0" fontId="2" fillId="2" borderId="0" xfId="0" applyFont="1" applyFill="1"/>
    <xf numFmtId="0" fontId="4" fillId="2" borderId="0" xfId="0" applyFont="1" applyFill="1" applyAlignment="1">
      <alignment horizontal="center"/>
    </xf>
    <xf numFmtId="1" fontId="4" fillId="2" borderId="0" xfId="0" applyNumberFormat="1" applyFont="1" applyFill="1" applyAlignment="1">
      <alignment horizontal="center"/>
    </xf>
    <xf numFmtId="4" fontId="2" fillId="3" borderId="2" xfId="0" applyNumberFormat="1" applyFont="1" applyFill="1" applyBorder="1"/>
    <xf numFmtId="0" fontId="9" fillId="0" borderId="0" xfId="0" applyFont="1"/>
    <xf numFmtId="0" fontId="10" fillId="0" borderId="0" xfId="0" applyFont="1"/>
    <xf numFmtId="4" fontId="2" fillId="0" borderId="1" xfId="0" applyNumberFormat="1" applyFont="1" applyBorder="1"/>
    <xf numFmtId="0" fontId="3" fillId="4" borderId="0" xfId="0" applyFont="1" applyFill="1"/>
    <xf numFmtId="14" fontId="3" fillId="5" borderId="0" xfId="0" applyNumberFormat="1" applyFont="1" applyFill="1"/>
    <xf numFmtId="0" fontId="3" fillId="5" borderId="0" xfId="0" applyFont="1" applyFill="1"/>
    <xf numFmtId="4" fontId="3" fillId="5" borderId="0" xfId="0" applyNumberFormat="1" applyFont="1" applyFill="1"/>
    <xf numFmtId="1" fontId="3" fillId="5" borderId="0" xfId="0" applyNumberFormat="1" applyFont="1" applyFill="1"/>
    <xf numFmtId="0" fontId="12" fillId="5" borderId="0" xfId="0" applyFont="1" applyFill="1"/>
    <xf numFmtId="4" fontId="3" fillId="6" borderId="0" xfId="0" applyNumberFormat="1" applyFont="1" applyFill="1"/>
    <xf numFmtId="1" fontId="3" fillId="6" borderId="0" xfId="0" applyNumberFormat="1" applyFont="1" applyFill="1"/>
    <xf numFmtId="3" fontId="0" fillId="0" borderId="0" xfId="0" applyNumberFormat="1"/>
    <xf numFmtId="3" fontId="2" fillId="0" borderId="1" xfId="0" applyNumberFormat="1" applyFont="1" applyBorder="1"/>
    <xf numFmtId="3" fontId="2" fillId="3" borderId="2" xfId="0" applyNumberFormat="1" applyFont="1" applyFill="1" applyBorder="1"/>
    <xf numFmtId="3" fontId="2" fillId="3" borderId="8" xfId="0" applyNumberFormat="1" applyFont="1" applyFill="1" applyBorder="1"/>
    <xf numFmtId="3" fontId="2" fillId="0" borderId="0" xfId="0" applyNumberFormat="1" applyFont="1"/>
    <xf numFmtId="3" fontId="2" fillId="3" borderId="5" xfId="0" applyNumberFormat="1" applyFont="1" applyFill="1" applyBorder="1"/>
    <xf numFmtId="3" fontId="2" fillId="3" borderId="3" xfId="0" applyNumberFormat="1" applyFont="1" applyFill="1" applyBorder="1"/>
    <xf numFmtId="3" fontId="4" fillId="2" borderId="0" xfId="0" applyNumberFormat="1" applyFont="1" applyFill="1" applyAlignment="1">
      <alignment horizontal="center"/>
    </xf>
    <xf numFmtId="3" fontId="2" fillId="0" borderId="3" xfId="0" applyNumberFormat="1" applyFont="1" applyBorder="1"/>
    <xf numFmtId="3" fontId="2" fillId="3" borderId="4" xfId="0" applyNumberFormat="1" applyFont="1" applyFill="1" applyBorder="1"/>
    <xf numFmtId="3" fontId="2" fillId="3" borderId="9" xfId="0" applyNumberFormat="1" applyFont="1" applyFill="1" applyBorder="1"/>
    <xf numFmtId="3" fontId="2" fillId="3" borderId="10" xfId="0" applyNumberFormat="1" applyFont="1" applyFill="1" applyBorder="1"/>
    <xf numFmtId="3" fontId="2" fillId="3" borderId="6" xfId="0" applyNumberFormat="1" applyFont="1" applyFill="1" applyBorder="1"/>
    <xf numFmtId="3" fontId="2" fillId="3" borderId="7" xfId="0" applyNumberFormat="1" applyFont="1" applyFill="1" applyBorder="1"/>
    <xf numFmtId="1" fontId="4" fillId="7" borderId="0" xfId="0" applyNumberFormat="1" applyFont="1" applyFill="1" applyAlignment="1">
      <alignment horizontal="center"/>
    </xf>
    <xf numFmtId="3" fontId="2" fillId="7" borderId="0" xfId="0" applyNumberFormat="1" applyFont="1" applyFill="1"/>
    <xf numFmtId="0" fontId="0" fillId="7" borderId="0" xfId="0" applyFill="1"/>
    <xf numFmtId="0" fontId="4" fillId="7" borderId="0" xfId="0" applyFont="1" applyFill="1" applyAlignment="1">
      <alignment horizontal="center"/>
    </xf>
    <xf numFmtId="0" fontId="13" fillId="8" borderId="0" xfId="0" applyFont="1" applyFill="1"/>
    <xf numFmtId="164" fontId="2" fillId="0" borderId="1" xfId="0" applyNumberFormat="1" applyFont="1" applyBorder="1" applyAlignment="1">
      <alignment horizontal="center"/>
    </xf>
    <xf numFmtId="164" fontId="2" fillId="0" borderId="3" xfId="0" applyNumberFormat="1" applyFont="1" applyBorder="1" applyAlignment="1">
      <alignment horizontal="center"/>
    </xf>
    <xf numFmtId="4" fontId="2" fillId="7" borderId="0" xfId="0" applyNumberFormat="1" applyFont="1" applyFill="1"/>
    <xf numFmtId="0" fontId="0" fillId="0" borderId="0" xfId="0" pivotButton="1"/>
    <xf numFmtId="0" fontId="12" fillId="0" borderId="0" xfId="0" applyFont="1"/>
    <xf numFmtId="0" fontId="0" fillId="0" borderId="0" xfId="0" applyAlignment="1">
      <alignment horizontal="left"/>
    </xf>
    <xf numFmtId="3" fontId="16" fillId="0" borderId="1" xfId="0" applyNumberFormat="1" applyFont="1" applyBorder="1"/>
    <xf numFmtId="0" fontId="1" fillId="10" borderId="0" xfId="2"/>
    <xf numFmtId="0" fontId="1" fillId="10" borderId="0" xfId="2" applyAlignment="1">
      <alignment horizontal="center"/>
    </xf>
    <xf numFmtId="1" fontId="1" fillId="10" borderId="0" xfId="2" applyNumberFormat="1" applyAlignment="1">
      <alignment horizontal="center"/>
    </xf>
    <xf numFmtId="3" fontId="15" fillId="9" borderId="1" xfId="1" applyNumberFormat="1" applyBorder="1"/>
    <xf numFmtId="3" fontId="15" fillId="9" borderId="3" xfId="1" applyNumberFormat="1" applyBorder="1"/>
    <xf numFmtId="0" fontId="7" fillId="0" borderId="0" xfId="0" applyFont="1" applyAlignment="1">
      <alignment wrapText="1"/>
    </xf>
    <xf numFmtId="0" fontId="0" fillId="0" borderId="0" xfId="0" applyAlignment="1">
      <alignment wrapText="1"/>
    </xf>
    <xf numFmtId="0" fontId="7" fillId="0" borderId="0" xfId="0" applyFont="1"/>
    <xf numFmtId="0" fontId="5" fillId="0" borderId="0" xfId="0" applyFont="1" applyAlignment="1">
      <alignment wrapText="1"/>
    </xf>
    <xf numFmtId="0" fontId="0" fillId="0" borderId="0" xfId="0"/>
    <xf numFmtId="0" fontId="9" fillId="0" borderId="0" xfId="0" applyFont="1" applyAlignment="1">
      <alignment wrapText="1"/>
    </xf>
  </cellXfs>
  <cellStyles count="3">
    <cellStyle name="20% - Accent2" xfId="2" builtinId="34"/>
    <cellStyle name="Bad" xfId="1" builtinId="27"/>
    <cellStyle name="Normal" xfId="0" builtinId="0"/>
  </cellStyles>
  <dxfs count="3">
    <dxf>
      <fill>
        <patternFill>
          <bgColor theme="7" tint="0.79998168889431442"/>
        </patternFill>
      </fill>
    </dxf>
    <dxf>
      <fill>
        <patternFill>
          <bgColor theme="4" tint="0.59996337778862885"/>
        </patternFill>
      </fill>
    </dxf>
    <dxf>
      <fill>
        <patternFill>
          <bgColor theme="9" tint="0.79998168889431442"/>
        </patternFill>
      </fill>
    </dxf>
  </dxfs>
  <tableStyles count="0" defaultTableStyle="TableStyleMedium2" defaultPivotStyle="PivotStyleLight16"/>
  <colors>
    <mruColors>
      <color rgb="FFF59DB6"/>
      <color rgb="FFEF62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3</xdr:col>
      <xdr:colOff>85725</xdr:colOff>
      <xdr:row>9</xdr:row>
      <xdr:rowOff>35560</xdr:rowOff>
    </xdr:to>
    <xdr:pic>
      <xdr:nvPicPr>
        <xdr:cNvPr id="2" name="Picture 1">
          <a:extLst>
            <a:ext uri="{FF2B5EF4-FFF2-40B4-BE49-F238E27FC236}">
              <a16:creationId xmlns:a16="http://schemas.microsoft.com/office/drawing/2014/main" id="{F0CC9C16-616A-4B04-81B0-B4FDCD88D2E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4124325" cy="2235835"/>
        </a:xfrm>
        <a:prstGeom prst="rect">
          <a:avLst/>
        </a:prstGeom>
      </xdr:spPr>
    </xdr:pic>
    <xdr:clientData/>
  </xdr:twoCellAnchor>
  <xdr:twoCellAnchor>
    <xdr:from>
      <xdr:col>3</xdr:col>
      <xdr:colOff>314325</xdr:colOff>
      <xdr:row>0</xdr:row>
      <xdr:rowOff>66675</xdr:rowOff>
    </xdr:from>
    <xdr:to>
      <xdr:col>6</xdr:col>
      <xdr:colOff>85725</xdr:colOff>
      <xdr:row>0</xdr:row>
      <xdr:rowOff>414830</xdr:rowOff>
    </xdr:to>
    <xdr:pic>
      <xdr:nvPicPr>
        <xdr:cNvPr id="8" name="Picture 7">
          <a:extLst>
            <a:ext uri="{FF2B5EF4-FFF2-40B4-BE49-F238E27FC236}">
              <a16:creationId xmlns:a16="http://schemas.microsoft.com/office/drawing/2014/main" id="{165125B5-9B1A-4B6C-89B9-1DFEA7655B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2450" y="66675"/>
          <a:ext cx="2019300" cy="3481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9.570463657408" createdVersion="8" refreshedVersion="8" minRefreshableVersion="3" recordCount="104" xr:uid="{5C47B854-6B87-CD49-8A93-6F45EA46D2EF}">
  <cacheSource type="worksheet">
    <worksheetSource ref="A1:N105" sheet="Avocado_Sale_Data_Albany"/>
  </cacheSource>
  <cacheFields count="14">
    <cacheField name="Date" numFmtId="14">
      <sharedItems containsSemiMixedTypes="0" containsNonDate="0" containsDate="1" containsString="0" minDate="2016-01-03T00:00:00" maxDate="2016-12-26T00:00:00" count="52">
        <d v="2016-01-03T00:00:00"/>
        <d v="2016-01-10T00:00:00"/>
        <d v="2016-01-17T00:00:00"/>
        <d v="2016-01-24T00:00:00"/>
        <d v="2016-01-31T00:00:00"/>
        <d v="2016-02-07T00:00:00"/>
        <d v="2016-02-14T00:00:00"/>
        <d v="2016-02-21T00:00:00"/>
        <d v="2016-02-28T00:00:00"/>
        <d v="2016-03-06T00:00:00"/>
        <d v="2016-03-13T00:00:00"/>
        <d v="2016-03-20T00:00:00"/>
        <d v="2016-03-27T00:00:00"/>
        <d v="2016-04-03T00:00:00"/>
        <d v="2016-04-10T00:00:00"/>
        <d v="2016-04-17T00:00:00"/>
        <d v="2016-04-24T00:00:00"/>
        <d v="2016-05-01T00:00:00"/>
        <d v="2016-05-08T00:00:00"/>
        <d v="2016-05-15T00:00:00"/>
        <d v="2016-05-22T00:00:00"/>
        <d v="2016-05-29T00:00:00"/>
        <d v="2016-06-05T00:00:00"/>
        <d v="2016-06-12T00:00:00"/>
        <d v="2016-06-19T00:00:00"/>
        <d v="2016-06-26T00:00:00"/>
        <d v="2016-07-03T00:00:00"/>
        <d v="2016-07-10T00:00:00"/>
        <d v="2016-07-17T00:00:00"/>
        <d v="2016-07-24T00:00:00"/>
        <d v="2016-07-31T00:00:00"/>
        <d v="2016-08-07T00:00:00"/>
        <d v="2016-08-14T00:00:00"/>
        <d v="2016-08-21T00:00:00"/>
        <d v="2016-08-28T00:00:00"/>
        <d v="2016-09-04T00:00:00"/>
        <d v="2016-09-11T00:00:00"/>
        <d v="2016-09-18T00:00:00"/>
        <d v="2016-09-25T00:00:00"/>
        <d v="2016-10-02T00:00:00"/>
        <d v="2016-10-09T00:00:00"/>
        <d v="2016-10-16T00:00:00"/>
        <d v="2016-10-23T00:00:00"/>
        <d v="2016-10-30T00:00:00"/>
        <d v="2016-11-06T00:00:00"/>
        <d v="2016-11-13T00:00:00"/>
        <d v="2016-11-20T00:00:00"/>
        <d v="2016-11-27T00:00:00"/>
        <d v="2016-12-04T00:00:00"/>
        <d v="2016-12-11T00:00:00"/>
        <d v="2016-12-18T00:00:00"/>
        <d v="2016-12-25T00:00:00"/>
      </sharedItems>
    </cacheField>
    <cacheField name="Month" numFmtId="4">
      <sharedItems containsSemiMixedTypes="0" containsString="0" containsNumber="1" containsInteger="1" minValue="1" maxValue="12" count="12">
        <n v="1"/>
        <n v="2"/>
        <n v="3"/>
        <n v="4"/>
        <n v="5"/>
        <n v="6"/>
        <n v="7"/>
        <n v="8"/>
        <n v="9"/>
        <n v="10"/>
        <n v="11"/>
        <n v="12"/>
      </sharedItems>
    </cacheField>
    <cacheField name="AveragePrice" numFmtId="0">
      <sharedItems containsSemiMixedTypes="0" containsString="0" containsNumber="1" minValue="0.85" maxValue="2"/>
    </cacheField>
    <cacheField name="Total Volume" numFmtId="4">
      <sharedItems containsSemiMixedTypes="0" containsString="0" containsNumber="1" minValue="887.29" maxValue="173781.78" count="104">
        <n v="149038.15"/>
        <n v="1145.5"/>
        <n v="79121.77"/>
        <n v="1676.05"/>
        <n v="119972.41"/>
        <n v="1496.73"/>
        <n v="96089.13"/>
        <n v="1506.87"/>
        <n v="102038.32"/>
        <n v="1305.94"/>
        <n v="169614.01"/>
        <n v="1252.8599999999999"/>
        <n v="98008.16"/>
        <n v="1247.8"/>
        <n v="99817.47"/>
        <n v="1282.8699999999999"/>
        <n v="87822.43"/>
        <n v="1485.73"/>
        <n v="90633.66"/>
        <n v="1704.24"/>
        <n v="108264.9"/>
        <n v="1822.67"/>
        <n v="110401.88"/>
        <n v="1733.01"/>
        <n v="92529.27"/>
        <n v="1705.39"/>
        <n v="81694.23"/>
        <n v="1903.46"/>
        <n v="70253.3"/>
        <n v="2161.66"/>
        <n v="86433.63"/>
        <n v="2058.73"/>
        <n v="102490.2"/>
        <n v="2328.8200000000002"/>
        <n v="173781.78"/>
        <n v="1604"/>
        <n v="120194.49"/>
        <n v="2103.64"/>
        <n v="96924.19"/>
        <n v="1259.8599999999999"/>
        <n v="98863.64"/>
        <n v="1193.06"/>
        <n v="127812.25"/>
        <n v="1117.44"/>
        <n v="115857.12"/>
        <n v="1007.03"/>
        <n v="111394.5"/>
        <n v="887.29"/>
        <n v="112817.51"/>
        <n v="974.27"/>
        <n v="133086.66"/>
        <n v="1922.75"/>
        <n v="115907.61"/>
        <n v="3529.44"/>
        <n v="131630.13"/>
        <n v="2173.1999999999998"/>
        <n v="89228.02"/>
        <n v="2399.7399999999998"/>
        <n v="98321.14"/>
        <n v="1811.44"/>
        <n v="125586.57"/>
        <n v="1553.42"/>
        <n v="99683.11"/>
        <n v="1545.79"/>
        <n v="110528.09"/>
        <n v="1609.03"/>
        <n v="94882.79"/>
        <n v="1926.01"/>
        <n v="145323.22"/>
        <n v="1922.46"/>
        <n v="95456.26"/>
        <n v="2194.77"/>
        <n v="81473.149999999994"/>
        <n v="3501.41"/>
        <n v="79513.63"/>
        <n v="2137.5300000000002"/>
        <n v="96853.15"/>
        <n v="2019.71"/>
        <n v="75480.259999999995"/>
        <n v="2492.8200000000002"/>
        <n v="101087.84"/>
        <n v="2179.44"/>
        <n v="69060.899999999994"/>
        <n v="1939.89"/>
        <n v="92080.35"/>
        <n v="1913.99"/>
        <n v="58375.1"/>
        <n v="1326.8"/>
        <n v="57178.2"/>
        <n v="2674"/>
        <n v="63608.01"/>
        <n v="2084.37"/>
        <n v="70089.509999999995"/>
        <n v="1862.7"/>
        <n v="58171.89"/>
        <n v="1646.78"/>
        <n v="113031.96"/>
        <n v="1364.73"/>
        <n v="71777.850000000006"/>
        <n v="1886.63"/>
        <n v="68938.53"/>
        <n v="1472.84"/>
        <n v="73341.73"/>
        <n v="1714.92"/>
      </sharedItems>
    </cacheField>
    <cacheField name="Haas" numFmtId="1">
      <sharedItems containsSemiMixedTypes="0" containsString="0" containsNumber="1" minValue="0" maxValue="34912.97" count="102">
        <n v="939.71"/>
        <n v="7"/>
        <n v="848.19"/>
        <n v="35.03"/>
        <n v="1202.52"/>
        <n v="66.63"/>
        <n v="545.37"/>
        <n v="23.39"/>
        <n v="1386.24"/>
        <n v="34.380000000000003"/>
        <n v="2031.67"/>
        <n v="33.15"/>
        <n v="1640.86"/>
        <n v="50.84"/>
        <n v="869.16"/>
        <n v="23.61"/>
        <n v="805.41"/>
        <n v="9.43"/>
        <n v="972.34"/>
        <n v="65.94"/>
        <n v="847.64"/>
        <n v="25.87"/>
        <n v="764.97"/>
        <n v="14.09"/>
        <n v="808.5"/>
        <n v="14.07"/>
        <n v="676.27"/>
        <n v="36.340000000000003"/>
        <n v="972.15"/>
        <n v="7.04"/>
        <n v="898.63"/>
        <n v="0"/>
        <n v="954.6"/>
        <n v="19.940000000000001"/>
        <n v="884.01"/>
        <n v="5.86"/>
        <n v="1041.95"/>
        <n v="901.65"/>
        <n v="17.399999999999999"/>
        <n v="929.07"/>
        <n v="26.72"/>
        <n v="2580.77"/>
        <n v="5.82"/>
        <n v="4288.46"/>
        <n v="2.33"/>
        <n v="7531.24"/>
        <n v="4.66"/>
        <n v="6766.63"/>
        <n v="10.6"/>
        <n v="7923.01"/>
        <n v="8373.77"/>
        <n v="11.65"/>
        <n v="20970.240000000002"/>
        <n v="31.76"/>
        <n v="9273.69"/>
        <n v="16.559999999999999"/>
        <n v="11580.64"/>
        <n v="23.66"/>
        <n v="9293.65"/>
        <n v="29.56"/>
        <n v="14670.87"/>
        <n v="54.24"/>
        <n v="24000.62"/>
        <n v="29.39"/>
        <n v="14520.36"/>
        <n v="19.93"/>
        <n v="34912.97"/>
        <n v="17.350000000000001"/>
        <n v="14741.13"/>
        <n v="52.26"/>
        <n v="6258.88"/>
        <n v="128.94"/>
        <n v="6624.37"/>
        <n v="47.35"/>
        <n v="7658.55"/>
        <n v="33.22"/>
        <n v="4109.22"/>
        <n v="51.93"/>
        <n v="3641.46"/>
        <n v="77.27"/>
        <n v="4027.42"/>
        <n v="71.5"/>
        <n v="4222.93"/>
        <n v="37.83"/>
        <n v="3187.14"/>
        <n v="57.66"/>
        <n v="3212.04"/>
        <n v="60.08"/>
        <n v="3523.63"/>
        <n v="75.8"/>
        <n v="3675.63"/>
        <n v="122.63"/>
        <n v="2793.99"/>
        <n v="50.76"/>
        <n v="6530.78"/>
        <n v="100.01"/>
        <n v="2323.39"/>
        <n v="42.26"/>
        <n v="3345.36"/>
        <n v="111.34"/>
        <n v="3202.39"/>
        <n v="77.5"/>
      </sharedItems>
    </cacheField>
    <cacheField name="Reed" numFmtId="1">
      <sharedItems containsSemiMixedTypes="0" containsString="0" containsNumber="1" minValue="80.72" maxValue="163570.47" count="104">
        <n v="139735.9"/>
        <n v="187.9"/>
        <n v="66696.97"/>
        <n v="329.33"/>
        <n v="100613.46"/>
        <n v="430.17"/>
        <n v="70802.559999999998"/>
        <n v="294.7"/>
        <n v="79881.67"/>
        <n v="186.13"/>
        <n v="157271.87"/>
        <n v="254.56"/>
        <n v="77133.009999999995"/>
        <n v="263.64999999999998"/>
        <n v="84484.99"/>
        <n v="213.64"/>
        <n v="72159.95"/>
        <n v="143.74"/>
        <n v="74693.31"/>
        <n v="401.53"/>
        <n v="96117.13"/>
        <n v="303.42"/>
        <n v="97082.4"/>
        <n v="258.37"/>
        <n v="78146.179999999993"/>
        <n v="98.52"/>
        <n v="70459.66"/>
        <n v="193.4"/>
        <n v="56128.98"/>
        <n v="161.85"/>
        <n v="70042.600000000006"/>
        <n v="374.18"/>
        <n v="87571.23"/>
        <n v="430.39"/>
        <n v="163570.47"/>
        <n v="240.42"/>
        <n v="96137.78"/>
        <n v="536.20000000000005"/>
        <n v="75847.91"/>
        <n v="367.82"/>
        <n v="74678.36"/>
        <n v="346.19"/>
        <n v="104876.94"/>
        <n v="218.73"/>
        <n v="92055.75"/>
        <n v="203.69"/>
        <n v="83771.34"/>
        <n v="150.28"/>
        <n v="85374.27"/>
        <n v="149.57"/>
        <n v="106656.84"/>
        <n v="162.87"/>
        <n v="82122.039999999994"/>
        <n v="261.39"/>
        <n v="96581.82"/>
        <n v="113.57"/>
        <n v="64260.69"/>
        <n v="201.12"/>
        <n v="65195.63"/>
        <n v="175.08"/>
        <n v="96915.41"/>
        <n v="204.54"/>
        <n v="69054.28"/>
        <n v="206.36"/>
        <n v="72970.23"/>
        <n v="252.78"/>
        <n v="63416.88"/>
        <n v="233.25"/>
        <n v="94928.79"/>
        <n v="200.92"/>
        <n v="64966.75"/>
        <n v="181.76"/>
        <n v="63511.85"/>
        <n v="227.69"/>
        <n v="63384.56"/>
        <n v="194.65"/>
        <n v="79425.81"/>
        <n v="190.77"/>
        <n v="57515.76"/>
        <n v="139.63"/>
        <n v="87174.41"/>
        <n v="155.69"/>
        <n v="54186.55"/>
        <n v="111.86"/>
        <n v="77537.36"/>
        <n v="80.72"/>
        <n v="45898.52"/>
        <n v="93.41"/>
        <n v="43024.32"/>
        <n v="194.11"/>
        <n v="49837.68"/>
        <n v="191.07"/>
        <n v="56898.54"/>
        <n v="197.39"/>
        <n v="47106.18"/>
        <n v="177.08"/>
        <n v="99746.05"/>
        <n v="99.17"/>
        <n v="56545.79"/>
        <n v="156.72"/>
        <n v="55949.79"/>
        <n v="198.07"/>
        <n v="58280.33"/>
        <n v="250.13"/>
      </sharedItems>
    </cacheField>
    <cacheField name="Zutano" numFmtId="1">
      <sharedItems containsSemiMixedTypes="0" containsString="0" containsNumber="1" minValue="0" maxValue="426.92" count="53">
        <n v="132.35"/>
        <n v="0"/>
        <n v="109.08"/>
        <n v="51.22"/>
        <n v="68.41"/>
        <n v="69.459999999999994"/>
        <n v="109.88"/>
        <n v="12"/>
        <n v="24.98"/>
        <n v="63.13"/>
        <n v="56.26"/>
        <n v="60.99"/>
        <n v="70.150000000000006"/>
        <n v="36.729999999999997"/>
        <n v="31.2"/>
        <n v="38"/>
        <n v="25"/>
        <n v="43.15"/>
        <n v="37.840000000000003"/>
        <n v="84.8"/>
        <n v="82.97"/>
        <n v="59.07"/>
        <n v="103.64"/>
        <n v="53.98"/>
        <n v="81.25"/>
        <n v="30.07"/>
        <n v="37.42"/>
        <n v="146.83000000000001"/>
        <n v="46.49"/>
        <n v="80.069999999999993"/>
        <n v="13.73"/>
        <n v="25.46"/>
        <n v="10.9"/>
        <n v="26.76"/>
        <n v="28.03"/>
        <n v="53.85"/>
        <n v="88.11"/>
        <n v="42.26"/>
        <n v="37.479999999999997"/>
        <n v="43.25"/>
        <n v="84.08"/>
        <n v="102.15"/>
        <n v="53.77"/>
        <n v="46"/>
        <n v="54.31"/>
        <n v="36.4"/>
        <n v="34"/>
        <n v="11"/>
        <n v="18.14"/>
        <n v="50.84"/>
        <n v="86.65"/>
        <n v="138.72"/>
        <n v="426.92"/>
      </sharedItems>
    </cacheField>
    <cacheField name="Total Bags" numFmtId="1">
      <sharedItems containsSemiMixedTypes="0" containsString="0" containsNumber="1" minValue="732.35" maxValue="25264.97"/>
    </cacheField>
    <cacheField name="Small Bags" numFmtId="1">
      <sharedItems containsSemiMixedTypes="0" containsString="0" containsNumber="1" minValue="732.35" maxValue="23926.35"/>
    </cacheField>
    <cacheField name="Large Bags" numFmtId="1">
      <sharedItems containsSemiMixedTypes="0" containsString="0" containsNumber="1" minValue="0" maxValue="2157.7600000000002"/>
    </cacheField>
    <cacheField name="XLarge Bags" numFmtId="1">
      <sharedItems containsSemiMixedTypes="0" containsString="0" containsNumber="1" minValue="0" maxValue="2900"/>
    </cacheField>
    <cacheField name="Growth_Type" numFmtId="1">
      <sharedItems count="2">
        <s v="conventional"/>
        <s v="organic"/>
      </sharedItems>
    </cacheField>
    <cacheField name="Year" numFmtId="0">
      <sharedItems containsSemiMixedTypes="0" containsString="0" containsNumber="1" containsInteger="1" minValue="2016" maxValue="2016"/>
    </cacheField>
    <cacheField name="Reg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n v="1.03"/>
    <x v="0"/>
    <x v="0"/>
    <x v="0"/>
    <x v="0"/>
    <n v="8230.19"/>
    <n v="8056.43"/>
    <n v="173.76"/>
    <n v="0"/>
    <x v="0"/>
    <n v="2016"/>
    <s v="Albany"/>
  </r>
  <r>
    <x v="0"/>
    <x v="0"/>
    <n v="1.75"/>
    <x v="1"/>
    <x v="1"/>
    <x v="1"/>
    <x v="1"/>
    <n v="950.6"/>
    <n v="950.6"/>
    <n v="0"/>
    <n v="0"/>
    <x v="1"/>
    <n v="2016"/>
    <s v="Albany"/>
  </r>
  <r>
    <x v="1"/>
    <x v="0"/>
    <n v="1.28"/>
    <x v="2"/>
    <x v="2"/>
    <x v="2"/>
    <x v="2"/>
    <n v="11467.53"/>
    <n v="11293.65"/>
    <n v="173.88"/>
    <n v="0"/>
    <x v="0"/>
    <n v="2016"/>
    <s v="Albany"/>
  </r>
  <r>
    <x v="1"/>
    <x v="0"/>
    <n v="1.83"/>
    <x v="3"/>
    <x v="3"/>
    <x v="3"/>
    <x v="1"/>
    <n v="1311.69"/>
    <n v="1311.69"/>
    <n v="0"/>
    <n v="0"/>
    <x v="1"/>
    <n v="2016"/>
    <s v="Albany"/>
  </r>
  <r>
    <x v="2"/>
    <x v="0"/>
    <n v="1.26"/>
    <x v="4"/>
    <x v="4"/>
    <x v="4"/>
    <x v="3"/>
    <n v="18105.21"/>
    <n v="17980.53"/>
    <n v="124.68"/>
    <n v="0"/>
    <x v="0"/>
    <n v="2016"/>
    <s v="Albany"/>
  </r>
  <r>
    <x v="2"/>
    <x v="0"/>
    <n v="1.67"/>
    <x v="5"/>
    <x v="5"/>
    <x v="5"/>
    <x v="1"/>
    <n v="999.93"/>
    <n v="992.14"/>
    <n v="7.79"/>
    <n v="0"/>
    <x v="1"/>
    <n v="2016"/>
    <s v="Albany"/>
  </r>
  <r>
    <x v="3"/>
    <x v="0"/>
    <n v="1.22"/>
    <x v="6"/>
    <x v="6"/>
    <x v="6"/>
    <x v="4"/>
    <n v="24672.79"/>
    <n v="23926.35"/>
    <n v="746.44"/>
    <n v="0"/>
    <x v="0"/>
    <n v="2016"/>
    <s v="Albany"/>
  </r>
  <r>
    <x v="3"/>
    <x v="0"/>
    <n v="1.83"/>
    <x v="7"/>
    <x v="7"/>
    <x v="7"/>
    <x v="1"/>
    <n v="1188.78"/>
    <n v="1180.98"/>
    <n v="7.8"/>
    <n v="0"/>
    <x v="1"/>
    <n v="2016"/>
    <s v="Albany"/>
  </r>
  <r>
    <x v="4"/>
    <x v="0"/>
    <n v="1.1599999999999999"/>
    <x v="8"/>
    <x v="8"/>
    <x v="8"/>
    <x v="5"/>
    <n v="20700.95"/>
    <n v="19788.78"/>
    <n v="912.17"/>
    <n v="0"/>
    <x v="0"/>
    <n v="2016"/>
    <s v="Albany"/>
  </r>
  <r>
    <x v="4"/>
    <x v="0"/>
    <n v="1.79"/>
    <x v="9"/>
    <x v="9"/>
    <x v="9"/>
    <x v="1"/>
    <n v="1085.43"/>
    <n v="1085.43"/>
    <n v="0"/>
    <n v="0"/>
    <x v="1"/>
    <n v="2016"/>
    <s v="Albany"/>
  </r>
  <r>
    <x v="5"/>
    <x v="1"/>
    <n v="1.07"/>
    <x v="10"/>
    <x v="10"/>
    <x v="10"/>
    <x v="6"/>
    <n v="10200.59"/>
    <n v="9349.67"/>
    <n v="850.92"/>
    <n v="0"/>
    <x v="0"/>
    <n v="2016"/>
    <s v="Albany"/>
  </r>
  <r>
    <x v="5"/>
    <x v="1"/>
    <n v="1.81"/>
    <x v="11"/>
    <x v="11"/>
    <x v="11"/>
    <x v="1"/>
    <n v="965.15"/>
    <n v="962.52"/>
    <n v="2.63"/>
    <n v="0"/>
    <x v="1"/>
    <n v="2016"/>
    <s v="Albany"/>
  </r>
  <r>
    <x v="6"/>
    <x v="1"/>
    <n v="1.1299999999999999"/>
    <x v="12"/>
    <x v="12"/>
    <x v="12"/>
    <x v="7"/>
    <n v="19222.29"/>
    <n v="17663.46"/>
    <n v="1558.83"/>
    <n v="0"/>
    <x v="0"/>
    <n v="2016"/>
    <s v="Albany"/>
  </r>
  <r>
    <x v="6"/>
    <x v="1"/>
    <n v="1.81"/>
    <x v="13"/>
    <x v="13"/>
    <x v="13"/>
    <x v="1"/>
    <n v="933.31"/>
    <n v="933.31"/>
    <n v="0"/>
    <n v="0"/>
    <x v="1"/>
    <n v="2016"/>
    <s v="Albany"/>
  </r>
  <r>
    <x v="7"/>
    <x v="1"/>
    <n v="1.28"/>
    <x v="14"/>
    <x v="14"/>
    <x v="14"/>
    <x v="8"/>
    <n v="14438.34"/>
    <n v="12280.58"/>
    <n v="2157.7600000000002"/>
    <n v="0"/>
    <x v="0"/>
    <n v="2016"/>
    <s v="Albany"/>
  </r>
  <r>
    <x v="7"/>
    <x v="1"/>
    <n v="1.79"/>
    <x v="15"/>
    <x v="15"/>
    <x v="15"/>
    <x v="1"/>
    <n v="1045.6199999999999"/>
    <n v="1045.6199999999999"/>
    <n v="0"/>
    <n v="0"/>
    <x v="1"/>
    <n v="2016"/>
    <s v="Albany"/>
  </r>
  <r>
    <x v="8"/>
    <x v="1"/>
    <n v="1.26"/>
    <x v="16"/>
    <x v="16"/>
    <x v="16"/>
    <x v="9"/>
    <n v="14793.94"/>
    <n v="13739.89"/>
    <n v="1054.05"/>
    <n v="0"/>
    <x v="0"/>
    <n v="2016"/>
    <s v="Albany"/>
  </r>
  <r>
    <x v="8"/>
    <x v="1"/>
    <n v="1.79"/>
    <x v="17"/>
    <x v="17"/>
    <x v="17"/>
    <x v="1"/>
    <n v="1332.56"/>
    <n v="1327.32"/>
    <n v="5.24"/>
    <n v="0"/>
    <x v="1"/>
    <n v="2016"/>
    <s v="Albany"/>
  </r>
  <r>
    <x v="9"/>
    <x v="2"/>
    <n v="1.27"/>
    <x v="18"/>
    <x v="18"/>
    <x v="18"/>
    <x v="10"/>
    <n v="14911.75"/>
    <n v="14476.23"/>
    <n v="435.52"/>
    <n v="0"/>
    <x v="0"/>
    <n v="2016"/>
    <s v="Albany"/>
  </r>
  <r>
    <x v="9"/>
    <x v="2"/>
    <n v="1.92"/>
    <x v="19"/>
    <x v="19"/>
    <x v="19"/>
    <x v="1"/>
    <n v="1236.77"/>
    <n v="1236.77"/>
    <n v="0"/>
    <n v="0"/>
    <x v="1"/>
    <n v="2016"/>
    <s v="Albany"/>
  </r>
  <r>
    <x v="10"/>
    <x v="2"/>
    <n v="1.18"/>
    <x v="20"/>
    <x v="20"/>
    <x v="20"/>
    <x v="11"/>
    <n v="11239.14"/>
    <n v="10817.56"/>
    <n v="421.58"/>
    <n v="0"/>
    <x v="0"/>
    <n v="2016"/>
    <s v="Albany"/>
  </r>
  <r>
    <x v="10"/>
    <x v="2"/>
    <n v="1.79"/>
    <x v="21"/>
    <x v="21"/>
    <x v="21"/>
    <x v="1"/>
    <n v="1493.38"/>
    <n v="1493.38"/>
    <n v="0"/>
    <n v="0"/>
    <x v="1"/>
    <n v="2016"/>
    <s v="Albany"/>
  </r>
  <r>
    <x v="11"/>
    <x v="2"/>
    <n v="1.32"/>
    <x v="22"/>
    <x v="22"/>
    <x v="22"/>
    <x v="12"/>
    <n v="12484.36"/>
    <n v="12286.01"/>
    <n v="198.35"/>
    <n v="0"/>
    <x v="0"/>
    <n v="2016"/>
    <s v="Albany"/>
  </r>
  <r>
    <x v="11"/>
    <x v="2"/>
    <n v="1.76"/>
    <x v="23"/>
    <x v="23"/>
    <x v="23"/>
    <x v="1"/>
    <n v="1460.55"/>
    <n v="1460.55"/>
    <n v="0"/>
    <n v="0"/>
    <x v="1"/>
    <n v="2016"/>
    <s v="Albany"/>
  </r>
  <r>
    <x v="12"/>
    <x v="2"/>
    <n v="1.49"/>
    <x v="24"/>
    <x v="24"/>
    <x v="24"/>
    <x v="13"/>
    <n v="13537.86"/>
    <n v="13037.43"/>
    <n v="500.43"/>
    <n v="0"/>
    <x v="0"/>
    <n v="2016"/>
    <s v="Albany"/>
  </r>
  <r>
    <x v="12"/>
    <x v="2"/>
    <n v="1.65"/>
    <x v="25"/>
    <x v="25"/>
    <x v="25"/>
    <x v="1"/>
    <n v="1592.8"/>
    <n v="1592.8"/>
    <n v="0"/>
    <n v="0"/>
    <x v="1"/>
    <n v="2016"/>
    <s v="Albany"/>
  </r>
  <r>
    <x v="13"/>
    <x v="3"/>
    <n v="0.85"/>
    <x v="26"/>
    <x v="26"/>
    <x v="26"/>
    <x v="14"/>
    <n v="10527.1"/>
    <n v="10058.25"/>
    <n v="468.85"/>
    <n v="0"/>
    <x v="0"/>
    <n v="2016"/>
    <s v="Albany"/>
  </r>
  <r>
    <x v="13"/>
    <x v="3"/>
    <n v="1.56"/>
    <x v="27"/>
    <x v="27"/>
    <x v="27"/>
    <x v="1"/>
    <n v="1673.72"/>
    <n v="1673.72"/>
    <n v="0"/>
    <n v="0"/>
    <x v="1"/>
    <n v="2016"/>
    <s v="Albany"/>
  </r>
  <r>
    <x v="14"/>
    <x v="3"/>
    <n v="1.46"/>
    <x v="28"/>
    <x v="28"/>
    <x v="28"/>
    <x v="15"/>
    <n v="13114.17"/>
    <n v="12671.09"/>
    <n v="443.08"/>
    <n v="0"/>
    <x v="0"/>
    <n v="2016"/>
    <s v="Albany"/>
  </r>
  <r>
    <x v="14"/>
    <x v="3"/>
    <n v="1.62"/>
    <x v="29"/>
    <x v="29"/>
    <x v="29"/>
    <x v="1"/>
    <n v="1992.77"/>
    <n v="1992.77"/>
    <n v="0"/>
    <n v="0"/>
    <x v="1"/>
    <n v="2016"/>
    <s v="Albany"/>
  </r>
  <r>
    <x v="15"/>
    <x v="3"/>
    <n v="1.22"/>
    <x v="30"/>
    <x v="30"/>
    <x v="30"/>
    <x v="16"/>
    <n v="15467.4"/>
    <n v="14642.65"/>
    <n v="712.25"/>
    <n v="112.5"/>
    <x v="0"/>
    <n v="2016"/>
    <s v="Albany"/>
  </r>
  <r>
    <x v="15"/>
    <x v="3"/>
    <n v="1.82"/>
    <x v="31"/>
    <x v="31"/>
    <x v="31"/>
    <x v="1"/>
    <n v="1684.55"/>
    <n v="1684.55"/>
    <n v="0"/>
    <n v="0"/>
    <x v="1"/>
    <n v="2016"/>
    <s v="Albany"/>
  </r>
  <r>
    <x v="16"/>
    <x v="3"/>
    <n v="1.18"/>
    <x v="32"/>
    <x v="32"/>
    <x v="32"/>
    <x v="17"/>
    <n v="13921.22"/>
    <n v="13463.97"/>
    <n v="337.81"/>
    <n v="119.44"/>
    <x v="0"/>
    <n v="2016"/>
    <s v="Albany"/>
  </r>
  <r>
    <x v="16"/>
    <x v="3"/>
    <n v="1.77"/>
    <x v="33"/>
    <x v="33"/>
    <x v="33"/>
    <x v="1"/>
    <n v="1878.49"/>
    <n v="1878.49"/>
    <n v="0"/>
    <n v="0"/>
    <x v="1"/>
    <n v="2016"/>
    <s v="Albany"/>
  </r>
  <r>
    <x v="17"/>
    <x v="4"/>
    <n v="1.03"/>
    <x v="34"/>
    <x v="34"/>
    <x v="34"/>
    <x v="18"/>
    <n v="9289.4599999999991"/>
    <n v="8918.99"/>
    <n v="321.86"/>
    <n v="48.61"/>
    <x v="0"/>
    <n v="2016"/>
    <s v="Albany"/>
  </r>
  <r>
    <x v="17"/>
    <x v="4"/>
    <n v="1.78"/>
    <x v="35"/>
    <x v="35"/>
    <x v="35"/>
    <x v="1"/>
    <n v="1357.72"/>
    <n v="1357.72"/>
    <n v="0"/>
    <n v="0"/>
    <x v="1"/>
    <n v="2016"/>
    <s v="Albany"/>
  </r>
  <r>
    <x v="18"/>
    <x v="4"/>
    <n v="1.27"/>
    <x v="36"/>
    <x v="36"/>
    <x v="36"/>
    <x v="19"/>
    <n v="22929.96"/>
    <n v="22697.54"/>
    <n v="232.42"/>
    <n v="0"/>
    <x v="0"/>
    <n v="2016"/>
    <s v="Albany"/>
  </r>
  <r>
    <x v="18"/>
    <x v="4"/>
    <n v="1.83"/>
    <x v="37"/>
    <x v="31"/>
    <x v="37"/>
    <x v="1"/>
    <n v="1567.44"/>
    <n v="1567.44"/>
    <n v="0"/>
    <n v="0"/>
    <x v="1"/>
    <n v="2016"/>
    <s v="Albany"/>
  </r>
  <r>
    <x v="19"/>
    <x v="4"/>
    <n v="1.36"/>
    <x v="38"/>
    <x v="37"/>
    <x v="38"/>
    <x v="20"/>
    <n v="20091.66"/>
    <n v="19802.87"/>
    <n v="288.79000000000002"/>
    <n v="0"/>
    <x v="0"/>
    <n v="2016"/>
    <s v="Albany"/>
  </r>
  <r>
    <x v="19"/>
    <x v="4"/>
    <n v="1.59"/>
    <x v="39"/>
    <x v="38"/>
    <x v="39"/>
    <x v="1"/>
    <n v="874.64"/>
    <n v="874.64"/>
    <n v="0"/>
    <n v="0"/>
    <x v="1"/>
    <n v="2016"/>
    <s v="Albany"/>
  </r>
  <r>
    <x v="20"/>
    <x v="4"/>
    <n v="1.34"/>
    <x v="40"/>
    <x v="39"/>
    <x v="40"/>
    <x v="21"/>
    <n v="23197.14"/>
    <n v="22571.49"/>
    <n v="20.65"/>
    <n v="605"/>
    <x v="0"/>
    <n v="2016"/>
    <s v="Albany"/>
  </r>
  <r>
    <x v="20"/>
    <x v="4"/>
    <n v="1.55"/>
    <x v="41"/>
    <x v="40"/>
    <x v="41"/>
    <x v="1"/>
    <n v="820.15"/>
    <n v="820.15"/>
    <n v="0"/>
    <n v="0"/>
    <x v="1"/>
    <n v="2016"/>
    <s v="Albany"/>
  </r>
  <r>
    <x v="21"/>
    <x v="4"/>
    <n v="1.49"/>
    <x v="42"/>
    <x v="41"/>
    <x v="42"/>
    <x v="22"/>
    <n v="20250.900000000001"/>
    <n v="19519.919999999998"/>
    <n v="180.98"/>
    <n v="550"/>
    <x v="0"/>
    <n v="2016"/>
    <s v="Albany"/>
  </r>
  <r>
    <x v="21"/>
    <x v="4"/>
    <n v="1.49"/>
    <x v="43"/>
    <x v="42"/>
    <x v="43"/>
    <x v="1"/>
    <n v="892.89"/>
    <n v="892.89"/>
    <n v="0"/>
    <n v="0"/>
    <x v="1"/>
    <n v="2016"/>
    <s v="Albany"/>
  </r>
  <r>
    <x v="22"/>
    <x v="5"/>
    <n v="1.47"/>
    <x v="44"/>
    <x v="43"/>
    <x v="44"/>
    <x v="23"/>
    <n v="19458.93"/>
    <n v="17385.599999999999"/>
    <n v="398.33"/>
    <n v="1675"/>
    <x v="0"/>
    <n v="2016"/>
    <s v="Albany"/>
  </r>
  <r>
    <x v="22"/>
    <x v="5"/>
    <n v="1.47"/>
    <x v="45"/>
    <x v="44"/>
    <x v="45"/>
    <x v="1"/>
    <n v="801.01"/>
    <n v="801.01"/>
    <n v="0"/>
    <n v="0"/>
    <x v="1"/>
    <n v="2016"/>
    <s v="Albany"/>
  </r>
  <r>
    <x v="23"/>
    <x v="5"/>
    <n v="1.38"/>
    <x v="46"/>
    <x v="45"/>
    <x v="46"/>
    <x v="24"/>
    <n v="20010.669999999998"/>
    <n v="18368.490000000002"/>
    <n v="282.18"/>
    <n v="1360"/>
    <x v="0"/>
    <n v="2016"/>
    <s v="Albany"/>
  </r>
  <r>
    <x v="23"/>
    <x v="5"/>
    <n v="1.43"/>
    <x v="47"/>
    <x v="46"/>
    <x v="47"/>
    <x v="1"/>
    <n v="732.35"/>
    <n v="732.35"/>
    <n v="0"/>
    <n v="0"/>
    <x v="1"/>
    <n v="2016"/>
    <s v="Albany"/>
  </r>
  <r>
    <x v="24"/>
    <x v="5"/>
    <n v="1.42"/>
    <x v="48"/>
    <x v="47"/>
    <x v="48"/>
    <x v="25"/>
    <n v="20646.54"/>
    <n v="18526.59"/>
    <n v="389.95"/>
    <n v="1730"/>
    <x v="0"/>
    <n v="2016"/>
    <s v="Albany"/>
  </r>
  <r>
    <x v="24"/>
    <x v="5"/>
    <n v="1.45"/>
    <x v="49"/>
    <x v="48"/>
    <x v="49"/>
    <x v="1"/>
    <n v="814.1"/>
    <n v="814.1"/>
    <n v="0"/>
    <n v="0"/>
    <x v="1"/>
    <n v="2016"/>
    <s v="Albany"/>
  </r>
  <r>
    <x v="25"/>
    <x v="5"/>
    <n v="1.5"/>
    <x v="50"/>
    <x v="49"/>
    <x v="50"/>
    <x v="26"/>
    <n v="18469.39"/>
    <n v="16479.75"/>
    <n v="419.64"/>
    <n v="1570"/>
    <x v="0"/>
    <n v="2016"/>
    <s v="Albany"/>
  </r>
  <r>
    <x v="25"/>
    <x v="5"/>
    <n v="1.53"/>
    <x v="51"/>
    <x v="31"/>
    <x v="51"/>
    <x v="1"/>
    <n v="1759.88"/>
    <n v="1759.88"/>
    <n v="0"/>
    <n v="0"/>
    <x v="1"/>
    <n v="2016"/>
    <s v="Albany"/>
  </r>
  <r>
    <x v="26"/>
    <x v="6"/>
    <n v="1.42"/>
    <x v="52"/>
    <x v="50"/>
    <x v="52"/>
    <x v="27"/>
    <n v="25264.97"/>
    <n v="21872.639999999999"/>
    <n v="492.33"/>
    <n v="2900"/>
    <x v="0"/>
    <n v="2016"/>
    <s v="Albany"/>
  </r>
  <r>
    <x v="26"/>
    <x v="6"/>
    <n v="1.43"/>
    <x v="53"/>
    <x v="51"/>
    <x v="53"/>
    <x v="1"/>
    <n v="3256.4"/>
    <n v="3256.4"/>
    <n v="0"/>
    <n v="0"/>
    <x v="1"/>
    <n v="2016"/>
    <s v="Albany"/>
  </r>
  <r>
    <x v="27"/>
    <x v="6"/>
    <n v="1.1100000000000001"/>
    <x v="54"/>
    <x v="52"/>
    <x v="54"/>
    <x v="28"/>
    <n v="14031.58"/>
    <n v="10876"/>
    <n v="470.58"/>
    <n v="2685"/>
    <x v="0"/>
    <n v="2016"/>
    <s v="Albany"/>
  </r>
  <r>
    <x v="27"/>
    <x v="6"/>
    <n v="1.58"/>
    <x v="55"/>
    <x v="53"/>
    <x v="55"/>
    <x v="1"/>
    <n v="2027.87"/>
    <n v="2027.87"/>
    <n v="0"/>
    <n v="0"/>
    <x v="1"/>
    <n v="2016"/>
    <s v="Albany"/>
  </r>
  <r>
    <x v="28"/>
    <x v="6"/>
    <n v="1.31"/>
    <x v="56"/>
    <x v="54"/>
    <x v="56"/>
    <x v="29"/>
    <n v="15613.57"/>
    <n v="13439.76"/>
    <n v="688.81"/>
    <n v="1485"/>
    <x v="0"/>
    <n v="2016"/>
    <s v="Albany"/>
  </r>
  <r>
    <x v="28"/>
    <x v="6"/>
    <n v="1.57"/>
    <x v="57"/>
    <x v="55"/>
    <x v="57"/>
    <x v="1"/>
    <n v="2182.06"/>
    <n v="2182.06"/>
    <n v="0"/>
    <n v="0"/>
    <x v="1"/>
    <n v="2016"/>
    <s v="Albany"/>
  </r>
  <r>
    <x v="29"/>
    <x v="6"/>
    <n v="1.46"/>
    <x v="58"/>
    <x v="56"/>
    <x v="58"/>
    <x v="30"/>
    <n v="21531.14"/>
    <n v="18639.29"/>
    <n v="241.85"/>
    <n v="2650"/>
    <x v="0"/>
    <n v="2016"/>
    <s v="Albany"/>
  </r>
  <r>
    <x v="29"/>
    <x v="6"/>
    <n v="1.42"/>
    <x v="59"/>
    <x v="57"/>
    <x v="59"/>
    <x v="1"/>
    <n v="1612.7"/>
    <n v="1612.7"/>
    <n v="0"/>
    <n v="0"/>
    <x v="1"/>
    <n v="2016"/>
    <s v="Albany"/>
  </r>
  <r>
    <x v="30"/>
    <x v="6"/>
    <n v="1.61"/>
    <x v="60"/>
    <x v="58"/>
    <x v="60"/>
    <x v="31"/>
    <n v="19352.05"/>
    <n v="18803.23"/>
    <n v="78.819999999999993"/>
    <n v="470"/>
    <x v="0"/>
    <n v="2016"/>
    <s v="Albany"/>
  </r>
  <r>
    <x v="30"/>
    <x v="6"/>
    <n v="1.43"/>
    <x v="61"/>
    <x v="59"/>
    <x v="61"/>
    <x v="1"/>
    <n v="1319.32"/>
    <n v="1319.32"/>
    <n v="0"/>
    <n v="0"/>
    <x v="1"/>
    <n v="2016"/>
    <s v="Albany"/>
  </r>
  <r>
    <x v="31"/>
    <x v="7"/>
    <n v="1.48"/>
    <x v="62"/>
    <x v="60"/>
    <x v="62"/>
    <x v="32"/>
    <n v="15947.06"/>
    <n v="14597.2"/>
    <n v="178.19"/>
    <n v="1171.67"/>
    <x v="0"/>
    <n v="2016"/>
    <s v="Albany"/>
  </r>
  <r>
    <x v="31"/>
    <x v="7"/>
    <n v="1.67"/>
    <x v="63"/>
    <x v="61"/>
    <x v="63"/>
    <x v="1"/>
    <n v="1285.19"/>
    <n v="1285.19"/>
    <n v="0"/>
    <n v="0"/>
    <x v="1"/>
    <n v="2016"/>
    <s v="Albany"/>
  </r>
  <r>
    <x v="32"/>
    <x v="7"/>
    <n v="1.2"/>
    <x v="64"/>
    <x v="62"/>
    <x v="64"/>
    <x v="33"/>
    <n v="13530.48"/>
    <n v="12434.82"/>
    <n v="350.1"/>
    <n v="745.56"/>
    <x v="0"/>
    <n v="2016"/>
    <s v="Albany"/>
  </r>
  <r>
    <x v="32"/>
    <x v="7"/>
    <n v="1.72"/>
    <x v="65"/>
    <x v="63"/>
    <x v="65"/>
    <x v="1"/>
    <n v="1326.86"/>
    <n v="1326.86"/>
    <n v="0"/>
    <n v="0"/>
    <x v="1"/>
    <n v="2016"/>
    <s v="Albany"/>
  </r>
  <r>
    <x v="33"/>
    <x v="7"/>
    <n v="1.43"/>
    <x v="66"/>
    <x v="64"/>
    <x v="66"/>
    <x v="34"/>
    <n v="16917.52"/>
    <n v="15811"/>
    <n v="286.52"/>
    <n v="820"/>
    <x v="0"/>
    <n v="2016"/>
    <s v="Albany"/>
  </r>
  <r>
    <x v="33"/>
    <x v="7"/>
    <n v="1.67"/>
    <x v="67"/>
    <x v="65"/>
    <x v="67"/>
    <x v="1"/>
    <n v="1672.83"/>
    <n v="1672.83"/>
    <n v="0"/>
    <n v="0"/>
    <x v="1"/>
    <n v="2016"/>
    <s v="Albany"/>
  </r>
  <r>
    <x v="34"/>
    <x v="7"/>
    <n v="1.18"/>
    <x v="68"/>
    <x v="66"/>
    <x v="68"/>
    <x v="35"/>
    <n v="15427.61"/>
    <n v="14367.64"/>
    <n v="269.97000000000003"/>
    <n v="790"/>
    <x v="0"/>
    <n v="2016"/>
    <s v="Albany"/>
  </r>
  <r>
    <x v="34"/>
    <x v="7"/>
    <n v="1.66"/>
    <x v="69"/>
    <x v="67"/>
    <x v="69"/>
    <x v="1"/>
    <n v="1704.19"/>
    <n v="1704.19"/>
    <n v="0"/>
    <n v="0"/>
    <x v="1"/>
    <n v="2016"/>
    <s v="Albany"/>
  </r>
  <r>
    <x v="35"/>
    <x v="8"/>
    <n v="1.44"/>
    <x v="70"/>
    <x v="68"/>
    <x v="70"/>
    <x v="36"/>
    <n v="15660.27"/>
    <n v="15340.19"/>
    <n v="220.08"/>
    <n v="100"/>
    <x v="0"/>
    <n v="2016"/>
    <s v="Albany"/>
  </r>
  <r>
    <x v="35"/>
    <x v="8"/>
    <n v="1.73"/>
    <x v="71"/>
    <x v="69"/>
    <x v="71"/>
    <x v="1"/>
    <n v="1960.75"/>
    <n v="1960.75"/>
    <n v="0"/>
    <n v="0"/>
    <x v="1"/>
    <n v="2016"/>
    <s v="Albany"/>
  </r>
  <r>
    <x v="36"/>
    <x v="8"/>
    <n v="1.37"/>
    <x v="72"/>
    <x v="70"/>
    <x v="72"/>
    <x v="37"/>
    <n v="11660.16"/>
    <n v="10839.17"/>
    <n v="815.99"/>
    <n v="5"/>
    <x v="0"/>
    <n v="2016"/>
    <s v="Albany"/>
  </r>
  <r>
    <x v="36"/>
    <x v="8"/>
    <n v="1.68"/>
    <x v="73"/>
    <x v="71"/>
    <x v="73"/>
    <x v="1"/>
    <n v="3144.78"/>
    <n v="3144.78"/>
    <n v="0"/>
    <n v="0"/>
    <x v="1"/>
    <n v="2016"/>
    <s v="Albany"/>
  </r>
  <r>
    <x v="37"/>
    <x v="8"/>
    <n v="1.39"/>
    <x v="74"/>
    <x v="72"/>
    <x v="74"/>
    <x v="38"/>
    <n v="9467.2199999999993"/>
    <n v="8958.14"/>
    <n v="509.08"/>
    <n v="0"/>
    <x v="0"/>
    <n v="2016"/>
    <s v="Albany"/>
  </r>
  <r>
    <x v="37"/>
    <x v="8"/>
    <n v="1.69"/>
    <x v="75"/>
    <x v="73"/>
    <x v="75"/>
    <x v="1"/>
    <n v="1895.53"/>
    <n v="1895.53"/>
    <n v="0"/>
    <n v="0"/>
    <x v="1"/>
    <n v="2016"/>
    <s v="Albany"/>
  </r>
  <r>
    <x v="38"/>
    <x v="8"/>
    <n v="1.62"/>
    <x v="76"/>
    <x v="74"/>
    <x v="76"/>
    <x v="39"/>
    <n v="9725.5400000000009"/>
    <n v="9586.7999999999993"/>
    <n v="138.74"/>
    <n v="0"/>
    <x v="0"/>
    <n v="2016"/>
    <s v="Albany"/>
  </r>
  <r>
    <x v="38"/>
    <x v="8"/>
    <n v="1.68"/>
    <x v="77"/>
    <x v="75"/>
    <x v="77"/>
    <x v="1"/>
    <n v="1795.72"/>
    <n v="1795.72"/>
    <n v="0"/>
    <n v="0"/>
    <x v="1"/>
    <n v="2016"/>
    <s v="Albany"/>
  </r>
  <r>
    <x v="39"/>
    <x v="9"/>
    <n v="1.51"/>
    <x v="78"/>
    <x v="76"/>
    <x v="78"/>
    <x v="40"/>
    <n v="13771.2"/>
    <n v="13345.52"/>
    <n v="425.68"/>
    <n v="0"/>
    <x v="0"/>
    <n v="2016"/>
    <s v="Albany"/>
  </r>
  <r>
    <x v="39"/>
    <x v="9"/>
    <n v="1.73"/>
    <x v="79"/>
    <x v="77"/>
    <x v="79"/>
    <x v="1"/>
    <n v="2301.2600000000002"/>
    <n v="2301.2600000000002"/>
    <n v="0"/>
    <n v="0"/>
    <x v="1"/>
    <n v="2016"/>
    <s v="Albany"/>
  </r>
  <r>
    <x v="40"/>
    <x v="9"/>
    <n v="1.1299999999999999"/>
    <x v="80"/>
    <x v="78"/>
    <x v="80"/>
    <x v="41"/>
    <n v="10169.82"/>
    <n v="9744.41"/>
    <n v="425.41"/>
    <n v="0"/>
    <x v="0"/>
    <n v="2016"/>
    <s v="Albany"/>
  </r>
  <r>
    <x v="40"/>
    <x v="9"/>
    <n v="1.75"/>
    <x v="81"/>
    <x v="79"/>
    <x v="81"/>
    <x v="1"/>
    <n v="1946.48"/>
    <n v="1946.48"/>
    <n v="0"/>
    <n v="0"/>
    <x v="1"/>
    <n v="2016"/>
    <s v="Albany"/>
  </r>
  <r>
    <x v="41"/>
    <x v="9"/>
    <n v="1.4"/>
    <x v="82"/>
    <x v="80"/>
    <x v="82"/>
    <x v="42"/>
    <n v="10793.16"/>
    <n v="10434.39"/>
    <n v="358.77"/>
    <n v="0"/>
    <x v="0"/>
    <n v="2016"/>
    <s v="Albany"/>
  </r>
  <r>
    <x v="41"/>
    <x v="9"/>
    <n v="1.75"/>
    <x v="83"/>
    <x v="81"/>
    <x v="83"/>
    <x v="1"/>
    <n v="1756.53"/>
    <n v="1756.53"/>
    <n v="0"/>
    <n v="0"/>
    <x v="1"/>
    <n v="2016"/>
    <s v="Albany"/>
  </r>
  <r>
    <x v="42"/>
    <x v="9"/>
    <n v="1.19"/>
    <x v="84"/>
    <x v="82"/>
    <x v="84"/>
    <x v="43"/>
    <n v="10274.06"/>
    <n v="10160.26"/>
    <n v="113.8"/>
    <n v="0"/>
    <x v="0"/>
    <n v="2016"/>
    <s v="Albany"/>
  </r>
  <r>
    <x v="42"/>
    <x v="9"/>
    <n v="1.86"/>
    <x v="85"/>
    <x v="83"/>
    <x v="85"/>
    <x v="1"/>
    <n v="1795.44"/>
    <n v="1795.44"/>
    <n v="0"/>
    <n v="0"/>
    <x v="1"/>
    <n v="2016"/>
    <s v="Albany"/>
  </r>
  <r>
    <x v="43"/>
    <x v="9"/>
    <n v="1.46"/>
    <x v="86"/>
    <x v="84"/>
    <x v="86"/>
    <x v="44"/>
    <n v="9235.1299999999992"/>
    <n v="9153.1200000000008"/>
    <n v="82.01"/>
    <n v="0"/>
    <x v="0"/>
    <n v="2016"/>
    <s v="Albany"/>
  </r>
  <r>
    <x v="43"/>
    <x v="9"/>
    <n v="1.96"/>
    <x v="87"/>
    <x v="85"/>
    <x v="87"/>
    <x v="1"/>
    <n v="1175.73"/>
    <n v="1175.73"/>
    <n v="0"/>
    <n v="0"/>
    <x v="1"/>
    <n v="2016"/>
    <s v="Albany"/>
  </r>
  <r>
    <x v="44"/>
    <x v="10"/>
    <n v="1.63"/>
    <x v="88"/>
    <x v="86"/>
    <x v="88"/>
    <x v="45"/>
    <n v="10905.44"/>
    <n v="10474.09"/>
    <n v="431.35"/>
    <n v="0"/>
    <x v="0"/>
    <n v="2016"/>
    <s v="Albany"/>
  </r>
  <r>
    <x v="44"/>
    <x v="10"/>
    <n v="1.93"/>
    <x v="89"/>
    <x v="87"/>
    <x v="89"/>
    <x v="1"/>
    <n v="2419.81"/>
    <n v="2419.81"/>
    <n v="0"/>
    <n v="0"/>
    <x v="1"/>
    <n v="2016"/>
    <s v="Albany"/>
  </r>
  <r>
    <x v="45"/>
    <x v="10"/>
    <n v="1.62"/>
    <x v="90"/>
    <x v="88"/>
    <x v="90"/>
    <x v="46"/>
    <n v="10212.700000000001"/>
    <n v="9790.67"/>
    <n v="422.03"/>
    <n v="0"/>
    <x v="0"/>
    <n v="2016"/>
    <s v="Albany"/>
  </r>
  <r>
    <x v="45"/>
    <x v="10"/>
    <n v="2"/>
    <x v="91"/>
    <x v="89"/>
    <x v="91"/>
    <x v="1"/>
    <n v="1817.5"/>
    <n v="1817.5"/>
    <n v="0"/>
    <n v="0"/>
    <x v="1"/>
    <n v="2016"/>
    <s v="Albany"/>
  </r>
  <r>
    <x v="46"/>
    <x v="10"/>
    <n v="1.56"/>
    <x v="92"/>
    <x v="90"/>
    <x v="92"/>
    <x v="47"/>
    <n v="9504.34"/>
    <n v="9238.4"/>
    <n v="209"/>
    <n v="56.94"/>
    <x v="0"/>
    <n v="2016"/>
    <s v="Albany"/>
  </r>
  <r>
    <x v="46"/>
    <x v="10"/>
    <n v="1.93"/>
    <x v="93"/>
    <x v="91"/>
    <x v="93"/>
    <x v="1"/>
    <n v="1542.68"/>
    <n v="1542.68"/>
    <n v="0"/>
    <n v="0"/>
    <x v="1"/>
    <n v="2016"/>
    <s v="Albany"/>
  </r>
  <r>
    <x v="47"/>
    <x v="10"/>
    <n v="1.52"/>
    <x v="94"/>
    <x v="92"/>
    <x v="94"/>
    <x v="48"/>
    <n v="8253.58"/>
    <n v="7973.98"/>
    <n v="279.60000000000002"/>
    <n v="0"/>
    <x v="0"/>
    <n v="2016"/>
    <s v="Albany"/>
  </r>
  <r>
    <x v="47"/>
    <x v="10"/>
    <n v="1.97"/>
    <x v="95"/>
    <x v="93"/>
    <x v="95"/>
    <x v="1"/>
    <n v="1418.94"/>
    <n v="1418.94"/>
    <n v="0"/>
    <n v="0"/>
    <x v="1"/>
    <n v="2016"/>
    <s v="Albany"/>
  </r>
  <r>
    <x v="48"/>
    <x v="11"/>
    <n v="1.48"/>
    <x v="96"/>
    <x v="94"/>
    <x v="96"/>
    <x v="49"/>
    <n v="6704.29"/>
    <n v="6476.12"/>
    <n v="228.17"/>
    <n v="0"/>
    <x v="0"/>
    <n v="2016"/>
    <s v="Albany"/>
  </r>
  <r>
    <x v="48"/>
    <x v="11"/>
    <n v="1.97"/>
    <x v="97"/>
    <x v="95"/>
    <x v="97"/>
    <x v="1"/>
    <n v="1165.55"/>
    <n v="1165.55"/>
    <n v="0"/>
    <n v="0"/>
    <x v="1"/>
    <n v="2016"/>
    <s v="Albany"/>
  </r>
  <r>
    <x v="49"/>
    <x v="11"/>
    <n v="1.49"/>
    <x v="98"/>
    <x v="96"/>
    <x v="98"/>
    <x v="50"/>
    <n v="12822.02"/>
    <n v="12176.75"/>
    <n v="645.27"/>
    <n v="0"/>
    <x v="0"/>
    <n v="2016"/>
    <s v="Albany"/>
  </r>
  <r>
    <x v="49"/>
    <x v="11"/>
    <n v="1.9"/>
    <x v="99"/>
    <x v="97"/>
    <x v="99"/>
    <x v="1"/>
    <n v="1687.65"/>
    <n v="1687.65"/>
    <n v="0"/>
    <n v="0"/>
    <x v="1"/>
    <n v="2016"/>
    <s v="Albany"/>
  </r>
  <r>
    <x v="50"/>
    <x v="11"/>
    <n v="1.53"/>
    <x v="100"/>
    <x v="98"/>
    <x v="100"/>
    <x v="51"/>
    <n v="9504.66"/>
    <n v="8876.65"/>
    <n v="587.73"/>
    <n v="40.28"/>
    <x v="0"/>
    <n v="2016"/>
    <s v="Albany"/>
  </r>
  <r>
    <x v="50"/>
    <x v="11"/>
    <n v="1.86"/>
    <x v="101"/>
    <x v="99"/>
    <x v="101"/>
    <x v="1"/>
    <n v="1163.43"/>
    <n v="1163.43"/>
    <n v="0"/>
    <n v="0"/>
    <x v="1"/>
    <n v="2016"/>
    <s v="Albany"/>
  </r>
  <r>
    <x v="51"/>
    <x v="11"/>
    <n v="1.52"/>
    <x v="102"/>
    <x v="100"/>
    <x v="102"/>
    <x v="52"/>
    <n v="11432.09"/>
    <n v="11017.32"/>
    <n v="411.83"/>
    <n v="2.94"/>
    <x v="0"/>
    <n v="2016"/>
    <s v="Albany"/>
  </r>
  <r>
    <x v="51"/>
    <x v="11"/>
    <n v="1.93"/>
    <x v="103"/>
    <x v="101"/>
    <x v="103"/>
    <x v="1"/>
    <n v="1387.29"/>
    <n v="1387.29"/>
    <n v="0"/>
    <n v="0"/>
    <x v="1"/>
    <n v="2016"/>
    <s v="Alba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AF1B4-B903-7645-BE89-194315AD2884}"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N25"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dataField="1" numFmtId="1" showAll="0"/>
    <pivotField numFmtId="1" showAll="0"/>
    <pivotField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Small Bags"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9AB783-985D-0B4A-B68B-F37A067B0C13}"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N31"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numFmtId="1" showAll="0"/>
    <pivotField dataField="1" numFmtId="1" showAll="0"/>
    <pivotField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Large Bags" fld="9"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E4F67-DF51-CB4F-ACA6-662737B49659}"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N37"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numFmtId="1" showAll="0"/>
    <pivotField numFmtId="1" showAll="0"/>
    <pivotField dataField="1"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XLarge Bags" fld="10" baseField="0" baseItem="0" numFmtId="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9FAAE3-A200-0748-BEA4-5B628014B66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N19"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dataField="1"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numFmtId="1" showAll="0"/>
    <pivotField numFmtId="1" showAll="0"/>
    <pivotField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Zutano" fld="6"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8ABF93-C2E9-4E40-8BC0-0929E362495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N13"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dataField="1"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numFmtId="1" showAll="0"/>
    <pivotField numFmtId="1" showAll="0"/>
    <pivotField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Reed"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A62D8C-B56E-854C-9304-CF75E6E9F19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7" firstHeaderRow="1" firstDataRow="2" firstDataCol="1"/>
  <pivotFields count="14">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numFmtId="4" showAll="0">
      <items count="13">
        <item x="0"/>
        <item x="1"/>
        <item x="2"/>
        <item x="3"/>
        <item x="4"/>
        <item x="5"/>
        <item x="6"/>
        <item x="7"/>
        <item x="8"/>
        <item x="9"/>
        <item x="10"/>
        <item x="11"/>
        <item t="default"/>
      </items>
    </pivotField>
    <pivotField showAll="0"/>
    <pivotField numFmtId="4" showAll="0">
      <items count="105">
        <item x="47"/>
        <item x="49"/>
        <item x="45"/>
        <item x="43"/>
        <item x="1"/>
        <item x="41"/>
        <item x="13"/>
        <item x="11"/>
        <item x="39"/>
        <item x="15"/>
        <item x="9"/>
        <item x="87"/>
        <item x="97"/>
        <item x="101"/>
        <item x="17"/>
        <item x="5"/>
        <item x="7"/>
        <item x="63"/>
        <item x="61"/>
        <item x="35"/>
        <item x="65"/>
        <item x="95"/>
        <item x="3"/>
        <item x="19"/>
        <item x="25"/>
        <item x="103"/>
        <item x="23"/>
        <item x="59"/>
        <item x="21"/>
        <item x="93"/>
        <item x="99"/>
        <item x="27"/>
        <item x="85"/>
        <item x="69"/>
        <item x="51"/>
        <item x="67"/>
        <item x="83"/>
        <item x="77"/>
        <item x="31"/>
        <item x="91"/>
        <item x="37"/>
        <item x="75"/>
        <item x="29"/>
        <item x="55"/>
        <item x="81"/>
        <item x="71"/>
        <item x="33"/>
        <item x="57"/>
        <item x="79"/>
        <item x="89"/>
        <item x="73"/>
        <item x="53"/>
        <item x="88"/>
        <item x="94"/>
        <item x="86"/>
        <item x="90"/>
        <item x="100"/>
        <item x="82"/>
        <item x="92"/>
        <item x="28"/>
        <item x="98"/>
        <item x="102"/>
        <item x="78"/>
        <item x="2"/>
        <item x="74"/>
        <item x="72"/>
        <item x="26"/>
        <item x="30"/>
        <item x="16"/>
        <item x="56"/>
        <item x="18"/>
        <item x="84"/>
        <item x="24"/>
        <item x="66"/>
        <item x="70"/>
        <item x="6"/>
        <item x="76"/>
        <item x="38"/>
        <item x="12"/>
        <item x="58"/>
        <item x="40"/>
        <item x="62"/>
        <item x="14"/>
        <item x="80"/>
        <item x="8"/>
        <item x="32"/>
        <item x="20"/>
        <item x="22"/>
        <item x="64"/>
        <item x="46"/>
        <item x="48"/>
        <item x="96"/>
        <item x="44"/>
        <item x="52"/>
        <item x="4"/>
        <item x="36"/>
        <item x="60"/>
        <item x="42"/>
        <item x="54"/>
        <item x="50"/>
        <item x="68"/>
        <item x="0"/>
        <item x="10"/>
        <item x="34"/>
        <item t="default"/>
      </items>
    </pivotField>
    <pivotField dataField="1" numFmtId="1" showAll="0">
      <items count="103">
        <item x="31"/>
        <item x="44"/>
        <item x="46"/>
        <item x="42"/>
        <item x="35"/>
        <item x="1"/>
        <item x="29"/>
        <item x="17"/>
        <item x="48"/>
        <item x="51"/>
        <item x="25"/>
        <item x="23"/>
        <item x="55"/>
        <item x="67"/>
        <item x="38"/>
        <item x="65"/>
        <item x="33"/>
        <item x="7"/>
        <item x="15"/>
        <item x="57"/>
        <item x="21"/>
        <item x="40"/>
        <item x="63"/>
        <item x="59"/>
        <item x="53"/>
        <item x="11"/>
        <item x="75"/>
        <item x="9"/>
        <item x="3"/>
        <item x="27"/>
        <item x="83"/>
        <item x="97"/>
        <item x="73"/>
        <item x="93"/>
        <item x="13"/>
        <item x="77"/>
        <item x="69"/>
        <item x="61"/>
        <item x="85"/>
        <item x="87"/>
        <item x="19"/>
        <item x="5"/>
        <item x="81"/>
        <item x="89"/>
        <item x="79"/>
        <item x="101"/>
        <item x="95"/>
        <item x="99"/>
        <item x="91"/>
        <item x="71"/>
        <item x="6"/>
        <item x="26"/>
        <item x="22"/>
        <item x="16"/>
        <item x="24"/>
        <item x="20"/>
        <item x="2"/>
        <item x="14"/>
        <item x="34"/>
        <item x="30"/>
        <item x="37"/>
        <item x="39"/>
        <item x="0"/>
        <item x="32"/>
        <item x="28"/>
        <item x="18"/>
        <item x="36"/>
        <item x="4"/>
        <item x="8"/>
        <item x="12"/>
        <item x="10"/>
        <item x="96"/>
        <item x="41"/>
        <item x="92"/>
        <item x="84"/>
        <item x="100"/>
        <item x="86"/>
        <item x="98"/>
        <item x="88"/>
        <item x="78"/>
        <item x="90"/>
        <item x="80"/>
        <item x="76"/>
        <item x="82"/>
        <item x="43"/>
        <item x="70"/>
        <item x="94"/>
        <item x="72"/>
        <item x="47"/>
        <item x="45"/>
        <item x="74"/>
        <item x="49"/>
        <item x="50"/>
        <item x="54"/>
        <item x="58"/>
        <item x="56"/>
        <item x="64"/>
        <item x="60"/>
        <item x="68"/>
        <item x="52"/>
        <item x="62"/>
        <item x="66"/>
        <item t="default"/>
      </items>
    </pivotField>
    <pivotField numFmtId="1" showAll="0">
      <items count="105">
        <item x="85"/>
        <item x="87"/>
        <item x="25"/>
        <item x="97"/>
        <item x="83"/>
        <item x="55"/>
        <item x="79"/>
        <item x="17"/>
        <item x="49"/>
        <item x="47"/>
        <item x="81"/>
        <item x="99"/>
        <item x="29"/>
        <item x="51"/>
        <item x="59"/>
        <item x="95"/>
        <item x="71"/>
        <item x="9"/>
        <item x="1"/>
        <item x="77"/>
        <item x="91"/>
        <item x="27"/>
        <item x="89"/>
        <item x="75"/>
        <item x="93"/>
        <item x="101"/>
        <item x="69"/>
        <item x="57"/>
        <item x="45"/>
        <item x="61"/>
        <item x="63"/>
        <item x="15"/>
        <item x="43"/>
        <item x="73"/>
        <item x="67"/>
        <item x="35"/>
        <item x="103"/>
        <item x="65"/>
        <item x="11"/>
        <item x="23"/>
        <item x="53"/>
        <item x="13"/>
        <item x="7"/>
        <item x="21"/>
        <item x="3"/>
        <item x="41"/>
        <item x="39"/>
        <item x="31"/>
        <item x="19"/>
        <item x="5"/>
        <item x="33"/>
        <item x="37"/>
        <item x="88"/>
        <item x="86"/>
        <item x="94"/>
        <item x="90"/>
        <item x="82"/>
        <item x="100"/>
        <item x="28"/>
        <item x="98"/>
        <item x="92"/>
        <item x="78"/>
        <item x="102"/>
        <item x="74"/>
        <item x="66"/>
        <item x="72"/>
        <item x="56"/>
        <item x="70"/>
        <item x="58"/>
        <item x="2"/>
        <item x="62"/>
        <item x="30"/>
        <item x="26"/>
        <item x="6"/>
        <item x="16"/>
        <item x="64"/>
        <item x="40"/>
        <item x="18"/>
        <item x="38"/>
        <item x="12"/>
        <item x="84"/>
        <item x="24"/>
        <item x="76"/>
        <item x="8"/>
        <item x="52"/>
        <item x="46"/>
        <item x="14"/>
        <item x="48"/>
        <item x="80"/>
        <item x="32"/>
        <item x="44"/>
        <item x="68"/>
        <item x="20"/>
        <item x="36"/>
        <item x="54"/>
        <item x="60"/>
        <item x="22"/>
        <item x="96"/>
        <item x="4"/>
        <item x="42"/>
        <item x="50"/>
        <item x="0"/>
        <item x="10"/>
        <item x="34"/>
        <item t="default"/>
      </items>
    </pivotField>
    <pivotField numFmtId="1" showAll="0">
      <items count="54">
        <item x="1"/>
        <item x="32"/>
        <item x="47"/>
        <item x="7"/>
        <item x="30"/>
        <item x="48"/>
        <item x="8"/>
        <item x="16"/>
        <item x="31"/>
        <item x="33"/>
        <item x="34"/>
        <item x="25"/>
        <item x="14"/>
        <item x="46"/>
        <item x="45"/>
        <item x="13"/>
        <item x="26"/>
        <item x="38"/>
        <item x="18"/>
        <item x="15"/>
        <item x="37"/>
        <item x="17"/>
        <item x="39"/>
        <item x="43"/>
        <item x="28"/>
        <item x="49"/>
        <item x="3"/>
        <item x="42"/>
        <item x="35"/>
        <item x="23"/>
        <item x="44"/>
        <item x="10"/>
        <item x="21"/>
        <item x="11"/>
        <item x="9"/>
        <item x="4"/>
        <item x="5"/>
        <item x="12"/>
        <item x="29"/>
        <item x="24"/>
        <item x="20"/>
        <item x="40"/>
        <item x="19"/>
        <item x="50"/>
        <item x="36"/>
        <item x="41"/>
        <item x="22"/>
        <item x="2"/>
        <item x="6"/>
        <item x="0"/>
        <item x="51"/>
        <item x="27"/>
        <item x="52"/>
        <item t="default"/>
      </items>
    </pivotField>
    <pivotField numFmtId="1" showAll="0"/>
    <pivotField numFmtId="1" showAll="0"/>
    <pivotField numFmtId="1" showAll="0"/>
    <pivotField numFmtId="1" showAll="0"/>
    <pivotField axis="axisRow" showAll="0">
      <items count="3">
        <item x="0"/>
        <item x="1"/>
        <item t="default"/>
      </items>
    </pivotField>
    <pivotField showAll="0"/>
    <pivotField showAll="0"/>
  </pivotFields>
  <rowFields count="1">
    <field x="11"/>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Haas" fld="4" baseField="0" baseItem="0" numFmtId="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6E7B-3785-4B00-B880-27186597C0D6}">
  <sheetPr>
    <tabColor theme="9" tint="-0.249977111117893"/>
  </sheetPr>
  <dimension ref="A1:N105"/>
  <sheetViews>
    <sheetView workbookViewId="0">
      <selection activeCell="C9" sqref="C9"/>
    </sheetView>
  </sheetViews>
  <sheetFormatPr baseColWidth="10" defaultColWidth="8.83203125" defaultRowHeight="15" x14ac:dyDescent="0.2"/>
  <cols>
    <col min="1" max="1" width="11.5" style="3" bestFit="1" customWidth="1"/>
    <col min="2" max="2" width="9.83203125" bestFit="1" customWidth="1"/>
    <col min="3" max="3" width="19" customWidth="1"/>
    <col min="4" max="4" width="16.6640625" style="1" bestFit="1" customWidth="1"/>
    <col min="5" max="5" width="17.1640625" style="6" customWidth="1"/>
    <col min="6" max="6" width="18.1640625" style="6" customWidth="1"/>
    <col min="7" max="7" width="26.5" style="6" customWidth="1"/>
    <col min="8" max="8" width="14.33203125" style="6" bestFit="1" customWidth="1"/>
    <col min="9" max="9" width="14.5" style="6" bestFit="1" customWidth="1"/>
    <col min="10" max="10" width="15" style="6" bestFit="1" customWidth="1"/>
    <col min="11" max="11" width="16.5" style="6" bestFit="1" customWidth="1"/>
    <col min="12" max="12" width="17" style="6" bestFit="1" customWidth="1"/>
    <col min="13" max="13" width="8.1640625" bestFit="1" customWidth="1"/>
    <col min="14" max="14" width="10.5" bestFit="1" customWidth="1"/>
  </cols>
  <sheetData>
    <row r="1" spans="1:14" s="24" customFormat="1" x14ac:dyDescent="0.2">
      <c r="A1" s="20" t="s">
        <v>0</v>
      </c>
      <c r="B1" s="21" t="s">
        <v>10</v>
      </c>
      <c r="C1" s="21" t="s">
        <v>1</v>
      </c>
      <c r="D1" s="22" t="s">
        <v>2</v>
      </c>
      <c r="E1" s="25" t="s">
        <v>49</v>
      </c>
      <c r="F1" s="26" t="s">
        <v>50</v>
      </c>
      <c r="G1" s="26" t="s">
        <v>51</v>
      </c>
      <c r="H1" s="23" t="s">
        <v>3</v>
      </c>
      <c r="I1" s="23" t="s">
        <v>4</v>
      </c>
      <c r="J1" s="23" t="s">
        <v>5</v>
      </c>
      <c r="K1" s="23" t="s">
        <v>6</v>
      </c>
      <c r="L1" s="23" t="s">
        <v>45</v>
      </c>
      <c r="M1" s="21" t="s">
        <v>46</v>
      </c>
      <c r="N1" s="21" t="s">
        <v>47</v>
      </c>
    </row>
    <row r="2" spans="1:14" x14ac:dyDescent="0.2">
      <c r="A2" s="3">
        <v>42372</v>
      </c>
      <c r="B2" s="4">
        <f t="shared" ref="B2:B26" si="0">MONTH(A2)</f>
        <v>1</v>
      </c>
      <c r="C2" s="2">
        <v>1.03</v>
      </c>
      <c r="D2" s="4">
        <v>149038.15</v>
      </c>
      <c r="E2" s="5">
        <v>939.71</v>
      </c>
      <c r="F2" s="5">
        <v>139735.9</v>
      </c>
      <c r="G2" s="5">
        <v>132.35</v>
      </c>
      <c r="H2" s="5">
        <v>8230.19</v>
      </c>
      <c r="I2" s="5">
        <v>8056.43</v>
      </c>
      <c r="J2" s="5">
        <v>173.76</v>
      </c>
      <c r="K2" s="5">
        <v>0</v>
      </c>
      <c r="L2" s="5" t="s">
        <v>7</v>
      </c>
      <c r="M2" s="2">
        <v>2016</v>
      </c>
      <c r="N2" s="2" t="s">
        <v>8</v>
      </c>
    </row>
    <row r="3" spans="1:14" x14ac:dyDescent="0.2">
      <c r="A3" s="3">
        <v>42372</v>
      </c>
      <c r="B3" s="4">
        <f t="shared" si="0"/>
        <v>1</v>
      </c>
      <c r="C3" s="2">
        <v>1.75</v>
      </c>
      <c r="D3" s="4">
        <v>1145.5</v>
      </c>
      <c r="E3" s="5">
        <v>7</v>
      </c>
      <c r="F3" s="5">
        <v>187.9</v>
      </c>
      <c r="G3" s="5">
        <v>0</v>
      </c>
      <c r="H3" s="5">
        <v>950.6</v>
      </c>
      <c r="I3" s="5">
        <v>950.6</v>
      </c>
      <c r="J3" s="5">
        <v>0</v>
      </c>
      <c r="K3" s="5">
        <v>0</v>
      </c>
      <c r="L3" s="5" t="s">
        <v>9</v>
      </c>
      <c r="M3" s="2">
        <v>2016</v>
      </c>
      <c r="N3" s="2" t="s">
        <v>8</v>
      </c>
    </row>
    <row r="4" spans="1:14" x14ac:dyDescent="0.2">
      <c r="A4" s="3">
        <v>42379</v>
      </c>
      <c r="B4" s="4">
        <f t="shared" si="0"/>
        <v>1</v>
      </c>
      <c r="C4" s="2">
        <v>1.28</v>
      </c>
      <c r="D4" s="4">
        <v>79121.77</v>
      </c>
      <c r="E4" s="5">
        <v>848.19</v>
      </c>
      <c r="F4" s="5">
        <v>66696.97</v>
      </c>
      <c r="G4" s="5">
        <v>109.08</v>
      </c>
      <c r="H4" s="5">
        <v>11467.53</v>
      </c>
      <c r="I4" s="5">
        <v>11293.65</v>
      </c>
      <c r="J4" s="5">
        <v>173.88</v>
      </c>
      <c r="K4" s="5">
        <v>0</v>
      </c>
      <c r="L4" s="5" t="s">
        <v>7</v>
      </c>
      <c r="M4" s="2">
        <v>2016</v>
      </c>
      <c r="N4" s="2" t="s">
        <v>8</v>
      </c>
    </row>
    <row r="5" spans="1:14" x14ac:dyDescent="0.2">
      <c r="A5" s="3">
        <v>42379</v>
      </c>
      <c r="B5" s="4">
        <f t="shared" si="0"/>
        <v>1</v>
      </c>
      <c r="C5" s="2">
        <v>1.83</v>
      </c>
      <c r="D5" s="4">
        <v>1676.05</v>
      </c>
      <c r="E5" s="5">
        <v>35.03</v>
      </c>
      <c r="F5" s="5">
        <v>329.33</v>
      </c>
      <c r="G5" s="5">
        <v>0</v>
      </c>
      <c r="H5" s="5">
        <v>1311.69</v>
      </c>
      <c r="I5" s="5">
        <v>1311.69</v>
      </c>
      <c r="J5" s="5">
        <v>0</v>
      </c>
      <c r="K5" s="5">
        <v>0</v>
      </c>
      <c r="L5" s="5" t="s">
        <v>9</v>
      </c>
      <c r="M5" s="2">
        <v>2016</v>
      </c>
      <c r="N5" s="2" t="s">
        <v>8</v>
      </c>
    </row>
    <row r="6" spans="1:14" x14ac:dyDescent="0.2">
      <c r="A6" s="3">
        <v>42386</v>
      </c>
      <c r="B6" s="4">
        <f t="shared" si="0"/>
        <v>1</v>
      </c>
      <c r="C6" s="2">
        <v>1.26</v>
      </c>
      <c r="D6" s="4">
        <v>119972.41</v>
      </c>
      <c r="E6" s="5">
        <v>1202.52</v>
      </c>
      <c r="F6" s="5">
        <v>100613.46</v>
      </c>
      <c r="G6" s="5">
        <v>51.22</v>
      </c>
      <c r="H6" s="5">
        <v>18105.21</v>
      </c>
      <c r="I6" s="5">
        <v>17980.53</v>
      </c>
      <c r="J6" s="5">
        <v>124.68</v>
      </c>
      <c r="K6" s="5">
        <v>0</v>
      </c>
      <c r="L6" s="5" t="s">
        <v>7</v>
      </c>
      <c r="M6" s="2">
        <v>2016</v>
      </c>
      <c r="N6" s="2" t="s">
        <v>8</v>
      </c>
    </row>
    <row r="7" spans="1:14" x14ac:dyDescent="0.2">
      <c r="A7" s="3">
        <v>42386</v>
      </c>
      <c r="B7" s="4">
        <f t="shared" si="0"/>
        <v>1</v>
      </c>
      <c r="C7" s="2">
        <v>1.67</v>
      </c>
      <c r="D7" s="4">
        <v>1496.73</v>
      </c>
      <c r="E7" s="5">
        <v>66.63</v>
      </c>
      <c r="F7" s="5">
        <v>430.17</v>
      </c>
      <c r="G7" s="5">
        <v>0</v>
      </c>
      <c r="H7" s="5">
        <v>999.93</v>
      </c>
      <c r="I7" s="5">
        <v>992.14</v>
      </c>
      <c r="J7" s="5">
        <v>7.79</v>
      </c>
      <c r="K7" s="5">
        <v>0</v>
      </c>
      <c r="L7" s="5" t="s">
        <v>9</v>
      </c>
      <c r="M7" s="2">
        <v>2016</v>
      </c>
      <c r="N7" s="2" t="s">
        <v>8</v>
      </c>
    </row>
    <row r="8" spans="1:14" x14ac:dyDescent="0.2">
      <c r="A8" s="3">
        <v>42393</v>
      </c>
      <c r="B8" s="4">
        <f t="shared" si="0"/>
        <v>1</v>
      </c>
      <c r="C8" s="2">
        <v>1.22</v>
      </c>
      <c r="D8" s="4">
        <v>96089.13</v>
      </c>
      <c r="E8" s="5">
        <v>545.37</v>
      </c>
      <c r="F8" s="5">
        <v>70802.559999999998</v>
      </c>
      <c r="G8" s="5">
        <v>68.41</v>
      </c>
      <c r="H8" s="5">
        <v>24672.79</v>
      </c>
      <c r="I8" s="5">
        <v>23926.35</v>
      </c>
      <c r="J8" s="5">
        <v>746.44</v>
      </c>
      <c r="K8" s="5">
        <v>0</v>
      </c>
      <c r="L8" s="5" t="s">
        <v>7</v>
      </c>
      <c r="M8" s="2">
        <v>2016</v>
      </c>
      <c r="N8" s="2" t="s">
        <v>8</v>
      </c>
    </row>
    <row r="9" spans="1:14" x14ac:dyDescent="0.2">
      <c r="A9" s="3">
        <v>42393</v>
      </c>
      <c r="B9" s="4">
        <f t="shared" si="0"/>
        <v>1</v>
      </c>
      <c r="C9" s="2">
        <v>1.83</v>
      </c>
      <c r="D9" s="4">
        <v>1506.87</v>
      </c>
      <c r="E9" s="5">
        <v>23.39</v>
      </c>
      <c r="F9" s="5">
        <v>294.7</v>
      </c>
      <c r="G9" s="5">
        <v>0</v>
      </c>
      <c r="H9" s="5">
        <v>1188.78</v>
      </c>
      <c r="I9" s="5">
        <v>1180.98</v>
      </c>
      <c r="J9" s="5">
        <v>7.8</v>
      </c>
      <c r="K9" s="5">
        <v>0</v>
      </c>
      <c r="L9" s="5" t="s">
        <v>9</v>
      </c>
      <c r="M9" s="2">
        <v>2016</v>
      </c>
      <c r="N9" s="2" t="s">
        <v>8</v>
      </c>
    </row>
    <row r="10" spans="1:14" x14ac:dyDescent="0.2">
      <c r="A10" s="3">
        <v>42400</v>
      </c>
      <c r="B10" s="4">
        <f t="shared" si="0"/>
        <v>1</v>
      </c>
      <c r="C10" s="2">
        <v>1.1599999999999999</v>
      </c>
      <c r="D10" s="4">
        <v>102038.32</v>
      </c>
      <c r="E10" s="5">
        <v>1386.24</v>
      </c>
      <c r="F10" s="5">
        <v>79881.67</v>
      </c>
      <c r="G10" s="5">
        <v>69.459999999999994</v>
      </c>
      <c r="H10" s="5">
        <v>20700.95</v>
      </c>
      <c r="I10" s="5">
        <v>19788.78</v>
      </c>
      <c r="J10" s="5">
        <v>912.17</v>
      </c>
      <c r="K10" s="5">
        <v>0</v>
      </c>
      <c r="L10" s="5" t="s">
        <v>7</v>
      </c>
      <c r="M10" s="2">
        <v>2016</v>
      </c>
      <c r="N10" s="2" t="s">
        <v>8</v>
      </c>
    </row>
    <row r="11" spans="1:14" x14ac:dyDescent="0.2">
      <c r="A11" s="3">
        <v>42400</v>
      </c>
      <c r="B11" s="4">
        <f t="shared" si="0"/>
        <v>1</v>
      </c>
      <c r="C11" s="2">
        <v>1.79</v>
      </c>
      <c r="D11" s="4">
        <v>1305.94</v>
      </c>
      <c r="E11" s="5">
        <v>34.380000000000003</v>
      </c>
      <c r="F11" s="5">
        <v>186.13</v>
      </c>
      <c r="G11" s="5">
        <v>0</v>
      </c>
      <c r="H11" s="5">
        <v>1085.43</v>
      </c>
      <c r="I11" s="5">
        <v>1085.43</v>
      </c>
      <c r="J11" s="5">
        <v>0</v>
      </c>
      <c r="K11" s="5">
        <v>0</v>
      </c>
      <c r="L11" s="5" t="s">
        <v>9</v>
      </c>
      <c r="M11" s="2">
        <v>2016</v>
      </c>
      <c r="N11" s="2" t="s">
        <v>8</v>
      </c>
    </row>
    <row r="12" spans="1:14" x14ac:dyDescent="0.2">
      <c r="A12" s="3">
        <v>42407</v>
      </c>
      <c r="B12" s="4">
        <f t="shared" si="0"/>
        <v>2</v>
      </c>
      <c r="C12" s="2">
        <v>1.07</v>
      </c>
      <c r="D12" s="4">
        <v>169614.01</v>
      </c>
      <c r="E12" s="5">
        <v>2031.67</v>
      </c>
      <c r="F12" s="5">
        <v>157271.87</v>
      </c>
      <c r="G12" s="5">
        <v>109.88</v>
      </c>
      <c r="H12" s="5">
        <v>10200.59</v>
      </c>
      <c r="I12" s="5">
        <v>9349.67</v>
      </c>
      <c r="J12" s="5">
        <v>850.92</v>
      </c>
      <c r="K12" s="5">
        <v>0</v>
      </c>
      <c r="L12" s="5" t="s">
        <v>7</v>
      </c>
      <c r="M12" s="2">
        <v>2016</v>
      </c>
      <c r="N12" s="2" t="s">
        <v>8</v>
      </c>
    </row>
    <row r="13" spans="1:14" x14ac:dyDescent="0.2">
      <c r="A13" s="3">
        <v>42407</v>
      </c>
      <c r="B13" s="4">
        <f t="shared" si="0"/>
        <v>2</v>
      </c>
      <c r="C13" s="2">
        <v>1.81</v>
      </c>
      <c r="D13" s="4">
        <v>1252.8599999999999</v>
      </c>
      <c r="E13" s="5">
        <v>33.15</v>
      </c>
      <c r="F13" s="5">
        <v>254.56</v>
      </c>
      <c r="G13" s="5">
        <v>0</v>
      </c>
      <c r="H13" s="5">
        <v>965.15</v>
      </c>
      <c r="I13" s="5">
        <v>962.52</v>
      </c>
      <c r="J13" s="5">
        <v>2.63</v>
      </c>
      <c r="K13" s="5">
        <v>0</v>
      </c>
      <c r="L13" s="5" t="s">
        <v>9</v>
      </c>
      <c r="M13" s="2">
        <v>2016</v>
      </c>
      <c r="N13" s="2" t="s">
        <v>8</v>
      </c>
    </row>
    <row r="14" spans="1:14" x14ac:dyDescent="0.2">
      <c r="A14" s="3">
        <v>42414</v>
      </c>
      <c r="B14" s="4">
        <f t="shared" si="0"/>
        <v>2</v>
      </c>
      <c r="C14" s="2">
        <v>1.1299999999999999</v>
      </c>
      <c r="D14" s="4">
        <v>98008.16</v>
      </c>
      <c r="E14" s="5">
        <v>1640.86</v>
      </c>
      <c r="F14" s="5">
        <v>77133.009999999995</v>
      </c>
      <c r="G14" s="5">
        <v>12</v>
      </c>
      <c r="H14" s="5">
        <v>19222.29</v>
      </c>
      <c r="I14" s="5">
        <v>17663.46</v>
      </c>
      <c r="J14" s="5">
        <v>1558.83</v>
      </c>
      <c r="K14" s="5">
        <v>0</v>
      </c>
      <c r="L14" s="5" t="s">
        <v>7</v>
      </c>
      <c r="M14" s="2">
        <v>2016</v>
      </c>
      <c r="N14" s="2" t="s">
        <v>8</v>
      </c>
    </row>
    <row r="15" spans="1:14" x14ac:dyDescent="0.2">
      <c r="A15" s="3">
        <v>42414</v>
      </c>
      <c r="B15" s="4">
        <f t="shared" si="0"/>
        <v>2</v>
      </c>
      <c r="C15" s="2">
        <v>1.81</v>
      </c>
      <c r="D15" s="4">
        <v>1247.8</v>
      </c>
      <c r="E15" s="5">
        <v>50.84</v>
      </c>
      <c r="F15" s="5">
        <v>263.64999999999998</v>
      </c>
      <c r="G15" s="5">
        <v>0</v>
      </c>
      <c r="H15" s="5">
        <v>933.31</v>
      </c>
      <c r="I15" s="5">
        <v>933.31</v>
      </c>
      <c r="J15" s="5">
        <v>0</v>
      </c>
      <c r="K15" s="5">
        <v>0</v>
      </c>
      <c r="L15" s="5" t="s">
        <v>9</v>
      </c>
      <c r="M15" s="2">
        <v>2016</v>
      </c>
      <c r="N15" s="2" t="s">
        <v>8</v>
      </c>
    </row>
    <row r="16" spans="1:14" x14ac:dyDescent="0.2">
      <c r="A16" s="3">
        <v>42421</v>
      </c>
      <c r="B16" s="4">
        <f t="shared" si="0"/>
        <v>2</v>
      </c>
      <c r="C16" s="2">
        <v>1.28</v>
      </c>
      <c r="D16" s="4">
        <v>99817.47</v>
      </c>
      <c r="E16" s="5">
        <v>869.16</v>
      </c>
      <c r="F16" s="5">
        <v>84484.99</v>
      </c>
      <c r="G16" s="5">
        <v>24.98</v>
      </c>
      <c r="H16" s="5">
        <v>14438.34</v>
      </c>
      <c r="I16" s="5">
        <v>12280.58</v>
      </c>
      <c r="J16" s="5">
        <v>2157.7600000000002</v>
      </c>
      <c r="K16" s="5">
        <v>0</v>
      </c>
      <c r="L16" s="5" t="s">
        <v>7</v>
      </c>
      <c r="M16" s="2">
        <v>2016</v>
      </c>
      <c r="N16" s="2" t="s">
        <v>8</v>
      </c>
    </row>
    <row r="17" spans="1:14" x14ac:dyDescent="0.2">
      <c r="A17" s="3">
        <v>42421</v>
      </c>
      <c r="B17" s="4">
        <f t="shared" si="0"/>
        <v>2</v>
      </c>
      <c r="C17" s="2">
        <v>1.79</v>
      </c>
      <c r="D17" s="4">
        <v>1282.8699999999999</v>
      </c>
      <c r="E17" s="5">
        <v>23.61</v>
      </c>
      <c r="F17" s="5">
        <v>213.64</v>
      </c>
      <c r="G17" s="5">
        <v>0</v>
      </c>
      <c r="H17" s="5">
        <v>1045.6199999999999</v>
      </c>
      <c r="I17" s="5">
        <v>1045.6199999999999</v>
      </c>
      <c r="J17" s="5">
        <v>0</v>
      </c>
      <c r="K17" s="5">
        <v>0</v>
      </c>
      <c r="L17" s="5" t="s">
        <v>9</v>
      </c>
      <c r="M17" s="2">
        <v>2016</v>
      </c>
      <c r="N17" s="2" t="s">
        <v>8</v>
      </c>
    </row>
    <row r="18" spans="1:14" x14ac:dyDescent="0.2">
      <c r="A18" s="3">
        <v>42428</v>
      </c>
      <c r="B18" s="4">
        <f t="shared" si="0"/>
        <v>2</v>
      </c>
      <c r="C18" s="2">
        <v>1.26</v>
      </c>
      <c r="D18" s="4">
        <v>87822.43</v>
      </c>
      <c r="E18" s="5">
        <v>805.41</v>
      </c>
      <c r="F18" s="5">
        <v>72159.95</v>
      </c>
      <c r="G18" s="5">
        <v>63.13</v>
      </c>
      <c r="H18" s="5">
        <v>14793.94</v>
      </c>
      <c r="I18" s="5">
        <v>13739.89</v>
      </c>
      <c r="J18" s="5">
        <v>1054.05</v>
      </c>
      <c r="K18" s="5">
        <v>0</v>
      </c>
      <c r="L18" s="5" t="s">
        <v>7</v>
      </c>
      <c r="M18" s="2">
        <v>2016</v>
      </c>
      <c r="N18" s="2" t="s">
        <v>8</v>
      </c>
    </row>
    <row r="19" spans="1:14" x14ac:dyDescent="0.2">
      <c r="A19" s="3">
        <v>42428</v>
      </c>
      <c r="B19" s="4">
        <f t="shared" si="0"/>
        <v>2</v>
      </c>
      <c r="C19" s="2">
        <v>1.79</v>
      </c>
      <c r="D19" s="4">
        <v>1485.73</v>
      </c>
      <c r="E19" s="5">
        <v>9.43</v>
      </c>
      <c r="F19" s="5">
        <v>143.74</v>
      </c>
      <c r="G19" s="5">
        <v>0</v>
      </c>
      <c r="H19" s="5">
        <v>1332.56</v>
      </c>
      <c r="I19" s="5">
        <v>1327.32</v>
      </c>
      <c r="J19" s="5">
        <v>5.24</v>
      </c>
      <c r="K19" s="5">
        <v>0</v>
      </c>
      <c r="L19" s="5" t="s">
        <v>9</v>
      </c>
      <c r="M19" s="2">
        <v>2016</v>
      </c>
      <c r="N19" s="2" t="s">
        <v>8</v>
      </c>
    </row>
    <row r="20" spans="1:14" x14ac:dyDescent="0.2">
      <c r="A20" s="3">
        <v>42435</v>
      </c>
      <c r="B20" s="4">
        <f t="shared" si="0"/>
        <v>3</v>
      </c>
      <c r="C20" s="2">
        <v>1.27</v>
      </c>
      <c r="D20" s="4">
        <v>90633.66</v>
      </c>
      <c r="E20" s="5">
        <v>972.34</v>
      </c>
      <c r="F20" s="5">
        <v>74693.31</v>
      </c>
      <c r="G20" s="5">
        <v>56.26</v>
      </c>
      <c r="H20" s="5">
        <v>14911.75</v>
      </c>
      <c r="I20" s="5">
        <v>14476.23</v>
      </c>
      <c r="J20" s="5">
        <v>435.52</v>
      </c>
      <c r="K20" s="5">
        <v>0</v>
      </c>
      <c r="L20" s="5" t="s">
        <v>7</v>
      </c>
      <c r="M20" s="2">
        <v>2016</v>
      </c>
      <c r="N20" s="2" t="s">
        <v>8</v>
      </c>
    </row>
    <row r="21" spans="1:14" x14ac:dyDescent="0.2">
      <c r="A21" s="3">
        <v>42435</v>
      </c>
      <c r="B21" s="4">
        <f t="shared" si="0"/>
        <v>3</v>
      </c>
      <c r="C21" s="2">
        <v>1.92</v>
      </c>
      <c r="D21" s="4">
        <v>1704.24</v>
      </c>
      <c r="E21" s="5">
        <v>65.94</v>
      </c>
      <c r="F21" s="5">
        <v>401.53</v>
      </c>
      <c r="G21" s="5">
        <v>0</v>
      </c>
      <c r="H21" s="5">
        <v>1236.77</v>
      </c>
      <c r="I21" s="5">
        <v>1236.77</v>
      </c>
      <c r="J21" s="5">
        <v>0</v>
      </c>
      <c r="K21" s="5">
        <v>0</v>
      </c>
      <c r="L21" s="5" t="s">
        <v>9</v>
      </c>
      <c r="M21" s="2">
        <v>2016</v>
      </c>
      <c r="N21" s="2" t="s">
        <v>8</v>
      </c>
    </row>
    <row r="22" spans="1:14" x14ac:dyDescent="0.2">
      <c r="A22" s="3">
        <v>42442</v>
      </c>
      <c r="B22" s="4">
        <f t="shared" si="0"/>
        <v>3</v>
      </c>
      <c r="C22" s="2">
        <v>1.18</v>
      </c>
      <c r="D22" s="4">
        <v>108264.9</v>
      </c>
      <c r="E22" s="5">
        <v>847.64</v>
      </c>
      <c r="F22" s="5">
        <v>96117.13</v>
      </c>
      <c r="G22" s="5">
        <v>60.99</v>
      </c>
      <c r="H22" s="5">
        <v>11239.14</v>
      </c>
      <c r="I22" s="5">
        <v>10817.56</v>
      </c>
      <c r="J22" s="5">
        <v>421.58</v>
      </c>
      <c r="K22" s="5">
        <v>0</v>
      </c>
      <c r="L22" s="5" t="s">
        <v>7</v>
      </c>
      <c r="M22" s="2">
        <v>2016</v>
      </c>
      <c r="N22" s="2" t="s">
        <v>8</v>
      </c>
    </row>
    <row r="23" spans="1:14" x14ac:dyDescent="0.2">
      <c r="A23" s="3">
        <v>42442</v>
      </c>
      <c r="B23" s="4">
        <f t="shared" si="0"/>
        <v>3</v>
      </c>
      <c r="C23" s="2">
        <v>1.79</v>
      </c>
      <c r="D23" s="4">
        <v>1822.67</v>
      </c>
      <c r="E23" s="5">
        <v>25.87</v>
      </c>
      <c r="F23" s="5">
        <v>303.42</v>
      </c>
      <c r="G23" s="5">
        <v>0</v>
      </c>
      <c r="H23" s="5">
        <v>1493.38</v>
      </c>
      <c r="I23" s="5">
        <v>1493.38</v>
      </c>
      <c r="J23" s="5">
        <v>0</v>
      </c>
      <c r="K23" s="5">
        <v>0</v>
      </c>
      <c r="L23" s="5" t="s">
        <v>9</v>
      </c>
      <c r="M23" s="2">
        <v>2016</v>
      </c>
      <c r="N23" s="2" t="s">
        <v>8</v>
      </c>
    </row>
    <row r="24" spans="1:14" x14ac:dyDescent="0.2">
      <c r="A24" s="3">
        <v>42449</v>
      </c>
      <c r="B24" s="4">
        <f t="shared" si="0"/>
        <v>3</v>
      </c>
      <c r="C24" s="2">
        <v>1.32</v>
      </c>
      <c r="D24" s="4">
        <v>110401.88</v>
      </c>
      <c r="E24" s="5">
        <v>764.97</v>
      </c>
      <c r="F24" s="5">
        <v>97082.4</v>
      </c>
      <c r="G24" s="5">
        <v>70.150000000000006</v>
      </c>
      <c r="H24" s="5">
        <v>12484.36</v>
      </c>
      <c r="I24" s="5">
        <v>12286.01</v>
      </c>
      <c r="J24" s="5">
        <v>198.35</v>
      </c>
      <c r="K24" s="5">
        <v>0</v>
      </c>
      <c r="L24" s="5" t="s">
        <v>7</v>
      </c>
      <c r="M24" s="2">
        <v>2016</v>
      </c>
      <c r="N24" s="2" t="s">
        <v>8</v>
      </c>
    </row>
    <row r="25" spans="1:14" x14ac:dyDescent="0.2">
      <c r="A25" s="3">
        <v>42449</v>
      </c>
      <c r="B25" s="4">
        <f t="shared" si="0"/>
        <v>3</v>
      </c>
      <c r="C25" s="2">
        <v>1.76</v>
      </c>
      <c r="D25" s="4">
        <v>1733.01</v>
      </c>
      <c r="E25" s="5">
        <v>14.09</v>
      </c>
      <c r="F25" s="5">
        <v>258.37</v>
      </c>
      <c r="G25" s="5">
        <v>0</v>
      </c>
      <c r="H25" s="5">
        <v>1460.55</v>
      </c>
      <c r="I25" s="5">
        <v>1460.55</v>
      </c>
      <c r="J25" s="5">
        <v>0</v>
      </c>
      <c r="K25" s="5">
        <v>0</v>
      </c>
      <c r="L25" s="5" t="s">
        <v>9</v>
      </c>
      <c r="M25" s="2">
        <v>2016</v>
      </c>
      <c r="N25" s="2" t="s">
        <v>8</v>
      </c>
    </row>
    <row r="26" spans="1:14" x14ac:dyDescent="0.2">
      <c r="A26" s="3">
        <v>42456</v>
      </c>
      <c r="B26" s="4">
        <f t="shared" si="0"/>
        <v>3</v>
      </c>
      <c r="C26" s="2">
        <v>1.49</v>
      </c>
      <c r="D26" s="4">
        <v>92529.27</v>
      </c>
      <c r="E26" s="5">
        <v>808.5</v>
      </c>
      <c r="F26" s="5">
        <v>78146.179999999993</v>
      </c>
      <c r="G26" s="5">
        <v>36.729999999999997</v>
      </c>
      <c r="H26" s="5">
        <v>13537.86</v>
      </c>
      <c r="I26" s="5">
        <v>13037.43</v>
      </c>
      <c r="J26" s="5">
        <v>500.43</v>
      </c>
      <c r="K26" s="5">
        <v>0</v>
      </c>
      <c r="L26" s="5" t="s">
        <v>7</v>
      </c>
      <c r="M26" s="2">
        <v>2016</v>
      </c>
      <c r="N26" s="2" t="s">
        <v>8</v>
      </c>
    </row>
    <row r="27" spans="1:14" x14ac:dyDescent="0.2">
      <c r="A27" s="3">
        <v>42456</v>
      </c>
      <c r="B27" s="4">
        <f t="shared" ref="B27:B90" si="1">MONTH(A27)</f>
        <v>3</v>
      </c>
      <c r="C27" s="2">
        <v>1.65</v>
      </c>
      <c r="D27" s="4">
        <v>1705.39</v>
      </c>
      <c r="E27" s="5">
        <v>14.07</v>
      </c>
      <c r="F27" s="5">
        <v>98.52</v>
      </c>
      <c r="G27" s="5">
        <v>0</v>
      </c>
      <c r="H27" s="5">
        <v>1592.8</v>
      </c>
      <c r="I27" s="5">
        <v>1592.8</v>
      </c>
      <c r="J27" s="5">
        <v>0</v>
      </c>
      <c r="K27" s="5">
        <v>0</v>
      </c>
      <c r="L27" s="5" t="s">
        <v>9</v>
      </c>
      <c r="M27" s="2">
        <v>2016</v>
      </c>
      <c r="N27" s="2" t="s">
        <v>8</v>
      </c>
    </row>
    <row r="28" spans="1:14" x14ac:dyDescent="0.2">
      <c r="A28" s="3">
        <v>42463</v>
      </c>
      <c r="B28" s="4">
        <f t="shared" si="1"/>
        <v>4</v>
      </c>
      <c r="C28" s="2">
        <v>0.85</v>
      </c>
      <c r="D28" s="4">
        <v>81694.23</v>
      </c>
      <c r="E28" s="5">
        <v>676.27</v>
      </c>
      <c r="F28" s="5">
        <v>70459.66</v>
      </c>
      <c r="G28" s="5">
        <v>31.2</v>
      </c>
      <c r="H28" s="5">
        <v>10527.1</v>
      </c>
      <c r="I28" s="5">
        <v>10058.25</v>
      </c>
      <c r="J28" s="5">
        <v>468.85</v>
      </c>
      <c r="K28" s="5">
        <v>0</v>
      </c>
      <c r="L28" s="5" t="s">
        <v>7</v>
      </c>
      <c r="M28" s="2">
        <v>2016</v>
      </c>
      <c r="N28" s="2" t="s">
        <v>8</v>
      </c>
    </row>
    <row r="29" spans="1:14" x14ac:dyDescent="0.2">
      <c r="A29" s="3">
        <v>42463</v>
      </c>
      <c r="B29" s="4">
        <f t="shared" si="1"/>
        <v>4</v>
      </c>
      <c r="C29" s="2">
        <v>1.56</v>
      </c>
      <c r="D29" s="4">
        <v>1903.46</v>
      </c>
      <c r="E29" s="5">
        <v>36.340000000000003</v>
      </c>
      <c r="F29" s="5">
        <v>193.4</v>
      </c>
      <c r="G29" s="5">
        <v>0</v>
      </c>
      <c r="H29" s="5">
        <v>1673.72</v>
      </c>
      <c r="I29" s="5">
        <v>1673.72</v>
      </c>
      <c r="J29" s="5">
        <v>0</v>
      </c>
      <c r="K29" s="5">
        <v>0</v>
      </c>
      <c r="L29" s="5" t="s">
        <v>9</v>
      </c>
      <c r="M29" s="2">
        <v>2016</v>
      </c>
      <c r="N29" s="2" t="s">
        <v>8</v>
      </c>
    </row>
    <row r="30" spans="1:14" x14ac:dyDescent="0.2">
      <c r="A30" s="3">
        <v>42470</v>
      </c>
      <c r="B30" s="4">
        <f t="shared" si="1"/>
        <v>4</v>
      </c>
      <c r="C30" s="2">
        <v>1.46</v>
      </c>
      <c r="D30" s="4">
        <v>70253.3</v>
      </c>
      <c r="E30" s="5">
        <v>972.15</v>
      </c>
      <c r="F30" s="5">
        <v>56128.98</v>
      </c>
      <c r="G30" s="5">
        <v>38</v>
      </c>
      <c r="H30" s="5">
        <v>13114.17</v>
      </c>
      <c r="I30" s="5">
        <v>12671.09</v>
      </c>
      <c r="J30" s="5">
        <v>443.08</v>
      </c>
      <c r="K30" s="5">
        <v>0</v>
      </c>
      <c r="L30" s="5" t="s">
        <v>7</v>
      </c>
      <c r="M30" s="2">
        <v>2016</v>
      </c>
      <c r="N30" s="2" t="s">
        <v>8</v>
      </c>
    </row>
    <row r="31" spans="1:14" x14ac:dyDescent="0.2">
      <c r="A31" s="3">
        <v>42470</v>
      </c>
      <c r="B31" s="4">
        <f t="shared" si="1"/>
        <v>4</v>
      </c>
      <c r="C31" s="2">
        <v>1.62</v>
      </c>
      <c r="D31" s="4">
        <v>2161.66</v>
      </c>
      <c r="E31" s="5">
        <v>7.04</v>
      </c>
      <c r="F31" s="5">
        <v>161.85</v>
      </c>
      <c r="G31" s="5">
        <v>0</v>
      </c>
      <c r="H31" s="5">
        <v>1992.77</v>
      </c>
      <c r="I31" s="5">
        <v>1992.77</v>
      </c>
      <c r="J31" s="5">
        <v>0</v>
      </c>
      <c r="K31" s="5">
        <v>0</v>
      </c>
      <c r="L31" s="5" t="s">
        <v>9</v>
      </c>
      <c r="M31" s="2">
        <v>2016</v>
      </c>
      <c r="N31" s="2" t="s">
        <v>8</v>
      </c>
    </row>
    <row r="32" spans="1:14" x14ac:dyDescent="0.2">
      <c r="A32" s="3">
        <v>42477</v>
      </c>
      <c r="B32" s="4">
        <f t="shared" si="1"/>
        <v>4</v>
      </c>
      <c r="C32" s="2">
        <v>1.22</v>
      </c>
      <c r="D32" s="4">
        <v>86433.63</v>
      </c>
      <c r="E32" s="5">
        <v>898.63</v>
      </c>
      <c r="F32" s="5">
        <v>70042.600000000006</v>
      </c>
      <c r="G32" s="5">
        <v>25</v>
      </c>
      <c r="H32" s="5">
        <v>15467.4</v>
      </c>
      <c r="I32" s="5">
        <v>14642.65</v>
      </c>
      <c r="J32" s="5">
        <v>712.25</v>
      </c>
      <c r="K32" s="5">
        <v>112.5</v>
      </c>
      <c r="L32" s="5" t="s">
        <v>7</v>
      </c>
      <c r="M32" s="2">
        <v>2016</v>
      </c>
      <c r="N32" s="2" t="s">
        <v>8</v>
      </c>
    </row>
    <row r="33" spans="1:14" x14ac:dyDescent="0.2">
      <c r="A33" s="3">
        <v>42477</v>
      </c>
      <c r="B33" s="4">
        <f t="shared" si="1"/>
        <v>4</v>
      </c>
      <c r="C33" s="2">
        <v>1.82</v>
      </c>
      <c r="D33" s="4">
        <v>2058.73</v>
      </c>
      <c r="E33" s="5">
        <v>0</v>
      </c>
      <c r="F33" s="5">
        <v>374.18</v>
      </c>
      <c r="G33" s="5">
        <v>0</v>
      </c>
      <c r="H33" s="5">
        <v>1684.55</v>
      </c>
      <c r="I33" s="5">
        <v>1684.55</v>
      </c>
      <c r="J33" s="5">
        <v>0</v>
      </c>
      <c r="K33" s="5">
        <v>0</v>
      </c>
      <c r="L33" s="5" t="s">
        <v>9</v>
      </c>
      <c r="M33" s="2">
        <v>2016</v>
      </c>
      <c r="N33" s="2" t="s">
        <v>8</v>
      </c>
    </row>
    <row r="34" spans="1:14" x14ac:dyDescent="0.2">
      <c r="A34" s="3">
        <v>42484</v>
      </c>
      <c r="B34" s="4">
        <f t="shared" si="1"/>
        <v>4</v>
      </c>
      <c r="C34" s="2">
        <v>1.18</v>
      </c>
      <c r="D34" s="4">
        <v>102490.2</v>
      </c>
      <c r="E34" s="5">
        <v>954.6</v>
      </c>
      <c r="F34" s="5">
        <v>87571.23</v>
      </c>
      <c r="G34" s="5">
        <v>43.15</v>
      </c>
      <c r="H34" s="5">
        <v>13921.22</v>
      </c>
      <c r="I34" s="5">
        <v>13463.97</v>
      </c>
      <c r="J34" s="5">
        <v>337.81</v>
      </c>
      <c r="K34" s="5">
        <v>119.44</v>
      </c>
      <c r="L34" s="5" t="s">
        <v>7</v>
      </c>
      <c r="M34" s="2">
        <v>2016</v>
      </c>
      <c r="N34" s="2" t="s">
        <v>8</v>
      </c>
    </row>
    <row r="35" spans="1:14" x14ac:dyDescent="0.2">
      <c r="A35" s="3">
        <v>42484</v>
      </c>
      <c r="B35" s="4">
        <f t="shared" si="1"/>
        <v>4</v>
      </c>
      <c r="C35" s="2">
        <v>1.77</v>
      </c>
      <c r="D35" s="4">
        <v>2328.8200000000002</v>
      </c>
      <c r="E35" s="5">
        <v>19.940000000000001</v>
      </c>
      <c r="F35" s="5">
        <v>430.39</v>
      </c>
      <c r="G35" s="5">
        <v>0</v>
      </c>
      <c r="H35" s="5">
        <v>1878.49</v>
      </c>
      <c r="I35" s="5">
        <v>1878.49</v>
      </c>
      <c r="J35" s="5">
        <v>0</v>
      </c>
      <c r="K35" s="5">
        <v>0</v>
      </c>
      <c r="L35" s="5" t="s">
        <v>9</v>
      </c>
      <c r="M35" s="2">
        <v>2016</v>
      </c>
      <c r="N35" s="2" t="s">
        <v>8</v>
      </c>
    </row>
    <row r="36" spans="1:14" x14ac:dyDescent="0.2">
      <c r="A36" s="3">
        <v>42491</v>
      </c>
      <c r="B36" s="4">
        <f t="shared" si="1"/>
        <v>5</v>
      </c>
      <c r="C36" s="2">
        <v>1.03</v>
      </c>
      <c r="D36" s="4">
        <v>173781.78</v>
      </c>
      <c r="E36" s="5">
        <v>884.01</v>
      </c>
      <c r="F36" s="5">
        <v>163570.47</v>
      </c>
      <c r="G36" s="5">
        <v>37.840000000000003</v>
      </c>
      <c r="H36" s="5">
        <v>9289.4599999999991</v>
      </c>
      <c r="I36" s="5">
        <v>8918.99</v>
      </c>
      <c r="J36" s="5">
        <v>321.86</v>
      </c>
      <c r="K36" s="5">
        <v>48.61</v>
      </c>
      <c r="L36" s="5" t="s">
        <v>7</v>
      </c>
      <c r="M36" s="2">
        <v>2016</v>
      </c>
      <c r="N36" s="2" t="s">
        <v>8</v>
      </c>
    </row>
    <row r="37" spans="1:14" x14ac:dyDescent="0.2">
      <c r="A37" s="3">
        <v>42491</v>
      </c>
      <c r="B37" s="4">
        <f t="shared" si="1"/>
        <v>5</v>
      </c>
      <c r="C37" s="2">
        <v>1.78</v>
      </c>
      <c r="D37" s="4">
        <v>1604</v>
      </c>
      <c r="E37" s="5">
        <v>5.86</v>
      </c>
      <c r="F37" s="5">
        <v>240.42</v>
      </c>
      <c r="G37" s="5">
        <v>0</v>
      </c>
      <c r="H37" s="5">
        <v>1357.72</v>
      </c>
      <c r="I37" s="5">
        <v>1357.72</v>
      </c>
      <c r="J37" s="5">
        <v>0</v>
      </c>
      <c r="K37" s="5">
        <v>0</v>
      </c>
      <c r="L37" s="5" t="s">
        <v>9</v>
      </c>
      <c r="M37" s="2">
        <v>2016</v>
      </c>
      <c r="N37" s="2" t="s">
        <v>8</v>
      </c>
    </row>
    <row r="38" spans="1:14" x14ac:dyDescent="0.2">
      <c r="A38" s="3">
        <v>42498</v>
      </c>
      <c r="B38" s="4">
        <f t="shared" si="1"/>
        <v>5</v>
      </c>
      <c r="C38" s="2">
        <v>1.27</v>
      </c>
      <c r="D38" s="4">
        <v>120194.49</v>
      </c>
      <c r="E38" s="5">
        <v>1041.95</v>
      </c>
      <c r="F38" s="5">
        <v>96137.78</v>
      </c>
      <c r="G38" s="5">
        <v>84.8</v>
      </c>
      <c r="H38" s="5">
        <v>22929.96</v>
      </c>
      <c r="I38" s="5">
        <v>22697.54</v>
      </c>
      <c r="J38" s="5">
        <v>232.42</v>
      </c>
      <c r="K38" s="5">
        <v>0</v>
      </c>
      <c r="L38" s="5" t="s">
        <v>7</v>
      </c>
      <c r="M38" s="2">
        <v>2016</v>
      </c>
      <c r="N38" s="2" t="s">
        <v>8</v>
      </c>
    </row>
    <row r="39" spans="1:14" x14ac:dyDescent="0.2">
      <c r="A39" s="3">
        <v>42498</v>
      </c>
      <c r="B39" s="4">
        <f t="shared" si="1"/>
        <v>5</v>
      </c>
      <c r="C39" s="2">
        <v>1.83</v>
      </c>
      <c r="D39" s="4">
        <v>2103.64</v>
      </c>
      <c r="E39" s="5">
        <v>0</v>
      </c>
      <c r="F39" s="5">
        <v>536.20000000000005</v>
      </c>
      <c r="G39" s="5">
        <v>0</v>
      </c>
      <c r="H39" s="5">
        <v>1567.44</v>
      </c>
      <c r="I39" s="5">
        <v>1567.44</v>
      </c>
      <c r="J39" s="5">
        <v>0</v>
      </c>
      <c r="K39" s="5">
        <v>0</v>
      </c>
      <c r="L39" s="5" t="s">
        <v>9</v>
      </c>
      <c r="M39" s="2">
        <v>2016</v>
      </c>
      <c r="N39" s="2" t="s">
        <v>8</v>
      </c>
    </row>
    <row r="40" spans="1:14" x14ac:dyDescent="0.2">
      <c r="A40" s="3">
        <v>42505</v>
      </c>
      <c r="B40" s="4">
        <f t="shared" si="1"/>
        <v>5</v>
      </c>
      <c r="C40" s="2">
        <v>1.36</v>
      </c>
      <c r="D40" s="4">
        <v>96924.19</v>
      </c>
      <c r="E40" s="5">
        <v>901.65</v>
      </c>
      <c r="F40" s="5">
        <v>75847.91</v>
      </c>
      <c r="G40" s="5">
        <v>82.97</v>
      </c>
      <c r="H40" s="5">
        <v>20091.66</v>
      </c>
      <c r="I40" s="5">
        <v>19802.87</v>
      </c>
      <c r="J40" s="5">
        <v>288.79000000000002</v>
      </c>
      <c r="K40" s="5">
        <v>0</v>
      </c>
      <c r="L40" s="5" t="s">
        <v>7</v>
      </c>
      <c r="M40" s="2">
        <v>2016</v>
      </c>
      <c r="N40" s="2" t="s">
        <v>8</v>
      </c>
    </row>
    <row r="41" spans="1:14" x14ac:dyDescent="0.2">
      <c r="A41" s="3">
        <v>42505</v>
      </c>
      <c r="B41" s="4">
        <f t="shared" si="1"/>
        <v>5</v>
      </c>
      <c r="C41" s="2">
        <v>1.59</v>
      </c>
      <c r="D41" s="4">
        <v>1259.8599999999999</v>
      </c>
      <c r="E41" s="5">
        <v>17.399999999999999</v>
      </c>
      <c r="F41" s="5">
        <v>367.82</v>
      </c>
      <c r="G41" s="5">
        <v>0</v>
      </c>
      <c r="H41" s="5">
        <v>874.64</v>
      </c>
      <c r="I41" s="5">
        <v>874.64</v>
      </c>
      <c r="J41" s="5">
        <v>0</v>
      </c>
      <c r="K41" s="5">
        <v>0</v>
      </c>
      <c r="L41" s="5" t="s">
        <v>9</v>
      </c>
      <c r="M41" s="2">
        <v>2016</v>
      </c>
      <c r="N41" s="2" t="s">
        <v>8</v>
      </c>
    </row>
    <row r="42" spans="1:14" x14ac:dyDescent="0.2">
      <c r="A42" s="3">
        <v>42512</v>
      </c>
      <c r="B42" s="4">
        <f t="shared" si="1"/>
        <v>5</v>
      </c>
      <c r="C42" s="2">
        <v>1.34</v>
      </c>
      <c r="D42" s="4">
        <v>98863.64</v>
      </c>
      <c r="E42" s="5">
        <v>929.07</v>
      </c>
      <c r="F42" s="5">
        <v>74678.36</v>
      </c>
      <c r="G42" s="5">
        <v>59.07</v>
      </c>
      <c r="H42" s="5">
        <v>23197.14</v>
      </c>
      <c r="I42" s="5">
        <v>22571.49</v>
      </c>
      <c r="J42" s="5">
        <v>20.65</v>
      </c>
      <c r="K42" s="5">
        <v>605</v>
      </c>
      <c r="L42" s="5" t="s">
        <v>7</v>
      </c>
      <c r="M42" s="2">
        <v>2016</v>
      </c>
      <c r="N42" s="2" t="s">
        <v>8</v>
      </c>
    </row>
    <row r="43" spans="1:14" x14ac:dyDescent="0.2">
      <c r="A43" s="3">
        <v>42512</v>
      </c>
      <c r="B43" s="4">
        <f t="shared" si="1"/>
        <v>5</v>
      </c>
      <c r="C43" s="2">
        <v>1.55</v>
      </c>
      <c r="D43" s="4">
        <v>1193.06</v>
      </c>
      <c r="E43" s="5">
        <v>26.72</v>
      </c>
      <c r="F43" s="5">
        <v>346.19</v>
      </c>
      <c r="G43" s="5">
        <v>0</v>
      </c>
      <c r="H43" s="5">
        <v>820.15</v>
      </c>
      <c r="I43" s="5">
        <v>820.15</v>
      </c>
      <c r="J43" s="5">
        <v>0</v>
      </c>
      <c r="K43" s="5">
        <v>0</v>
      </c>
      <c r="L43" s="5" t="s">
        <v>9</v>
      </c>
      <c r="M43" s="2">
        <v>2016</v>
      </c>
      <c r="N43" s="2" t="s">
        <v>8</v>
      </c>
    </row>
    <row r="44" spans="1:14" x14ac:dyDescent="0.2">
      <c r="A44" s="3">
        <v>42519</v>
      </c>
      <c r="B44" s="4">
        <f t="shared" si="1"/>
        <v>5</v>
      </c>
      <c r="C44" s="2">
        <v>1.49</v>
      </c>
      <c r="D44" s="4">
        <v>127812.25</v>
      </c>
      <c r="E44" s="5">
        <v>2580.77</v>
      </c>
      <c r="F44" s="5">
        <v>104876.94</v>
      </c>
      <c r="G44" s="5">
        <v>103.64</v>
      </c>
      <c r="H44" s="5">
        <v>20250.900000000001</v>
      </c>
      <c r="I44" s="5">
        <v>19519.919999999998</v>
      </c>
      <c r="J44" s="5">
        <v>180.98</v>
      </c>
      <c r="K44" s="5">
        <v>550</v>
      </c>
      <c r="L44" s="5" t="s">
        <v>7</v>
      </c>
      <c r="M44" s="2">
        <v>2016</v>
      </c>
      <c r="N44" s="2" t="s">
        <v>8</v>
      </c>
    </row>
    <row r="45" spans="1:14" x14ac:dyDescent="0.2">
      <c r="A45" s="3">
        <v>42519</v>
      </c>
      <c r="B45" s="4">
        <f t="shared" si="1"/>
        <v>5</v>
      </c>
      <c r="C45" s="2">
        <v>1.49</v>
      </c>
      <c r="D45" s="4">
        <v>1117.44</v>
      </c>
      <c r="E45" s="5">
        <v>5.82</v>
      </c>
      <c r="F45" s="5">
        <v>218.73</v>
      </c>
      <c r="G45" s="5">
        <v>0</v>
      </c>
      <c r="H45" s="5">
        <v>892.89</v>
      </c>
      <c r="I45" s="5">
        <v>892.89</v>
      </c>
      <c r="J45" s="5">
        <v>0</v>
      </c>
      <c r="K45" s="5">
        <v>0</v>
      </c>
      <c r="L45" s="5" t="s">
        <v>9</v>
      </c>
      <c r="M45" s="2">
        <v>2016</v>
      </c>
      <c r="N45" s="2" t="s">
        <v>8</v>
      </c>
    </row>
    <row r="46" spans="1:14" x14ac:dyDescent="0.2">
      <c r="A46" s="3">
        <v>42526</v>
      </c>
      <c r="B46" s="4">
        <f t="shared" si="1"/>
        <v>6</v>
      </c>
      <c r="C46" s="2">
        <v>1.47</v>
      </c>
      <c r="D46" s="4">
        <v>115857.12</v>
      </c>
      <c r="E46" s="5">
        <v>4288.46</v>
      </c>
      <c r="F46" s="5">
        <v>92055.75</v>
      </c>
      <c r="G46" s="5">
        <v>53.98</v>
      </c>
      <c r="H46" s="5">
        <v>19458.93</v>
      </c>
      <c r="I46" s="5">
        <v>17385.599999999999</v>
      </c>
      <c r="J46" s="5">
        <v>398.33</v>
      </c>
      <c r="K46" s="5">
        <v>1675</v>
      </c>
      <c r="L46" s="5" t="s">
        <v>7</v>
      </c>
      <c r="M46" s="2">
        <v>2016</v>
      </c>
      <c r="N46" s="2" t="s">
        <v>8</v>
      </c>
    </row>
    <row r="47" spans="1:14" x14ac:dyDescent="0.2">
      <c r="A47" s="3">
        <v>42526</v>
      </c>
      <c r="B47" s="4">
        <f t="shared" si="1"/>
        <v>6</v>
      </c>
      <c r="C47" s="2">
        <v>1.47</v>
      </c>
      <c r="D47" s="4">
        <v>1007.03</v>
      </c>
      <c r="E47" s="5">
        <v>2.33</v>
      </c>
      <c r="F47" s="5">
        <v>203.69</v>
      </c>
      <c r="G47" s="5">
        <v>0</v>
      </c>
      <c r="H47" s="5">
        <v>801.01</v>
      </c>
      <c r="I47" s="5">
        <v>801.01</v>
      </c>
      <c r="J47" s="5">
        <v>0</v>
      </c>
      <c r="K47" s="5">
        <v>0</v>
      </c>
      <c r="L47" s="5" t="s">
        <v>9</v>
      </c>
      <c r="M47" s="2">
        <v>2016</v>
      </c>
      <c r="N47" s="2" t="s">
        <v>8</v>
      </c>
    </row>
    <row r="48" spans="1:14" x14ac:dyDescent="0.2">
      <c r="A48" s="3">
        <v>42533</v>
      </c>
      <c r="B48" s="4">
        <f t="shared" si="1"/>
        <v>6</v>
      </c>
      <c r="C48" s="2">
        <v>1.38</v>
      </c>
      <c r="D48" s="4">
        <v>111394.5</v>
      </c>
      <c r="E48" s="5">
        <v>7531.24</v>
      </c>
      <c r="F48" s="5">
        <v>83771.34</v>
      </c>
      <c r="G48" s="5">
        <v>81.25</v>
      </c>
      <c r="H48" s="5">
        <v>20010.669999999998</v>
      </c>
      <c r="I48" s="5">
        <v>18368.490000000002</v>
      </c>
      <c r="J48" s="5">
        <v>282.18</v>
      </c>
      <c r="K48" s="5">
        <v>1360</v>
      </c>
      <c r="L48" s="5" t="s">
        <v>7</v>
      </c>
      <c r="M48" s="2">
        <v>2016</v>
      </c>
      <c r="N48" s="2" t="s">
        <v>8</v>
      </c>
    </row>
    <row r="49" spans="1:14" x14ac:dyDescent="0.2">
      <c r="A49" s="3">
        <v>42533</v>
      </c>
      <c r="B49" s="4">
        <f t="shared" si="1"/>
        <v>6</v>
      </c>
      <c r="C49" s="2">
        <v>1.43</v>
      </c>
      <c r="D49" s="4">
        <v>887.29</v>
      </c>
      <c r="E49" s="5">
        <v>4.66</v>
      </c>
      <c r="F49" s="5">
        <v>150.28</v>
      </c>
      <c r="G49" s="5">
        <v>0</v>
      </c>
      <c r="H49" s="5">
        <v>732.35</v>
      </c>
      <c r="I49" s="5">
        <v>732.35</v>
      </c>
      <c r="J49" s="5">
        <v>0</v>
      </c>
      <c r="K49" s="5">
        <v>0</v>
      </c>
      <c r="L49" s="5" t="s">
        <v>9</v>
      </c>
      <c r="M49" s="2">
        <v>2016</v>
      </c>
      <c r="N49" s="2" t="s">
        <v>8</v>
      </c>
    </row>
    <row r="50" spans="1:14" x14ac:dyDescent="0.2">
      <c r="A50" s="3">
        <v>42540</v>
      </c>
      <c r="B50" s="4">
        <f t="shared" si="1"/>
        <v>6</v>
      </c>
      <c r="C50" s="2">
        <v>1.42</v>
      </c>
      <c r="D50" s="4">
        <v>112817.51</v>
      </c>
      <c r="E50" s="5">
        <v>6766.63</v>
      </c>
      <c r="F50" s="5">
        <v>85374.27</v>
      </c>
      <c r="G50" s="5">
        <v>30.07</v>
      </c>
      <c r="H50" s="5">
        <v>20646.54</v>
      </c>
      <c r="I50" s="5">
        <v>18526.59</v>
      </c>
      <c r="J50" s="5">
        <v>389.95</v>
      </c>
      <c r="K50" s="5">
        <v>1730</v>
      </c>
      <c r="L50" s="5" t="s">
        <v>7</v>
      </c>
      <c r="M50" s="2">
        <v>2016</v>
      </c>
      <c r="N50" s="2" t="s">
        <v>8</v>
      </c>
    </row>
    <row r="51" spans="1:14" x14ac:dyDescent="0.2">
      <c r="A51" s="3">
        <v>42540</v>
      </c>
      <c r="B51" s="4">
        <f t="shared" si="1"/>
        <v>6</v>
      </c>
      <c r="C51" s="2">
        <v>1.45</v>
      </c>
      <c r="D51" s="4">
        <v>974.27</v>
      </c>
      <c r="E51" s="5">
        <v>10.6</v>
      </c>
      <c r="F51" s="5">
        <v>149.57</v>
      </c>
      <c r="G51" s="5">
        <v>0</v>
      </c>
      <c r="H51" s="5">
        <v>814.1</v>
      </c>
      <c r="I51" s="5">
        <v>814.1</v>
      </c>
      <c r="J51" s="5">
        <v>0</v>
      </c>
      <c r="K51" s="5">
        <v>0</v>
      </c>
      <c r="L51" s="5" t="s">
        <v>9</v>
      </c>
      <c r="M51" s="2">
        <v>2016</v>
      </c>
      <c r="N51" s="2" t="s">
        <v>8</v>
      </c>
    </row>
    <row r="52" spans="1:14" x14ac:dyDescent="0.2">
      <c r="A52" s="3">
        <v>42547</v>
      </c>
      <c r="B52" s="4">
        <f t="shared" si="1"/>
        <v>6</v>
      </c>
      <c r="C52" s="2">
        <v>1.5</v>
      </c>
      <c r="D52" s="4">
        <v>133086.66</v>
      </c>
      <c r="E52" s="5">
        <v>7923.01</v>
      </c>
      <c r="F52" s="5">
        <v>106656.84</v>
      </c>
      <c r="G52" s="5">
        <v>37.42</v>
      </c>
      <c r="H52" s="5">
        <v>18469.39</v>
      </c>
      <c r="I52" s="5">
        <v>16479.75</v>
      </c>
      <c r="J52" s="5">
        <v>419.64</v>
      </c>
      <c r="K52" s="5">
        <v>1570</v>
      </c>
      <c r="L52" s="5" t="s">
        <v>7</v>
      </c>
      <c r="M52" s="2">
        <v>2016</v>
      </c>
      <c r="N52" s="2" t="s">
        <v>8</v>
      </c>
    </row>
    <row r="53" spans="1:14" x14ac:dyDescent="0.2">
      <c r="A53" s="3">
        <v>42547</v>
      </c>
      <c r="B53" s="4">
        <f t="shared" si="1"/>
        <v>6</v>
      </c>
      <c r="C53" s="2">
        <v>1.53</v>
      </c>
      <c r="D53" s="4">
        <v>1922.75</v>
      </c>
      <c r="E53" s="5">
        <v>0</v>
      </c>
      <c r="F53" s="5">
        <v>162.87</v>
      </c>
      <c r="G53" s="5">
        <v>0</v>
      </c>
      <c r="H53" s="5">
        <v>1759.88</v>
      </c>
      <c r="I53" s="5">
        <v>1759.88</v>
      </c>
      <c r="J53" s="5">
        <v>0</v>
      </c>
      <c r="K53" s="5">
        <v>0</v>
      </c>
      <c r="L53" s="5" t="s">
        <v>9</v>
      </c>
      <c r="M53" s="2">
        <v>2016</v>
      </c>
      <c r="N53" s="2" t="s">
        <v>8</v>
      </c>
    </row>
    <row r="54" spans="1:14" x14ac:dyDescent="0.2">
      <c r="A54" s="3">
        <v>42554</v>
      </c>
      <c r="B54" s="4">
        <f t="shared" si="1"/>
        <v>7</v>
      </c>
      <c r="C54" s="2">
        <v>1.42</v>
      </c>
      <c r="D54" s="4">
        <v>115907.61</v>
      </c>
      <c r="E54" s="5">
        <v>8373.77</v>
      </c>
      <c r="F54" s="5">
        <v>82122.039999999994</v>
      </c>
      <c r="G54" s="5">
        <v>146.83000000000001</v>
      </c>
      <c r="H54" s="5">
        <v>25264.97</v>
      </c>
      <c r="I54" s="5">
        <v>21872.639999999999</v>
      </c>
      <c r="J54" s="5">
        <v>492.33</v>
      </c>
      <c r="K54" s="5">
        <v>2900</v>
      </c>
      <c r="L54" s="5" t="s">
        <v>7</v>
      </c>
      <c r="M54" s="2">
        <v>2016</v>
      </c>
      <c r="N54" s="2" t="s">
        <v>8</v>
      </c>
    </row>
    <row r="55" spans="1:14" x14ac:dyDescent="0.2">
      <c r="A55" s="3">
        <v>42554</v>
      </c>
      <c r="B55" s="4">
        <f t="shared" si="1"/>
        <v>7</v>
      </c>
      <c r="C55" s="2">
        <v>1.43</v>
      </c>
      <c r="D55" s="4">
        <v>3529.44</v>
      </c>
      <c r="E55" s="5">
        <v>11.65</v>
      </c>
      <c r="F55" s="5">
        <v>261.39</v>
      </c>
      <c r="G55" s="5">
        <v>0</v>
      </c>
      <c r="H55" s="5">
        <v>3256.4</v>
      </c>
      <c r="I55" s="5">
        <v>3256.4</v>
      </c>
      <c r="J55" s="5">
        <v>0</v>
      </c>
      <c r="K55" s="5">
        <v>0</v>
      </c>
      <c r="L55" s="5" t="s">
        <v>9</v>
      </c>
      <c r="M55" s="2">
        <v>2016</v>
      </c>
      <c r="N55" s="2" t="s">
        <v>8</v>
      </c>
    </row>
    <row r="56" spans="1:14" x14ac:dyDescent="0.2">
      <c r="A56" s="3">
        <v>42561</v>
      </c>
      <c r="B56" s="4">
        <f t="shared" si="1"/>
        <v>7</v>
      </c>
      <c r="C56" s="2">
        <v>1.1100000000000001</v>
      </c>
      <c r="D56" s="4">
        <v>131630.13</v>
      </c>
      <c r="E56" s="5">
        <v>20970.240000000002</v>
      </c>
      <c r="F56" s="5">
        <v>96581.82</v>
      </c>
      <c r="G56" s="5">
        <v>46.49</v>
      </c>
      <c r="H56" s="5">
        <v>14031.58</v>
      </c>
      <c r="I56" s="5">
        <v>10876</v>
      </c>
      <c r="J56" s="5">
        <v>470.58</v>
      </c>
      <c r="K56" s="5">
        <v>2685</v>
      </c>
      <c r="L56" s="5" t="s">
        <v>7</v>
      </c>
      <c r="M56" s="2">
        <v>2016</v>
      </c>
      <c r="N56" s="2" t="s">
        <v>8</v>
      </c>
    </row>
    <row r="57" spans="1:14" x14ac:dyDescent="0.2">
      <c r="A57" s="3">
        <v>42561</v>
      </c>
      <c r="B57" s="4">
        <f t="shared" si="1"/>
        <v>7</v>
      </c>
      <c r="C57" s="2">
        <v>1.58</v>
      </c>
      <c r="D57" s="4">
        <v>2173.1999999999998</v>
      </c>
      <c r="E57" s="5">
        <v>31.76</v>
      </c>
      <c r="F57" s="5">
        <v>113.57</v>
      </c>
      <c r="G57" s="5">
        <v>0</v>
      </c>
      <c r="H57" s="5">
        <v>2027.87</v>
      </c>
      <c r="I57" s="5">
        <v>2027.87</v>
      </c>
      <c r="J57" s="5">
        <v>0</v>
      </c>
      <c r="K57" s="5">
        <v>0</v>
      </c>
      <c r="L57" s="5" t="s">
        <v>9</v>
      </c>
      <c r="M57" s="2">
        <v>2016</v>
      </c>
      <c r="N57" s="2" t="s">
        <v>8</v>
      </c>
    </row>
    <row r="58" spans="1:14" x14ac:dyDescent="0.2">
      <c r="A58" s="3">
        <v>42568</v>
      </c>
      <c r="B58" s="4">
        <f t="shared" si="1"/>
        <v>7</v>
      </c>
      <c r="C58" s="2">
        <v>1.31</v>
      </c>
      <c r="D58" s="4">
        <v>89228.02</v>
      </c>
      <c r="E58" s="5">
        <v>9273.69</v>
      </c>
      <c r="F58" s="5">
        <v>64260.69</v>
      </c>
      <c r="G58" s="5">
        <v>80.069999999999993</v>
      </c>
      <c r="H58" s="5">
        <v>15613.57</v>
      </c>
      <c r="I58" s="5">
        <v>13439.76</v>
      </c>
      <c r="J58" s="5">
        <v>688.81</v>
      </c>
      <c r="K58" s="5">
        <v>1485</v>
      </c>
      <c r="L58" s="5" t="s">
        <v>7</v>
      </c>
      <c r="M58" s="2">
        <v>2016</v>
      </c>
      <c r="N58" s="2" t="s">
        <v>8</v>
      </c>
    </row>
    <row r="59" spans="1:14" x14ac:dyDescent="0.2">
      <c r="A59" s="3">
        <v>42568</v>
      </c>
      <c r="B59" s="4">
        <f t="shared" si="1"/>
        <v>7</v>
      </c>
      <c r="C59" s="2">
        <v>1.57</v>
      </c>
      <c r="D59" s="4">
        <v>2399.7399999999998</v>
      </c>
      <c r="E59" s="5">
        <v>16.559999999999999</v>
      </c>
      <c r="F59" s="5">
        <v>201.12</v>
      </c>
      <c r="G59" s="5">
        <v>0</v>
      </c>
      <c r="H59" s="5">
        <v>2182.06</v>
      </c>
      <c r="I59" s="5">
        <v>2182.06</v>
      </c>
      <c r="J59" s="5">
        <v>0</v>
      </c>
      <c r="K59" s="5">
        <v>0</v>
      </c>
      <c r="L59" s="5" t="s">
        <v>9</v>
      </c>
      <c r="M59" s="2">
        <v>2016</v>
      </c>
      <c r="N59" s="2" t="s">
        <v>8</v>
      </c>
    </row>
    <row r="60" spans="1:14" x14ac:dyDescent="0.2">
      <c r="A60" s="3">
        <v>42575</v>
      </c>
      <c r="B60" s="4">
        <f t="shared" si="1"/>
        <v>7</v>
      </c>
      <c r="C60" s="2">
        <v>1.46</v>
      </c>
      <c r="D60" s="4">
        <v>98321.14</v>
      </c>
      <c r="E60" s="5">
        <v>11580.64</v>
      </c>
      <c r="F60" s="5">
        <v>65195.63</v>
      </c>
      <c r="G60" s="5">
        <v>13.73</v>
      </c>
      <c r="H60" s="5">
        <v>21531.14</v>
      </c>
      <c r="I60" s="5">
        <v>18639.29</v>
      </c>
      <c r="J60" s="5">
        <v>241.85</v>
      </c>
      <c r="K60" s="5">
        <v>2650</v>
      </c>
      <c r="L60" s="5" t="s">
        <v>7</v>
      </c>
      <c r="M60" s="2">
        <v>2016</v>
      </c>
      <c r="N60" s="2" t="s">
        <v>8</v>
      </c>
    </row>
    <row r="61" spans="1:14" x14ac:dyDescent="0.2">
      <c r="A61" s="3">
        <v>42575</v>
      </c>
      <c r="B61" s="4">
        <f t="shared" si="1"/>
        <v>7</v>
      </c>
      <c r="C61" s="2">
        <v>1.42</v>
      </c>
      <c r="D61" s="4">
        <v>1811.44</v>
      </c>
      <c r="E61" s="5">
        <v>23.66</v>
      </c>
      <c r="F61" s="5">
        <v>175.08</v>
      </c>
      <c r="G61" s="5">
        <v>0</v>
      </c>
      <c r="H61" s="5">
        <v>1612.7</v>
      </c>
      <c r="I61" s="5">
        <v>1612.7</v>
      </c>
      <c r="J61" s="5">
        <v>0</v>
      </c>
      <c r="K61" s="5">
        <v>0</v>
      </c>
      <c r="L61" s="5" t="s">
        <v>9</v>
      </c>
      <c r="M61" s="2">
        <v>2016</v>
      </c>
      <c r="N61" s="2" t="s">
        <v>8</v>
      </c>
    </row>
    <row r="62" spans="1:14" x14ac:dyDescent="0.2">
      <c r="A62" s="3">
        <v>42582</v>
      </c>
      <c r="B62" s="4">
        <f t="shared" si="1"/>
        <v>7</v>
      </c>
      <c r="C62" s="2">
        <v>1.61</v>
      </c>
      <c r="D62" s="4">
        <v>125586.57</v>
      </c>
      <c r="E62" s="5">
        <v>9293.65</v>
      </c>
      <c r="F62" s="5">
        <v>96915.41</v>
      </c>
      <c r="G62" s="5">
        <v>25.46</v>
      </c>
      <c r="H62" s="5">
        <v>19352.05</v>
      </c>
      <c r="I62" s="5">
        <v>18803.23</v>
      </c>
      <c r="J62" s="5">
        <v>78.819999999999993</v>
      </c>
      <c r="K62" s="5">
        <v>470</v>
      </c>
      <c r="L62" s="5" t="s">
        <v>7</v>
      </c>
      <c r="M62" s="2">
        <v>2016</v>
      </c>
      <c r="N62" s="2" t="s">
        <v>8</v>
      </c>
    </row>
    <row r="63" spans="1:14" x14ac:dyDescent="0.2">
      <c r="A63" s="3">
        <v>42582</v>
      </c>
      <c r="B63" s="4">
        <f t="shared" si="1"/>
        <v>7</v>
      </c>
      <c r="C63" s="2">
        <v>1.43</v>
      </c>
      <c r="D63" s="4">
        <v>1553.42</v>
      </c>
      <c r="E63" s="5">
        <v>29.56</v>
      </c>
      <c r="F63" s="5">
        <v>204.54</v>
      </c>
      <c r="G63" s="5">
        <v>0</v>
      </c>
      <c r="H63" s="5">
        <v>1319.32</v>
      </c>
      <c r="I63" s="5">
        <v>1319.32</v>
      </c>
      <c r="J63" s="5">
        <v>0</v>
      </c>
      <c r="K63" s="5">
        <v>0</v>
      </c>
      <c r="L63" s="5" t="s">
        <v>9</v>
      </c>
      <c r="M63" s="2">
        <v>2016</v>
      </c>
      <c r="N63" s="2" t="s">
        <v>8</v>
      </c>
    </row>
    <row r="64" spans="1:14" x14ac:dyDescent="0.2">
      <c r="A64" s="3">
        <v>42589</v>
      </c>
      <c r="B64" s="4">
        <f t="shared" si="1"/>
        <v>8</v>
      </c>
      <c r="C64" s="2">
        <v>1.48</v>
      </c>
      <c r="D64" s="4">
        <v>99683.11</v>
      </c>
      <c r="E64" s="5">
        <v>14670.87</v>
      </c>
      <c r="F64" s="5">
        <v>69054.28</v>
      </c>
      <c r="G64" s="5">
        <v>10.9</v>
      </c>
      <c r="H64" s="5">
        <v>15947.06</v>
      </c>
      <c r="I64" s="5">
        <v>14597.2</v>
      </c>
      <c r="J64" s="5">
        <v>178.19</v>
      </c>
      <c r="K64" s="5">
        <v>1171.67</v>
      </c>
      <c r="L64" s="5" t="s">
        <v>7</v>
      </c>
      <c r="M64" s="2">
        <v>2016</v>
      </c>
      <c r="N64" s="2" t="s">
        <v>8</v>
      </c>
    </row>
    <row r="65" spans="1:14" x14ac:dyDescent="0.2">
      <c r="A65" s="3">
        <v>42589</v>
      </c>
      <c r="B65" s="4">
        <f t="shared" si="1"/>
        <v>8</v>
      </c>
      <c r="C65" s="2">
        <v>1.67</v>
      </c>
      <c r="D65" s="4">
        <v>1545.79</v>
      </c>
      <c r="E65" s="5">
        <v>54.24</v>
      </c>
      <c r="F65" s="5">
        <v>206.36</v>
      </c>
      <c r="G65" s="5">
        <v>0</v>
      </c>
      <c r="H65" s="5">
        <v>1285.19</v>
      </c>
      <c r="I65" s="5">
        <v>1285.19</v>
      </c>
      <c r="J65" s="5">
        <v>0</v>
      </c>
      <c r="K65" s="5">
        <v>0</v>
      </c>
      <c r="L65" s="5" t="s">
        <v>9</v>
      </c>
      <c r="M65" s="2">
        <v>2016</v>
      </c>
      <c r="N65" s="2" t="s">
        <v>8</v>
      </c>
    </row>
    <row r="66" spans="1:14" x14ac:dyDescent="0.2">
      <c r="A66" s="3">
        <v>42596</v>
      </c>
      <c r="B66" s="4">
        <f t="shared" si="1"/>
        <v>8</v>
      </c>
      <c r="C66" s="2">
        <v>1.2</v>
      </c>
      <c r="D66" s="4">
        <v>110528.09</v>
      </c>
      <c r="E66" s="5">
        <v>24000.62</v>
      </c>
      <c r="F66" s="5">
        <v>72970.23</v>
      </c>
      <c r="G66" s="5">
        <v>26.76</v>
      </c>
      <c r="H66" s="5">
        <v>13530.48</v>
      </c>
      <c r="I66" s="5">
        <v>12434.82</v>
      </c>
      <c r="J66" s="5">
        <v>350.1</v>
      </c>
      <c r="K66" s="5">
        <v>745.56</v>
      </c>
      <c r="L66" s="5" t="s">
        <v>7</v>
      </c>
      <c r="M66" s="2">
        <v>2016</v>
      </c>
      <c r="N66" s="2" t="s">
        <v>8</v>
      </c>
    </row>
    <row r="67" spans="1:14" x14ac:dyDescent="0.2">
      <c r="A67" s="3">
        <v>42596</v>
      </c>
      <c r="B67" s="4">
        <f t="shared" si="1"/>
        <v>8</v>
      </c>
      <c r="C67" s="2">
        <v>1.72</v>
      </c>
      <c r="D67" s="4">
        <v>1609.03</v>
      </c>
      <c r="E67" s="5">
        <v>29.39</v>
      </c>
      <c r="F67" s="5">
        <v>252.78</v>
      </c>
      <c r="G67" s="5">
        <v>0</v>
      </c>
      <c r="H67" s="5">
        <v>1326.86</v>
      </c>
      <c r="I67" s="5">
        <v>1326.86</v>
      </c>
      <c r="J67" s="5">
        <v>0</v>
      </c>
      <c r="K67" s="5">
        <v>0</v>
      </c>
      <c r="L67" s="5" t="s">
        <v>9</v>
      </c>
      <c r="M67" s="2">
        <v>2016</v>
      </c>
      <c r="N67" s="2" t="s">
        <v>8</v>
      </c>
    </row>
    <row r="68" spans="1:14" x14ac:dyDescent="0.2">
      <c r="A68" s="3">
        <v>42603</v>
      </c>
      <c r="B68" s="4">
        <f t="shared" si="1"/>
        <v>8</v>
      </c>
      <c r="C68" s="2">
        <v>1.43</v>
      </c>
      <c r="D68" s="4">
        <v>94882.79</v>
      </c>
      <c r="E68" s="5">
        <v>14520.36</v>
      </c>
      <c r="F68" s="5">
        <v>63416.88</v>
      </c>
      <c r="G68" s="5">
        <v>28.03</v>
      </c>
      <c r="H68" s="5">
        <v>16917.52</v>
      </c>
      <c r="I68" s="5">
        <v>15811</v>
      </c>
      <c r="J68" s="5">
        <v>286.52</v>
      </c>
      <c r="K68" s="5">
        <v>820</v>
      </c>
      <c r="L68" s="5" t="s">
        <v>7</v>
      </c>
      <c r="M68" s="2">
        <v>2016</v>
      </c>
      <c r="N68" s="2" t="s">
        <v>8</v>
      </c>
    </row>
    <row r="69" spans="1:14" x14ac:dyDescent="0.2">
      <c r="A69" s="3">
        <v>42603</v>
      </c>
      <c r="B69" s="4">
        <f t="shared" si="1"/>
        <v>8</v>
      </c>
      <c r="C69" s="2">
        <v>1.67</v>
      </c>
      <c r="D69" s="4">
        <v>1926.01</v>
      </c>
      <c r="E69" s="5">
        <v>19.93</v>
      </c>
      <c r="F69" s="5">
        <v>233.25</v>
      </c>
      <c r="G69" s="5">
        <v>0</v>
      </c>
      <c r="H69" s="5">
        <v>1672.83</v>
      </c>
      <c r="I69" s="5">
        <v>1672.83</v>
      </c>
      <c r="J69" s="5">
        <v>0</v>
      </c>
      <c r="K69" s="5">
        <v>0</v>
      </c>
      <c r="L69" s="5" t="s">
        <v>9</v>
      </c>
      <c r="M69" s="2">
        <v>2016</v>
      </c>
      <c r="N69" s="2" t="s">
        <v>8</v>
      </c>
    </row>
    <row r="70" spans="1:14" x14ac:dyDescent="0.2">
      <c r="A70" s="3">
        <v>42610</v>
      </c>
      <c r="B70" s="4">
        <f t="shared" si="1"/>
        <v>8</v>
      </c>
      <c r="C70" s="2">
        <v>1.18</v>
      </c>
      <c r="D70" s="4">
        <v>145323.22</v>
      </c>
      <c r="E70" s="5">
        <v>34912.97</v>
      </c>
      <c r="F70" s="5">
        <v>94928.79</v>
      </c>
      <c r="G70" s="5">
        <v>53.85</v>
      </c>
      <c r="H70" s="5">
        <v>15427.61</v>
      </c>
      <c r="I70" s="5">
        <v>14367.64</v>
      </c>
      <c r="J70" s="5">
        <v>269.97000000000003</v>
      </c>
      <c r="K70" s="5">
        <v>790</v>
      </c>
      <c r="L70" s="5" t="s">
        <v>7</v>
      </c>
      <c r="M70" s="2">
        <v>2016</v>
      </c>
      <c r="N70" s="2" t="s">
        <v>8</v>
      </c>
    </row>
    <row r="71" spans="1:14" x14ac:dyDescent="0.2">
      <c r="A71" s="3">
        <v>42610</v>
      </c>
      <c r="B71" s="4">
        <f t="shared" si="1"/>
        <v>8</v>
      </c>
      <c r="C71" s="2">
        <v>1.66</v>
      </c>
      <c r="D71" s="4">
        <v>1922.46</v>
      </c>
      <c r="E71" s="5">
        <v>17.350000000000001</v>
      </c>
      <c r="F71" s="5">
        <v>200.92</v>
      </c>
      <c r="G71" s="5">
        <v>0</v>
      </c>
      <c r="H71" s="5">
        <v>1704.19</v>
      </c>
      <c r="I71" s="5">
        <v>1704.19</v>
      </c>
      <c r="J71" s="5">
        <v>0</v>
      </c>
      <c r="K71" s="5">
        <v>0</v>
      </c>
      <c r="L71" s="5" t="s">
        <v>9</v>
      </c>
      <c r="M71" s="2">
        <v>2016</v>
      </c>
      <c r="N71" s="2" t="s">
        <v>8</v>
      </c>
    </row>
    <row r="72" spans="1:14" x14ac:dyDescent="0.2">
      <c r="A72" s="3">
        <v>42617</v>
      </c>
      <c r="B72" s="4">
        <f t="shared" si="1"/>
        <v>9</v>
      </c>
      <c r="C72" s="2">
        <v>1.44</v>
      </c>
      <c r="D72" s="4">
        <v>95456.26</v>
      </c>
      <c r="E72" s="5">
        <v>14741.13</v>
      </c>
      <c r="F72" s="5">
        <v>64966.75</v>
      </c>
      <c r="G72" s="5">
        <v>88.11</v>
      </c>
      <c r="H72" s="5">
        <v>15660.27</v>
      </c>
      <c r="I72" s="5">
        <v>15340.19</v>
      </c>
      <c r="J72" s="5">
        <v>220.08</v>
      </c>
      <c r="K72" s="5">
        <v>100</v>
      </c>
      <c r="L72" s="5" t="s">
        <v>7</v>
      </c>
      <c r="M72" s="2">
        <v>2016</v>
      </c>
      <c r="N72" s="2" t="s">
        <v>8</v>
      </c>
    </row>
    <row r="73" spans="1:14" x14ac:dyDescent="0.2">
      <c r="A73" s="3">
        <v>42617</v>
      </c>
      <c r="B73" s="4">
        <f t="shared" si="1"/>
        <v>9</v>
      </c>
      <c r="C73" s="2">
        <v>1.73</v>
      </c>
      <c r="D73" s="4">
        <v>2194.77</v>
      </c>
      <c r="E73" s="5">
        <v>52.26</v>
      </c>
      <c r="F73" s="5">
        <v>181.76</v>
      </c>
      <c r="G73" s="5">
        <v>0</v>
      </c>
      <c r="H73" s="5">
        <v>1960.75</v>
      </c>
      <c r="I73" s="5">
        <v>1960.75</v>
      </c>
      <c r="J73" s="5">
        <v>0</v>
      </c>
      <c r="K73" s="5">
        <v>0</v>
      </c>
      <c r="L73" s="5" t="s">
        <v>9</v>
      </c>
      <c r="M73" s="2">
        <v>2016</v>
      </c>
      <c r="N73" s="2" t="s">
        <v>8</v>
      </c>
    </row>
    <row r="74" spans="1:14" x14ac:dyDescent="0.2">
      <c r="A74" s="3">
        <v>42624</v>
      </c>
      <c r="B74" s="4">
        <f t="shared" si="1"/>
        <v>9</v>
      </c>
      <c r="C74" s="2">
        <v>1.37</v>
      </c>
      <c r="D74" s="4">
        <v>81473.149999999994</v>
      </c>
      <c r="E74" s="5">
        <v>6258.88</v>
      </c>
      <c r="F74" s="5">
        <v>63511.85</v>
      </c>
      <c r="G74" s="5">
        <v>42.26</v>
      </c>
      <c r="H74" s="5">
        <v>11660.16</v>
      </c>
      <c r="I74" s="5">
        <v>10839.17</v>
      </c>
      <c r="J74" s="5">
        <v>815.99</v>
      </c>
      <c r="K74" s="5">
        <v>5</v>
      </c>
      <c r="L74" s="5" t="s">
        <v>7</v>
      </c>
      <c r="M74" s="2">
        <v>2016</v>
      </c>
      <c r="N74" s="2" t="s">
        <v>8</v>
      </c>
    </row>
    <row r="75" spans="1:14" x14ac:dyDescent="0.2">
      <c r="A75" s="3">
        <v>42624</v>
      </c>
      <c r="B75" s="4">
        <f t="shared" si="1"/>
        <v>9</v>
      </c>
      <c r="C75" s="2">
        <v>1.68</v>
      </c>
      <c r="D75" s="4">
        <v>3501.41</v>
      </c>
      <c r="E75" s="5">
        <v>128.94</v>
      </c>
      <c r="F75" s="5">
        <v>227.69</v>
      </c>
      <c r="G75" s="5">
        <v>0</v>
      </c>
      <c r="H75" s="5">
        <v>3144.78</v>
      </c>
      <c r="I75" s="5">
        <v>3144.78</v>
      </c>
      <c r="J75" s="5">
        <v>0</v>
      </c>
      <c r="K75" s="5">
        <v>0</v>
      </c>
      <c r="L75" s="5" t="s">
        <v>9</v>
      </c>
      <c r="M75" s="2">
        <v>2016</v>
      </c>
      <c r="N75" s="2" t="s">
        <v>8</v>
      </c>
    </row>
    <row r="76" spans="1:14" x14ac:dyDescent="0.2">
      <c r="A76" s="3">
        <v>42631</v>
      </c>
      <c r="B76" s="4">
        <f t="shared" si="1"/>
        <v>9</v>
      </c>
      <c r="C76" s="2">
        <v>1.39</v>
      </c>
      <c r="D76" s="4">
        <v>79513.63</v>
      </c>
      <c r="E76" s="5">
        <v>6624.37</v>
      </c>
      <c r="F76" s="5">
        <v>63384.56</v>
      </c>
      <c r="G76" s="5">
        <v>37.479999999999997</v>
      </c>
      <c r="H76" s="5">
        <v>9467.2199999999993</v>
      </c>
      <c r="I76" s="5">
        <v>8958.14</v>
      </c>
      <c r="J76" s="5">
        <v>509.08</v>
      </c>
      <c r="K76" s="5">
        <v>0</v>
      </c>
      <c r="L76" s="5" t="s">
        <v>7</v>
      </c>
      <c r="M76" s="2">
        <v>2016</v>
      </c>
      <c r="N76" s="2" t="s">
        <v>8</v>
      </c>
    </row>
    <row r="77" spans="1:14" x14ac:dyDescent="0.2">
      <c r="A77" s="3">
        <v>42631</v>
      </c>
      <c r="B77" s="4">
        <f t="shared" si="1"/>
        <v>9</v>
      </c>
      <c r="C77" s="2">
        <v>1.69</v>
      </c>
      <c r="D77" s="4">
        <v>2137.5300000000002</v>
      </c>
      <c r="E77" s="5">
        <v>47.35</v>
      </c>
      <c r="F77" s="5">
        <v>194.65</v>
      </c>
      <c r="G77" s="5">
        <v>0</v>
      </c>
      <c r="H77" s="5">
        <v>1895.53</v>
      </c>
      <c r="I77" s="5">
        <v>1895.53</v>
      </c>
      <c r="J77" s="5">
        <v>0</v>
      </c>
      <c r="K77" s="5">
        <v>0</v>
      </c>
      <c r="L77" s="5" t="s">
        <v>9</v>
      </c>
      <c r="M77" s="2">
        <v>2016</v>
      </c>
      <c r="N77" s="2" t="s">
        <v>8</v>
      </c>
    </row>
    <row r="78" spans="1:14" x14ac:dyDescent="0.2">
      <c r="A78" s="3">
        <v>42638</v>
      </c>
      <c r="B78" s="4">
        <f t="shared" si="1"/>
        <v>9</v>
      </c>
      <c r="C78" s="2">
        <v>1.62</v>
      </c>
      <c r="D78" s="4">
        <v>96853.15</v>
      </c>
      <c r="E78" s="5">
        <v>7658.55</v>
      </c>
      <c r="F78" s="5">
        <v>79425.81</v>
      </c>
      <c r="G78" s="5">
        <v>43.25</v>
      </c>
      <c r="H78" s="5">
        <v>9725.5400000000009</v>
      </c>
      <c r="I78" s="5">
        <v>9586.7999999999993</v>
      </c>
      <c r="J78" s="5">
        <v>138.74</v>
      </c>
      <c r="K78" s="5">
        <v>0</v>
      </c>
      <c r="L78" s="5" t="s">
        <v>7</v>
      </c>
      <c r="M78" s="2">
        <v>2016</v>
      </c>
      <c r="N78" s="2" t="s">
        <v>8</v>
      </c>
    </row>
    <row r="79" spans="1:14" x14ac:dyDescent="0.2">
      <c r="A79" s="3">
        <v>42638</v>
      </c>
      <c r="B79" s="4">
        <f t="shared" si="1"/>
        <v>9</v>
      </c>
      <c r="C79" s="2">
        <v>1.68</v>
      </c>
      <c r="D79" s="4">
        <v>2019.71</v>
      </c>
      <c r="E79" s="5">
        <v>33.22</v>
      </c>
      <c r="F79" s="5">
        <v>190.77</v>
      </c>
      <c r="G79" s="5">
        <v>0</v>
      </c>
      <c r="H79" s="5">
        <v>1795.72</v>
      </c>
      <c r="I79" s="5">
        <v>1795.72</v>
      </c>
      <c r="J79" s="5">
        <v>0</v>
      </c>
      <c r="K79" s="5">
        <v>0</v>
      </c>
      <c r="L79" s="5" t="s">
        <v>9</v>
      </c>
      <c r="M79" s="2">
        <v>2016</v>
      </c>
      <c r="N79" s="2" t="s">
        <v>8</v>
      </c>
    </row>
    <row r="80" spans="1:14" x14ac:dyDescent="0.2">
      <c r="A80" s="3">
        <v>42645</v>
      </c>
      <c r="B80" s="4">
        <f t="shared" si="1"/>
        <v>10</v>
      </c>
      <c r="C80" s="2">
        <v>1.51</v>
      </c>
      <c r="D80" s="4">
        <v>75480.259999999995</v>
      </c>
      <c r="E80" s="5">
        <v>4109.22</v>
      </c>
      <c r="F80" s="5">
        <v>57515.76</v>
      </c>
      <c r="G80" s="5">
        <v>84.08</v>
      </c>
      <c r="H80" s="5">
        <v>13771.2</v>
      </c>
      <c r="I80" s="5">
        <v>13345.52</v>
      </c>
      <c r="J80" s="5">
        <v>425.68</v>
      </c>
      <c r="K80" s="5">
        <v>0</v>
      </c>
      <c r="L80" s="5" t="s">
        <v>7</v>
      </c>
      <c r="M80" s="2">
        <v>2016</v>
      </c>
      <c r="N80" s="2" t="s">
        <v>8</v>
      </c>
    </row>
    <row r="81" spans="1:14" x14ac:dyDescent="0.2">
      <c r="A81" s="3">
        <v>42645</v>
      </c>
      <c r="B81" s="4">
        <f t="shared" si="1"/>
        <v>10</v>
      </c>
      <c r="C81" s="2">
        <v>1.73</v>
      </c>
      <c r="D81" s="4">
        <v>2492.8200000000002</v>
      </c>
      <c r="E81" s="5">
        <v>51.93</v>
      </c>
      <c r="F81" s="5">
        <v>139.63</v>
      </c>
      <c r="G81" s="5">
        <v>0</v>
      </c>
      <c r="H81" s="5">
        <v>2301.2600000000002</v>
      </c>
      <c r="I81" s="5">
        <v>2301.2600000000002</v>
      </c>
      <c r="J81" s="5">
        <v>0</v>
      </c>
      <c r="K81" s="5">
        <v>0</v>
      </c>
      <c r="L81" s="5" t="s">
        <v>9</v>
      </c>
      <c r="M81" s="2">
        <v>2016</v>
      </c>
      <c r="N81" s="2" t="s">
        <v>8</v>
      </c>
    </row>
    <row r="82" spans="1:14" x14ac:dyDescent="0.2">
      <c r="A82" s="3">
        <v>42652</v>
      </c>
      <c r="B82" s="4">
        <f t="shared" si="1"/>
        <v>10</v>
      </c>
      <c r="C82" s="2">
        <v>1.1299999999999999</v>
      </c>
      <c r="D82" s="4">
        <v>101087.84</v>
      </c>
      <c r="E82" s="5">
        <v>3641.46</v>
      </c>
      <c r="F82" s="5">
        <v>87174.41</v>
      </c>
      <c r="G82" s="5">
        <v>102.15</v>
      </c>
      <c r="H82" s="5">
        <v>10169.82</v>
      </c>
      <c r="I82" s="5">
        <v>9744.41</v>
      </c>
      <c r="J82" s="5">
        <v>425.41</v>
      </c>
      <c r="K82" s="5">
        <v>0</v>
      </c>
      <c r="L82" s="5" t="s">
        <v>7</v>
      </c>
      <c r="M82" s="2">
        <v>2016</v>
      </c>
      <c r="N82" s="2" t="s">
        <v>8</v>
      </c>
    </row>
    <row r="83" spans="1:14" x14ac:dyDescent="0.2">
      <c r="A83" s="3">
        <v>42652</v>
      </c>
      <c r="B83" s="4">
        <f t="shared" si="1"/>
        <v>10</v>
      </c>
      <c r="C83" s="2">
        <v>1.75</v>
      </c>
      <c r="D83" s="4">
        <v>2179.44</v>
      </c>
      <c r="E83" s="5">
        <v>77.27</v>
      </c>
      <c r="F83" s="5">
        <v>155.69</v>
      </c>
      <c r="G83" s="5">
        <v>0</v>
      </c>
      <c r="H83" s="5">
        <v>1946.48</v>
      </c>
      <c r="I83" s="5">
        <v>1946.48</v>
      </c>
      <c r="J83" s="5">
        <v>0</v>
      </c>
      <c r="K83" s="5">
        <v>0</v>
      </c>
      <c r="L83" s="5" t="s">
        <v>9</v>
      </c>
      <c r="M83" s="2">
        <v>2016</v>
      </c>
      <c r="N83" s="2" t="s">
        <v>8</v>
      </c>
    </row>
    <row r="84" spans="1:14" x14ac:dyDescent="0.2">
      <c r="A84" s="3">
        <v>42659</v>
      </c>
      <c r="B84" s="4">
        <f t="shared" si="1"/>
        <v>10</v>
      </c>
      <c r="C84" s="2">
        <v>1.4</v>
      </c>
      <c r="D84" s="4">
        <v>69060.899999999994</v>
      </c>
      <c r="E84" s="5">
        <v>4027.42</v>
      </c>
      <c r="F84" s="5">
        <v>54186.55</v>
      </c>
      <c r="G84" s="5">
        <v>53.77</v>
      </c>
      <c r="H84" s="5">
        <v>10793.16</v>
      </c>
      <c r="I84" s="5">
        <v>10434.39</v>
      </c>
      <c r="J84" s="5">
        <v>358.77</v>
      </c>
      <c r="K84" s="5">
        <v>0</v>
      </c>
      <c r="L84" s="5" t="s">
        <v>7</v>
      </c>
      <c r="M84" s="2">
        <v>2016</v>
      </c>
      <c r="N84" s="2" t="s">
        <v>8</v>
      </c>
    </row>
    <row r="85" spans="1:14" x14ac:dyDescent="0.2">
      <c r="A85" s="3">
        <v>42659</v>
      </c>
      <c r="B85" s="4">
        <f t="shared" si="1"/>
        <v>10</v>
      </c>
      <c r="C85" s="2">
        <v>1.75</v>
      </c>
      <c r="D85" s="4">
        <v>1939.89</v>
      </c>
      <c r="E85" s="5">
        <v>71.5</v>
      </c>
      <c r="F85" s="5">
        <v>111.86</v>
      </c>
      <c r="G85" s="5">
        <v>0</v>
      </c>
      <c r="H85" s="5">
        <v>1756.53</v>
      </c>
      <c r="I85" s="5">
        <v>1756.53</v>
      </c>
      <c r="J85" s="5">
        <v>0</v>
      </c>
      <c r="K85" s="5">
        <v>0</v>
      </c>
      <c r="L85" s="5" t="s">
        <v>9</v>
      </c>
      <c r="M85" s="2">
        <v>2016</v>
      </c>
      <c r="N85" s="2" t="s">
        <v>8</v>
      </c>
    </row>
    <row r="86" spans="1:14" x14ac:dyDescent="0.2">
      <c r="A86" s="3">
        <v>42666</v>
      </c>
      <c r="B86" s="4">
        <f t="shared" si="1"/>
        <v>10</v>
      </c>
      <c r="C86" s="2">
        <v>1.19</v>
      </c>
      <c r="D86" s="4">
        <v>92080.35</v>
      </c>
      <c r="E86" s="5">
        <v>4222.93</v>
      </c>
      <c r="F86" s="5">
        <v>77537.36</v>
      </c>
      <c r="G86" s="5">
        <v>46</v>
      </c>
      <c r="H86" s="5">
        <v>10274.06</v>
      </c>
      <c r="I86" s="5">
        <v>10160.26</v>
      </c>
      <c r="J86" s="5">
        <v>113.8</v>
      </c>
      <c r="K86" s="5">
        <v>0</v>
      </c>
      <c r="L86" s="5" t="s">
        <v>7</v>
      </c>
      <c r="M86" s="2">
        <v>2016</v>
      </c>
      <c r="N86" s="2" t="s">
        <v>8</v>
      </c>
    </row>
    <row r="87" spans="1:14" x14ac:dyDescent="0.2">
      <c r="A87" s="3">
        <v>42666</v>
      </c>
      <c r="B87" s="4">
        <f t="shared" si="1"/>
        <v>10</v>
      </c>
      <c r="C87" s="2">
        <v>1.86</v>
      </c>
      <c r="D87" s="4">
        <v>1913.99</v>
      </c>
      <c r="E87" s="5">
        <v>37.83</v>
      </c>
      <c r="F87" s="5">
        <v>80.72</v>
      </c>
      <c r="G87" s="5">
        <v>0</v>
      </c>
      <c r="H87" s="5">
        <v>1795.44</v>
      </c>
      <c r="I87" s="5">
        <v>1795.44</v>
      </c>
      <c r="J87" s="5">
        <v>0</v>
      </c>
      <c r="K87" s="5">
        <v>0</v>
      </c>
      <c r="L87" s="5" t="s">
        <v>9</v>
      </c>
      <c r="M87" s="2">
        <v>2016</v>
      </c>
      <c r="N87" s="2" t="s">
        <v>8</v>
      </c>
    </row>
    <row r="88" spans="1:14" x14ac:dyDescent="0.2">
      <c r="A88" s="3">
        <v>42673</v>
      </c>
      <c r="B88" s="4">
        <f t="shared" si="1"/>
        <v>10</v>
      </c>
      <c r="C88" s="2">
        <v>1.46</v>
      </c>
      <c r="D88" s="4">
        <v>58375.1</v>
      </c>
      <c r="E88" s="5">
        <v>3187.14</v>
      </c>
      <c r="F88" s="5">
        <v>45898.52</v>
      </c>
      <c r="G88" s="5">
        <v>54.31</v>
      </c>
      <c r="H88" s="5">
        <v>9235.1299999999992</v>
      </c>
      <c r="I88" s="5">
        <v>9153.1200000000008</v>
      </c>
      <c r="J88" s="5">
        <v>82.01</v>
      </c>
      <c r="K88" s="5">
        <v>0</v>
      </c>
      <c r="L88" s="5" t="s">
        <v>7</v>
      </c>
      <c r="M88" s="2">
        <v>2016</v>
      </c>
      <c r="N88" s="2" t="s">
        <v>8</v>
      </c>
    </row>
    <row r="89" spans="1:14" x14ac:dyDescent="0.2">
      <c r="A89" s="3">
        <v>42673</v>
      </c>
      <c r="B89" s="4">
        <f t="shared" si="1"/>
        <v>10</v>
      </c>
      <c r="C89" s="2">
        <v>1.96</v>
      </c>
      <c r="D89" s="4">
        <v>1326.8</v>
      </c>
      <c r="E89" s="5">
        <v>57.66</v>
      </c>
      <c r="F89" s="5">
        <v>93.41</v>
      </c>
      <c r="G89" s="5">
        <v>0</v>
      </c>
      <c r="H89" s="5">
        <v>1175.73</v>
      </c>
      <c r="I89" s="5">
        <v>1175.73</v>
      </c>
      <c r="J89" s="5">
        <v>0</v>
      </c>
      <c r="K89" s="5">
        <v>0</v>
      </c>
      <c r="L89" s="5" t="s">
        <v>9</v>
      </c>
      <c r="M89" s="2">
        <v>2016</v>
      </c>
      <c r="N89" s="2" t="s">
        <v>8</v>
      </c>
    </row>
    <row r="90" spans="1:14" x14ac:dyDescent="0.2">
      <c r="A90" s="3">
        <v>42680</v>
      </c>
      <c r="B90" s="4">
        <f t="shared" si="1"/>
        <v>11</v>
      </c>
      <c r="C90" s="2">
        <v>1.63</v>
      </c>
      <c r="D90" s="4">
        <v>57178.2</v>
      </c>
      <c r="E90" s="5">
        <v>3212.04</v>
      </c>
      <c r="F90" s="5">
        <v>43024.32</v>
      </c>
      <c r="G90" s="5">
        <v>36.4</v>
      </c>
      <c r="H90" s="5">
        <v>10905.44</v>
      </c>
      <c r="I90" s="5">
        <v>10474.09</v>
      </c>
      <c r="J90" s="5">
        <v>431.35</v>
      </c>
      <c r="K90" s="5">
        <v>0</v>
      </c>
      <c r="L90" s="5" t="s">
        <v>7</v>
      </c>
      <c r="M90" s="2">
        <v>2016</v>
      </c>
      <c r="N90" s="2" t="s">
        <v>8</v>
      </c>
    </row>
    <row r="91" spans="1:14" x14ac:dyDescent="0.2">
      <c r="A91" s="3">
        <v>42680</v>
      </c>
      <c r="B91" s="4">
        <f t="shared" ref="B91:B105" si="2">MONTH(A91)</f>
        <v>11</v>
      </c>
      <c r="C91" s="2">
        <v>1.93</v>
      </c>
      <c r="D91" s="4">
        <v>2674</v>
      </c>
      <c r="E91" s="5">
        <v>60.08</v>
      </c>
      <c r="F91" s="5">
        <v>194.11</v>
      </c>
      <c r="G91" s="5">
        <v>0</v>
      </c>
      <c r="H91" s="5">
        <v>2419.81</v>
      </c>
      <c r="I91" s="5">
        <v>2419.81</v>
      </c>
      <c r="J91" s="5">
        <v>0</v>
      </c>
      <c r="K91" s="5">
        <v>0</v>
      </c>
      <c r="L91" s="5" t="s">
        <v>9</v>
      </c>
      <c r="M91" s="2">
        <v>2016</v>
      </c>
      <c r="N91" s="2" t="s">
        <v>8</v>
      </c>
    </row>
    <row r="92" spans="1:14" x14ac:dyDescent="0.2">
      <c r="A92" s="3">
        <v>42687</v>
      </c>
      <c r="B92" s="4">
        <f t="shared" si="2"/>
        <v>11</v>
      </c>
      <c r="C92" s="2">
        <v>1.62</v>
      </c>
      <c r="D92" s="4">
        <v>63608.01</v>
      </c>
      <c r="E92" s="5">
        <v>3523.63</v>
      </c>
      <c r="F92" s="5">
        <v>49837.68</v>
      </c>
      <c r="G92" s="5">
        <v>34</v>
      </c>
      <c r="H92" s="5">
        <v>10212.700000000001</v>
      </c>
      <c r="I92" s="5">
        <v>9790.67</v>
      </c>
      <c r="J92" s="5">
        <v>422.03</v>
      </c>
      <c r="K92" s="5">
        <v>0</v>
      </c>
      <c r="L92" s="5" t="s">
        <v>7</v>
      </c>
      <c r="M92" s="2">
        <v>2016</v>
      </c>
      <c r="N92" s="2" t="s">
        <v>8</v>
      </c>
    </row>
    <row r="93" spans="1:14" x14ac:dyDescent="0.2">
      <c r="A93" s="3">
        <v>42687</v>
      </c>
      <c r="B93" s="4">
        <f t="shared" si="2"/>
        <v>11</v>
      </c>
      <c r="C93" s="2">
        <v>2</v>
      </c>
      <c r="D93" s="4">
        <v>2084.37</v>
      </c>
      <c r="E93" s="5">
        <v>75.8</v>
      </c>
      <c r="F93" s="5">
        <v>191.07</v>
      </c>
      <c r="G93" s="5">
        <v>0</v>
      </c>
      <c r="H93" s="5">
        <v>1817.5</v>
      </c>
      <c r="I93" s="5">
        <v>1817.5</v>
      </c>
      <c r="J93" s="5">
        <v>0</v>
      </c>
      <c r="K93" s="5">
        <v>0</v>
      </c>
      <c r="L93" s="5" t="s">
        <v>9</v>
      </c>
      <c r="M93" s="2">
        <v>2016</v>
      </c>
      <c r="N93" s="2" t="s">
        <v>8</v>
      </c>
    </row>
    <row r="94" spans="1:14" x14ac:dyDescent="0.2">
      <c r="A94" s="3">
        <v>42694</v>
      </c>
      <c r="B94" s="4">
        <f t="shared" si="2"/>
        <v>11</v>
      </c>
      <c r="C94" s="2">
        <v>1.56</v>
      </c>
      <c r="D94" s="4">
        <v>70089.509999999995</v>
      </c>
      <c r="E94" s="5">
        <v>3675.63</v>
      </c>
      <c r="F94" s="5">
        <v>56898.54</v>
      </c>
      <c r="G94" s="5">
        <v>11</v>
      </c>
      <c r="H94" s="5">
        <v>9504.34</v>
      </c>
      <c r="I94" s="5">
        <v>9238.4</v>
      </c>
      <c r="J94" s="5">
        <v>209</v>
      </c>
      <c r="K94" s="5">
        <v>56.94</v>
      </c>
      <c r="L94" s="5" t="s">
        <v>7</v>
      </c>
      <c r="M94" s="2">
        <v>2016</v>
      </c>
      <c r="N94" s="2" t="s">
        <v>8</v>
      </c>
    </row>
    <row r="95" spans="1:14" x14ac:dyDescent="0.2">
      <c r="A95" s="3">
        <v>42694</v>
      </c>
      <c r="B95" s="4">
        <f t="shared" si="2"/>
        <v>11</v>
      </c>
      <c r="C95" s="2">
        <v>1.93</v>
      </c>
      <c r="D95" s="4">
        <v>1862.7</v>
      </c>
      <c r="E95" s="5">
        <v>122.63</v>
      </c>
      <c r="F95" s="5">
        <v>197.39</v>
      </c>
      <c r="G95" s="5">
        <v>0</v>
      </c>
      <c r="H95" s="5">
        <v>1542.68</v>
      </c>
      <c r="I95" s="5">
        <v>1542.68</v>
      </c>
      <c r="J95" s="5">
        <v>0</v>
      </c>
      <c r="K95" s="5">
        <v>0</v>
      </c>
      <c r="L95" s="5" t="s">
        <v>9</v>
      </c>
      <c r="M95" s="2">
        <v>2016</v>
      </c>
      <c r="N95" s="2" t="s">
        <v>8</v>
      </c>
    </row>
    <row r="96" spans="1:14" x14ac:dyDescent="0.2">
      <c r="A96" s="3">
        <v>42701</v>
      </c>
      <c r="B96" s="4">
        <f t="shared" si="2"/>
        <v>11</v>
      </c>
      <c r="C96" s="2">
        <v>1.52</v>
      </c>
      <c r="D96" s="4">
        <v>58171.89</v>
      </c>
      <c r="E96" s="5">
        <v>2793.99</v>
      </c>
      <c r="F96" s="5">
        <v>47106.18</v>
      </c>
      <c r="G96" s="5">
        <v>18.14</v>
      </c>
      <c r="H96" s="5">
        <v>8253.58</v>
      </c>
      <c r="I96" s="5">
        <v>7973.98</v>
      </c>
      <c r="J96" s="5">
        <v>279.60000000000002</v>
      </c>
      <c r="K96" s="5">
        <v>0</v>
      </c>
      <c r="L96" s="5" t="s">
        <v>7</v>
      </c>
      <c r="M96" s="2">
        <v>2016</v>
      </c>
      <c r="N96" s="2" t="s">
        <v>8</v>
      </c>
    </row>
    <row r="97" spans="1:14" x14ac:dyDescent="0.2">
      <c r="A97" s="3">
        <v>42701</v>
      </c>
      <c r="B97" s="4">
        <f t="shared" si="2"/>
        <v>11</v>
      </c>
      <c r="C97" s="2">
        <v>1.97</v>
      </c>
      <c r="D97" s="4">
        <v>1646.78</v>
      </c>
      <c r="E97" s="5">
        <v>50.76</v>
      </c>
      <c r="F97" s="5">
        <v>177.08</v>
      </c>
      <c r="G97" s="5">
        <v>0</v>
      </c>
      <c r="H97" s="5">
        <v>1418.94</v>
      </c>
      <c r="I97" s="5">
        <v>1418.94</v>
      </c>
      <c r="J97" s="5">
        <v>0</v>
      </c>
      <c r="K97" s="5">
        <v>0</v>
      </c>
      <c r="L97" s="5" t="s">
        <v>9</v>
      </c>
      <c r="M97" s="2">
        <v>2016</v>
      </c>
      <c r="N97" s="2" t="s">
        <v>8</v>
      </c>
    </row>
    <row r="98" spans="1:14" x14ac:dyDescent="0.2">
      <c r="A98" s="3">
        <v>42708</v>
      </c>
      <c r="B98" s="4">
        <f t="shared" si="2"/>
        <v>12</v>
      </c>
      <c r="C98" s="2">
        <v>1.48</v>
      </c>
      <c r="D98" s="4">
        <v>113031.96</v>
      </c>
      <c r="E98" s="5">
        <v>6530.78</v>
      </c>
      <c r="F98" s="5">
        <v>99746.05</v>
      </c>
      <c r="G98" s="5">
        <v>50.84</v>
      </c>
      <c r="H98" s="5">
        <v>6704.29</v>
      </c>
      <c r="I98" s="5">
        <v>6476.12</v>
      </c>
      <c r="J98" s="5">
        <v>228.17</v>
      </c>
      <c r="K98" s="5">
        <v>0</v>
      </c>
      <c r="L98" s="5" t="s">
        <v>7</v>
      </c>
      <c r="M98" s="2">
        <v>2016</v>
      </c>
      <c r="N98" s="2" t="s">
        <v>8</v>
      </c>
    </row>
    <row r="99" spans="1:14" x14ac:dyDescent="0.2">
      <c r="A99" s="3">
        <v>42708</v>
      </c>
      <c r="B99" s="4">
        <f t="shared" si="2"/>
        <v>12</v>
      </c>
      <c r="C99" s="2">
        <v>1.97</v>
      </c>
      <c r="D99" s="4">
        <v>1364.73</v>
      </c>
      <c r="E99" s="5">
        <v>100.01</v>
      </c>
      <c r="F99" s="5">
        <v>99.17</v>
      </c>
      <c r="G99" s="5">
        <v>0</v>
      </c>
      <c r="H99" s="5">
        <v>1165.55</v>
      </c>
      <c r="I99" s="5">
        <v>1165.55</v>
      </c>
      <c r="J99" s="5">
        <v>0</v>
      </c>
      <c r="K99" s="5">
        <v>0</v>
      </c>
      <c r="L99" s="5" t="s">
        <v>9</v>
      </c>
      <c r="M99" s="2">
        <v>2016</v>
      </c>
      <c r="N99" s="2" t="s">
        <v>8</v>
      </c>
    </row>
    <row r="100" spans="1:14" x14ac:dyDescent="0.2">
      <c r="A100" s="3">
        <v>42715</v>
      </c>
      <c r="B100" s="4">
        <f t="shared" si="2"/>
        <v>12</v>
      </c>
      <c r="C100" s="2">
        <v>1.49</v>
      </c>
      <c r="D100" s="4">
        <v>71777.850000000006</v>
      </c>
      <c r="E100" s="5">
        <v>2323.39</v>
      </c>
      <c r="F100" s="5">
        <v>56545.79</v>
      </c>
      <c r="G100" s="5">
        <v>86.65</v>
      </c>
      <c r="H100" s="5">
        <v>12822.02</v>
      </c>
      <c r="I100" s="5">
        <v>12176.75</v>
      </c>
      <c r="J100" s="5">
        <v>645.27</v>
      </c>
      <c r="K100" s="5">
        <v>0</v>
      </c>
      <c r="L100" s="5" t="s">
        <v>7</v>
      </c>
      <c r="M100" s="2">
        <v>2016</v>
      </c>
      <c r="N100" s="2" t="s">
        <v>8</v>
      </c>
    </row>
    <row r="101" spans="1:14" x14ac:dyDescent="0.2">
      <c r="A101" s="3">
        <v>42715</v>
      </c>
      <c r="B101" s="4">
        <f t="shared" si="2"/>
        <v>12</v>
      </c>
      <c r="C101" s="2">
        <v>1.9</v>
      </c>
      <c r="D101" s="4">
        <v>1886.63</v>
      </c>
      <c r="E101" s="5">
        <v>42.26</v>
      </c>
      <c r="F101" s="5">
        <v>156.72</v>
      </c>
      <c r="G101" s="5">
        <v>0</v>
      </c>
      <c r="H101" s="5">
        <v>1687.65</v>
      </c>
      <c r="I101" s="5">
        <v>1687.65</v>
      </c>
      <c r="J101" s="5">
        <v>0</v>
      </c>
      <c r="K101" s="5">
        <v>0</v>
      </c>
      <c r="L101" s="5" t="s">
        <v>9</v>
      </c>
      <c r="M101" s="2">
        <v>2016</v>
      </c>
      <c r="N101" s="2" t="s">
        <v>8</v>
      </c>
    </row>
    <row r="102" spans="1:14" x14ac:dyDescent="0.2">
      <c r="A102" s="3">
        <v>42722</v>
      </c>
      <c r="B102" s="4">
        <f t="shared" si="2"/>
        <v>12</v>
      </c>
      <c r="C102" s="2">
        <v>1.53</v>
      </c>
      <c r="D102" s="4">
        <v>68938.53</v>
      </c>
      <c r="E102" s="5">
        <v>3345.36</v>
      </c>
      <c r="F102" s="5">
        <v>55949.79</v>
      </c>
      <c r="G102" s="5">
        <v>138.72</v>
      </c>
      <c r="H102" s="5">
        <v>9504.66</v>
      </c>
      <c r="I102" s="5">
        <v>8876.65</v>
      </c>
      <c r="J102" s="5">
        <v>587.73</v>
      </c>
      <c r="K102" s="5">
        <v>40.28</v>
      </c>
      <c r="L102" s="5" t="s">
        <v>7</v>
      </c>
      <c r="M102" s="2">
        <v>2016</v>
      </c>
      <c r="N102" s="2" t="s">
        <v>8</v>
      </c>
    </row>
    <row r="103" spans="1:14" x14ac:dyDescent="0.2">
      <c r="A103" s="3">
        <v>42722</v>
      </c>
      <c r="B103" s="4">
        <f t="shared" si="2"/>
        <v>12</v>
      </c>
      <c r="C103" s="2">
        <v>1.86</v>
      </c>
      <c r="D103" s="4">
        <v>1472.84</v>
      </c>
      <c r="E103" s="5">
        <v>111.34</v>
      </c>
      <c r="F103" s="5">
        <v>198.07</v>
      </c>
      <c r="G103" s="5">
        <v>0</v>
      </c>
      <c r="H103" s="5">
        <v>1163.43</v>
      </c>
      <c r="I103" s="5">
        <v>1163.43</v>
      </c>
      <c r="J103" s="5">
        <v>0</v>
      </c>
      <c r="K103" s="5">
        <v>0</v>
      </c>
      <c r="L103" s="5" t="s">
        <v>9</v>
      </c>
      <c r="M103" s="2">
        <v>2016</v>
      </c>
      <c r="N103" s="2" t="s">
        <v>8</v>
      </c>
    </row>
    <row r="104" spans="1:14" x14ac:dyDescent="0.2">
      <c r="A104" s="3">
        <v>42729</v>
      </c>
      <c r="B104" s="4">
        <f t="shared" si="2"/>
        <v>12</v>
      </c>
      <c r="C104" s="2">
        <v>1.52</v>
      </c>
      <c r="D104" s="4">
        <v>73341.73</v>
      </c>
      <c r="E104" s="5">
        <v>3202.39</v>
      </c>
      <c r="F104" s="5">
        <v>58280.33</v>
      </c>
      <c r="G104" s="5">
        <v>426.92</v>
      </c>
      <c r="H104" s="5">
        <v>11432.09</v>
      </c>
      <c r="I104" s="5">
        <v>11017.32</v>
      </c>
      <c r="J104" s="5">
        <v>411.83</v>
      </c>
      <c r="K104" s="5">
        <v>2.94</v>
      </c>
      <c r="L104" s="5" t="s">
        <v>7</v>
      </c>
      <c r="M104" s="2">
        <v>2016</v>
      </c>
      <c r="N104" s="2" t="s">
        <v>8</v>
      </c>
    </row>
    <row r="105" spans="1:14" x14ac:dyDescent="0.2">
      <c r="A105" s="3">
        <v>42729</v>
      </c>
      <c r="B105" s="4">
        <f t="shared" si="2"/>
        <v>12</v>
      </c>
      <c r="C105" s="2">
        <v>1.93</v>
      </c>
      <c r="D105" s="4">
        <v>1714.92</v>
      </c>
      <c r="E105" s="5">
        <v>77.5</v>
      </c>
      <c r="F105" s="5">
        <v>250.13</v>
      </c>
      <c r="G105" s="5">
        <v>0</v>
      </c>
      <c r="H105" s="5">
        <v>1387.29</v>
      </c>
      <c r="I105" s="5">
        <v>1387.29</v>
      </c>
      <c r="J105" s="5">
        <v>0</v>
      </c>
      <c r="K105" s="5">
        <v>0</v>
      </c>
      <c r="L105" s="5" t="s">
        <v>9</v>
      </c>
      <c r="M105" s="2">
        <v>2016</v>
      </c>
      <c r="N105" s="2" t="s">
        <v>8</v>
      </c>
    </row>
  </sheetData>
  <autoFilter ref="A1:N1" xr:uid="{D5456E7B-3785-4B00-B880-27186597C0D6}"/>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BD3B-10A8-F54E-9FBD-4B71208C95B3}">
  <dimension ref="A1:N37"/>
  <sheetViews>
    <sheetView workbookViewId="0">
      <selection activeCell="P19" sqref="P19"/>
    </sheetView>
  </sheetViews>
  <sheetFormatPr baseColWidth="10" defaultRowHeight="15" x14ac:dyDescent="0.2"/>
  <cols>
    <col min="1" max="1" width="15.5" bestFit="1" customWidth="1"/>
    <col min="2" max="2" width="14.6640625" bestFit="1" customWidth="1"/>
    <col min="3" max="3" width="11.33203125" customWidth="1"/>
    <col min="4" max="4" width="10" customWidth="1"/>
    <col min="5" max="5" width="4.6640625" bestFit="1" customWidth="1"/>
    <col min="6" max="7" width="5.1640625" bestFit="1" customWidth="1"/>
    <col min="8" max="8" width="6.1640625" bestFit="1" customWidth="1"/>
    <col min="9" max="9" width="5.1640625" bestFit="1" customWidth="1"/>
    <col min="10" max="10" width="4.6640625" bestFit="1" customWidth="1"/>
    <col min="11" max="13" width="5.6640625" bestFit="1" customWidth="1"/>
    <col min="14" max="14" width="10" bestFit="1" customWidth="1"/>
    <col min="15" max="15" width="15.5" bestFit="1" customWidth="1"/>
    <col min="16" max="16" width="12" bestFit="1" customWidth="1"/>
    <col min="17" max="17" width="15.5" bestFit="1" customWidth="1"/>
    <col min="18" max="18" width="12" bestFit="1" customWidth="1"/>
    <col min="19" max="19" width="15.5" bestFit="1" customWidth="1"/>
    <col min="20" max="20" width="12" bestFit="1" customWidth="1"/>
    <col min="21" max="21" width="15.5" bestFit="1" customWidth="1"/>
    <col min="22" max="22" width="12" bestFit="1" customWidth="1"/>
    <col min="23" max="23" width="15.5" bestFit="1" customWidth="1"/>
    <col min="24" max="24" width="12" bestFit="1" customWidth="1"/>
    <col min="25" max="25" width="15.5" bestFit="1" customWidth="1"/>
    <col min="26" max="26" width="16.33203125" bestFit="1" customWidth="1"/>
    <col min="27" max="27" width="19.83203125" bestFit="1" customWidth="1"/>
    <col min="28" max="36" width="14.83203125" bestFit="1" customWidth="1"/>
    <col min="37" max="37" width="14.33203125" bestFit="1" customWidth="1"/>
    <col min="38" max="38" width="14.83203125" bestFit="1" customWidth="1"/>
    <col min="39" max="39" width="16.33203125" bestFit="1" customWidth="1"/>
    <col min="40" max="41" width="9.1640625" bestFit="1" customWidth="1"/>
    <col min="42" max="42" width="10.1640625" bestFit="1" customWidth="1"/>
    <col min="43" max="44" width="9.1640625" bestFit="1" customWidth="1"/>
    <col min="45" max="45" width="8.83203125" bestFit="1" customWidth="1"/>
    <col min="46" max="46" width="8.1640625" bestFit="1" customWidth="1"/>
    <col min="47" max="49" width="9.1640625" bestFit="1" customWidth="1"/>
    <col min="50" max="50" width="10.1640625" bestFit="1" customWidth="1"/>
    <col min="51" max="53" width="9.1640625" bestFit="1" customWidth="1"/>
    <col min="54" max="54" width="11.1640625" bestFit="1" customWidth="1"/>
  </cols>
  <sheetData>
    <row r="1" spans="1:14" x14ac:dyDescent="0.2">
      <c r="A1" s="50" t="s">
        <v>67</v>
      </c>
    </row>
    <row r="3" spans="1:14" x14ac:dyDescent="0.2">
      <c r="A3" s="49" t="s">
        <v>52</v>
      </c>
      <c r="B3" s="49" t="s">
        <v>34</v>
      </c>
    </row>
    <row r="4" spans="1:14" x14ac:dyDescent="0.2">
      <c r="A4" s="49" t="s">
        <v>32</v>
      </c>
      <c r="B4" s="1">
        <v>1</v>
      </c>
      <c r="C4" s="1">
        <v>2</v>
      </c>
      <c r="D4" s="1">
        <v>3</v>
      </c>
      <c r="E4" s="1">
        <v>4</v>
      </c>
      <c r="F4" s="1">
        <v>5</v>
      </c>
      <c r="G4" s="1">
        <v>6</v>
      </c>
      <c r="H4" s="1">
        <v>7</v>
      </c>
      <c r="I4" s="1">
        <v>8</v>
      </c>
      <c r="J4" s="1">
        <v>9</v>
      </c>
      <c r="K4" s="1">
        <v>10</v>
      </c>
      <c r="L4" s="1">
        <v>11</v>
      </c>
      <c r="M4" s="1">
        <v>12</v>
      </c>
      <c r="N4" s="1" t="s">
        <v>33</v>
      </c>
    </row>
    <row r="5" spans="1:14" x14ac:dyDescent="0.2">
      <c r="A5" s="51" t="s">
        <v>7</v>
      </c>
      <c r="B5" s="6">
        <v>4922.03</v>
      </c>
      <c r="C5" s="6">
        <v>5347.0999999999995</v>
      </c>
      <c r="D5" s="6">
        <v>3393.45</v>
      </c>
      <c r="E5" s="6">
        <v>3501.65</v>
      </c>
      <c r="F5" s="6">
        <v>6337.4500000000007</v>
      </c>
      <c r="G5" s="6">
        <v>26509.340000000004</v>
      </c>
      <c r="H5" s="6">
        <v>59491.990000000005</v>
      </c>
      <c r="I5" s="6">
        <v>88104.82</v>
      </c>
      <c r="J5" s="6">
        <v>35282.93</v>
      </c>
      <c r="K5" s="6">
        <v>19188.170000000002</v>
      </c>
      <c r="L5" s="6">
        <v>13205.289999999999</v>
      </c>
      <c r="M5" s="6">
        <v>15401.92</v>
      </c>
      <c r="N5" s="6">
        <v>280686.14</v>
      </c>
    </row>
    <row r="6" spans="1:14" x14ac:dyDescent="0.2">
      <c r="A6" s="51" t="s">
        <v>9</v>
      </c>
      <c r="B6" s="6">
        <v>166.43</v>
      </c>
      <c r="C6" s="6">
        <v>117.03</v>
      </c>
      <c r="D6" s="6">
        <v>119.97</v>
      </c>
      <c r="E6" s="6">
        <v>63.320000000000007</v>
      </c>
      <c r="F6" s="6">
        <v>55.8</v>
      </c>
      <c r="G6" s="6">
        <v>17.59</v>
      </c>
      <c r="H6" s="6">
        <v>113.19</v>
      </c>
      <c r="I6" s="6">
        <v>120.91</v>
      </c>
      <c r="J6" s="6">
        <v>261.77</v>
      </c>
      <c r="K6" s="6">
        <v>296.18999999999994</v>
      </c>
      <c r="L6" s="6">
        <v>309.27</v>
      </c>
      <c r="M6" s="6">
        <v>331.11</v>
      </c>
      <c r="N6" s="6">
        <v>1972.5800000000004</v>
      </c>
    </row>
    <row r="7" spans="1:14" x14ac:dyDescent="0.2">
      <c r="A7" s="51" t="s">
        <v>33</v>
      </c>
      <c r="B7" s="6">
        <v>5088.46</v>
      </c>
      <c r="C7" s="6">
        <v>5464.1299999999992</v>
      </c>
      <c r="D7" s="6">
        <v>3513.4199999999996</v>
      </c>
      <c r="E7" s="6">
        <v>3564.9700000000003</v>
      </c>
      <c r="F7" s="6">
        <v>6393.2500000000009</v>
      </c>
      <c r="G7" s="6">
        <v>26526.930000000004</v>
      </c>
      <c r="H7" s="6">
        <v>59605.180000000008</v>
      </c>
      <c r="I7" s="6">
        <v>88225.73000000001</v>
      </c>
      <c r="J7" s="6">
        <v>35544.699999999997</v>
      </c>
      <c r="K7" s="6">
        <v>19484.36</v>
      </c>
      <c r="L7" s="6">
        <v>13514.56</v>
      </c>
      <c r="M7" s="6">
        <v>15733.03</v>
      </c>
      <c r="N7" s="6">
        <v>282658.72000000003</v>
      </c>
    </row>
    <row r="9" spans="1:14" x14ac:dyDescent="0.2">
      <c r="A9" s="49" t="s">
        <v>53</v>
      </c>
      <c r="B9" s="49" t="s">
        <v>34</v>
      </c>
    </row>
    <row r="10" spans="1:14" x14ac:dyDescent="0.2">
      <c r="A10" s="49" t="s">
        <v>32</v>
      </c>
      <c r="B10" s="1">
        <v>1</v>
      </c>
      <c r="C10" s="1">
        <v>2</v>
      </c>
      <c r="D10" s="1">
        <v>3</v>
      </c>
      <c r="E10" s="1">
        <v>4</v>
      </c>
      <c r="F10" s="1">
        <v>5</v>
      </c>
      <c r="G10" s="1">
        <v>6</v>
      </c>
      <c r="H10" s="1">
        <v>7</v>
      </c>
      <c r="I10" s="1">
        <v>8</v>
      </c>
      <c r="J10" s="1">
        <v>9</v>
      </c>
      <c r="K10" s="1">
        <v>10</v>
      </c>
      <c r="L10" s="1">
        <v>11</v>
      </c>
      <c r="M10" s="1">
        <v>12</v>
      </c>
      <c r="N10" s="1" t="s">
        <v>33</v>
      </c>
    </row>
    <row r="11" spans="1:14" x14ac:dyDescent="0.2">
      <c r="A11" s="51" t="s">
        <v>7</v>
      </c>
      <c r="B11">
        <v>457730.56</v>
      </c>
      <c r="C11">
        <v>391049.82</v>
      </c>
      <c r="D11">
        <v>346039.01999999996</v>
      </c>
      <c r="E11">
        <v>284202.47000000003</v>
      </c>
      <c r="F11">
        <v>515111.46</v>
      </c>
      <c r="G11">
        <v>367858.19999999995</v>
      </c>
      <c r="H11">
        <v>405075.58999999997</v>
      </c>
      <c r="I11">
        <v>300370.18</v>
      </c>
      <c r="J11">
        <v>271288.96999999997</v>
      </c>
      <c r="K11">
        <v>322312.60000000003</v>
      </c>
      <c r="L11">
        <v>196866.72</v>
      </c>
      <c r="M11">
        <v>270521.96000000002</v>
      </c>
      <c r="N11">
        <v>4128427.55</v>
      </c>
    </row>
    <row r="12" spans="1:14" x14ac:dyDescent="0.2">
      <c r="A12" s="51" t="s">
        <v>9</v>
      </c>
      <c r="B12">
        <v>1428.23</v>
      </c>
      <c r="C12">
        <v>875.59</v>
      </c>
      <c r="D12">
        <v>1061.8400000000001</v>
      </c>
      <c r="E12">
        <v>1159.8200000000002</v>
      </c>
      <c r="F12">
        <v>1709.3600000000001</v>
      </c>
      <c r="G12">
        <v>666.41000000000008</v>
      </c>
      <c r="H12">
        <v>955.69999999999993</v>
      </c>
      <c r="I12">
        <v>893.31</v>
      </c>
      <c r="J12">
        <v>794.87</v>
      </c>
      <c r="K12">
        <v>581.30999999999995</v>
      </c>
      <c r="L12">
        <v>759.65</v>
      </c>
      <c r="M12">
        <v>704.08999999999992</v>
      </c>
      <c r="N12">
        <v>11590.18</v>
      </c>
    </row>
    <row r="13" spans="1:14" x14ac:dyDescent="0.2">
      <c r="A13" s="51" t="s">
        <v>33</v>
      </c>
      <c r="B13">
        <v>459158.79</v>
      </c>
      <c r="C13">
        <v>391925.41000000003</v>
      </c>
      <c r="D13">
        <v>347100.86</v>
      </c>
      <c r="E13">
        <v>285362.29000000004</v>
      </c>
      <c r="F13">
        <v>516820.82</v>
      </c>
      <c r="G13">
        <v>368524.60999999993</v>
      </c>
      <c r="H13">
        <v>406031.29</v>
      </c>
      <c r="I13">
        <v>301263.49</v>
      </c>
      <c r="J13">
        <v>272083.83999999997</v>
      </c>
      <c r="K13">
        <v>322893.91000000003</v>
      </c>
      <c r="L13">
        <v>197626.37</v>
      </c>
      <c r="M13">
        <v>271226.05000000005</v>
      </c>
      <c r="N13">
        <v>4140017.73</v>
      </c>
    </row>
    <row r="15" spans="1:14" x14ac:dyDescent="0.2">
      <c r="A15" s="49" t="s">
        <v>54</v>
      </c>
      <c r="B15" s="49" t="s">
        <v>34</v>
      </c>
    </row>
    <row r="16" spans="1:14" x14ac:dyDescent="0.2">
      <c r="A16" s="49" t="s">
        <v>32</v>
      </c>
      <c r="B16" s="1">
        <v>1</v>
      </c>
      <c r="C16" s="1">
        <v>2</v>
      </c>
      <c r="D16" s="1">
        <v>3</v>
      </c>
      <c r="E16" s="1">
        <v>4</v>
      </c>
      <c r="F16" s="1">
        <v>5</v>
      </c>
      <c r="G16" s="1">
        <v>6</v>
      </c>
      <c r="H16" s="1">
        <v>7</v>
      </c>
      <c r="I16" s="1">
        <v>8</v>
      </c>
      <c r="J16" s="1">
        <v>9</v>
      </c>
      <c r="K16" s="1">
        <v>10</v>
      </c>
      <c r="L16" s="1">
        <v>11</v>
      </c>
      <c r="M16" s="1">
        <v>12</v>
      </c>
      <c r="N16" s="1" t="s">
        <v>33</v>
      </c>
    </row>
    <row r="17" spans="1:14" x14ac:dyDescent="0.2">
      <c r="A17" s="51" t="s">
        <v>7</v>
      </c>
      <c r="B17">
        <v>430.51999999999992</v>
      </c>
      <c r="C17">
        <v>209.98999999999998</v>
      </c>
      <c r="D17">
        <v>224.13</v>
      </c>
      <c r="E17">
        <v>137.35</v>
      </c>
      <c r="F17">
        <v>368.32</v>
      </c>
      <c r="G17">
        <v>202.71999999999997</v>
      </c>
      <c r="H17">
        <v>312.58</v>
      </c>
      <c r="I17">
        <v>119.53999999999999</v>
      </c>
      <c r="J17">
        <v>211.1</v>
      </c>
      <c r="K17">
        <v>340.31</v>
      </c>
      <c r="L17">
        <v>99.54</v>
      </c>
      <c r="M17">
        <v>703.13000000000011</v>
      </c>
      <c r="N17">
        <v>3359.23</v>
      </c>
    </row>
    <row r="18" spans="1:14" x14ac:dyDescent="0.2">
      <c r="A18" s="51" t="s">
        <v>9</v>
      </c>
      <c r="B18">
        <v>0</v>
      </c>
      <c r="C18">
        <v>0</v>
      </c>
      <c r="D18">
        <v>0</v>
      </c>
      <c r="E18">
        <v>0</v>
      </c>
      <c r="F18">
        <v>0</v>
      </c>
      <c r="G18">
        <v>0</v>
      </c>
      <c r="H18">
        <v>0</v>
      </c>
      <c r="I18">
        <v>0</v>
      </c>
      <c r="J18">
        <v>0</v>
      </c>
      <c r="K18">
        <v>0</v>
      </c>
      <c r="L18">
        <v>0</v>
      </c>
      <c r="M18">
        <v>0</v>
      </c>
      <c r="N18">
        <v>0</v>
      </c>
    </row>
    <row r="19" spans="1:14" x14ac:dyDescent="0.2">
      <c r="A19" s="51" t="s">
        <v>33</v>
      </c>
      <c r="B19">
        <v>430.51999999999992</v>
      </c>
      <c r="C19">
        <v>209.98999999999998</v>
      </c>
      <c r="D19">
        <v>224.13</v>
      </c>
      <c r="E19">
        <v>137.35</v>
      </c>
      <c r="F19">
        <v>368.32</v>
      </c>
      <c r="G19">
        <v>202.71999999999997</v>
      </c>
      <c r="H19">
        <v>312.58</v>
      </c>
      <c r="I19">
        <v>119.53999999999999</v>
      </c>
      <c r="J19">
        <v>211.1</v>
      </c>
      <c r="K19">
        <v>340.31</v>
      </c>
      <c r="L19">
        <v>99.54</v>
      </c>
      <c r="M19">
        <v>703.13000000000011</v>
      </c>
      <c r="N19">
        <v>3359.23</v>
      </c>
    </row>
    <row r="21" spans="1:14" x14ac:dyDescent="0.2">
      <c r="A21" s="49" t="s">
        <v>35</v>
      </c>
      <c r="B21" s="49" t="s">
        <v>34</v>
      </c>
    </row>
    <row r="22" spans="1:14" x14ac:dyDescent="0.2">
      <c r="A22" s="49" t="s">
        <v>32</v>
      </c>
      <c r="B22" s="1">
        <v>1</v>
      </c>
      <c r="C22" s="1">
        <v>2</v>
      </c>
      <c r="D22" s="1">
        <v>3</v>
      </c>
      <c r="E22" s="1">
        <v>4</v>
      </c>
      <c r="F22" s="1">
        <v>5</v>
      </c>
      <c r="G22" s="1">
        <v>6</v>
      </c>
      <c r="H22" s="1">
        <v>7</v>
      </c>
      <c r="I22" s="1">
        <v>8</v>
      </c>
      <c r="J22" s="1">
        <v>9</v>
      </c>
      <c r="K22" s="1">
        <v>10</v>
      </c>
      <c r="L22" s="1">
        <v>11</v>
      </c>
      <c r="M22" s="1">
        <v>12</v>
      </c>
      <c r="N22" s="1" t="s">
        <v>33</v>
      </c>
    </row>
    <row r="23" spans="1:14" x14ac:dyDescent="0.2">
      <c r="A23" s="51" t="s">
        <v>7</v>
      </c>
      <c r="B23">
        <v>81045.739999999991</v>
      </c>
      <c r="C23">
        <v>53033.599999999999</v>
      </c>
      <c r="D23">
        <v>50617.23</v>
      </c>
      <c r="E23">
        <v>50835.96</v>
      </c>
      <c r="F23">
        <v>93510.81</v>
      </c>
      <c r="G23">
        <v>70760.429999999993</v>
      </c>
      <c r="H23">
        <v>83630.92</v>
      </c>
      <c r="I23">
        <v>57210.66</v>
      </c>
      <c r="J23">
        <v>44724.3</v>
      </c>
      <c r="K23">
        <v>52837.700000000004</v>
      </c>
      <c r="L23">
        <v>37477.14</v>
      </c>
      <c r="M23">
        <v>38546.839999999997</v>
      </c>
      <c r="N23">
        <v>714231.33</v>
      </c>
    </row>
    <row r="24" spans="1:14" x14ac:dyDescent="0.2">
      <c r="A24" s="51" t="s">
        <v>9</v>
      </c>
      <c r="B24">
        <v>5520.84</v>
      </c>
      <c r="C24">
        <v>4268.7699999999995</v>
      </c>
      <c r="D24">
        <v>5783.5</v>
      </c>
      <c r="E24">
        <v>7229.53</v>
      </c>
      <c r="F24">
        <v>5512.84</v>
      </c>
      <c r="G24">
        <v>4107.34</v>
      </c>
      <c r="H24">
        <v>10398.35</v>
      </c>
      <c r="I24">
        <v>5989.07</v>
      </c>
      <c r="J24">
        <v>8796.7800000000007</v>
      </c>
      <c r="K24">
        <v>8975.4399999999987</v>
      </c>
      <c r="L24">
        <v>7198.93</v>
      </c>
      <c r="M24">
        <v>5403.92</v>
      </c>
      <c r="N24">
        <v>79185.309999999983</v>
      </c>
    </row>
    <row r="25" spans="1:14" x14ac:dyDescent="0.2">
      <c r="A25" s="51" t="s">
        <v>33</v>
      </c>
      <c r="B25">
        <v>86566.579999999987</v>
      </c>
      <c r="C25">
        <v>57302.369999999995</v>
      </c>
      <c r="D25">
        <v>56400.73</v>
      </c>
      <c r="E25">
        <v>58065.49</v>
      </c>
      <c r="F25">
        <v>99023.65</v>
      </c>
      <c r="G25">
        <v>74867.76999999999</v>
      </c>
      <c r="H25">
        <v>94029.27</v>
      </c>
      <c r="I25">
        <v>63199.73</v>
      </c>
      <c r="J25">
        <v>53521.08</v>
      </c>
      <c r="K25">
        <v>61813.14</v>
      </c>
      <c r="L25">
        <v>44676.07</v>
      </c>
      <c r="M25">
        <v>43950.759999999995</v>
      </c>
      <c r="N25">
        <v>793416.6399999999</v>
      </c>
    </row>
    <row r="27" spans="1:14" x14ac:dyDescent="0.2">
      <c r="A27" s="49" t="s">
        <v>36</v>
      </c>
      <c r="B27" s="49" t="s">
        <v>34</v>
      </c>
    </row>
    <row r="28" spans="1:14" x14ac:dyDescent="0.2">
      <c r="A28" s="49" t="s">
        <v>32</v>
      </c>
      <c r="B28" s="1">
        <v>1</v>
      </c>
      <c r="C28" s="1">
        <v>2</v>
      </c>
      <c r="D28" s="1">
        <v>3</v>
      </c>
      <c r="E28" s="1">
        <v>4</v>
      </c>
      <c r="F28" s="1">
        <v>5</v>
      </c>
      <c r="G28" s="1">
        <v>6</v>
      </c>
      <c r="H28" s="1">
        <v>7</v>
      </c>
      <c r="I28" s="1">
        <v>8</v>
      </c>
      <c r="J28" s="1">
        <v>9</v>
      </c>
      <c r="K28" s="1">
        <v>10</v>
      </c>
      <c r="L28" s="1">
        <v>11</v>
      </c>
      <c r="M28" s="1">
        <v>12</v>
      </c>
      <c r="N28" s="1" t="s">
        <v>33</v>
      </c>
    </row>
    <row r="29" spans="1:14" x14ac:dyDescent="0.2">
      <c r="A29" s="51" t="s">
        <v>7</v>
      </c>
      <c r="B29">
        <v>2130.9299999999998</v>
      </c>
      <c r="C29">
        <v>5621.56</v>
      </c>
      <c r="D29">
        <v>1555.8799999999999</v>
      </c>
      <c r="E29">
        <v>1961.99</v>
      </c>
      <c r="F29">
        <v>1044.6999999999998</v>
      </c>
      <c r="G29">
        <v>1490.1</v>
      </c>
      <c r="H29">
        <v>1972.3899999999996</v>
      </c>
      <c r="I29">
        <v>1084.78</v>
      </c>
      <c r="J29">
        <v>1683.8899999999999</v>
      </c>
      <c r="K29">
        <v>1405.67</v>
      </c>
      <c r="L29">
        <v>1341.98</v>
      </c>
      <c r="M29">
        <v>1873</v>
      </c>
      <c r="N29">
        <v>23166.87</v>
      </c>
    </row>
    <row r="30" spans="1:14" x14ac:dyDescent="0.2">
      <c r="A30" s="51" t="s">
        <v>9</v>
      </c>
      <c r="B30">
        <v>15.59</v>
      </c>
      <c r="C30">
        <v>7.87</v>
      </c>
      <c r="D30">
        <v>0</v>
      </c>
      <c r="E30">
        <v>0</v>
      </c>
      <c r="F30">
        <v>0</v>
      </c>
      <c r="G30">
        <v>0</v>
      </c>
      <c r="H30">
        <v>0</v>
      </c>
      <c r="I30">
        <v>0</v>
      </c>
      <c r="J30">
        <v>0</v>
      </c>
      <c r="K30">
        <v>0</v>
      </c>
      <c r="L30">
        <v>0</v>
      </c>
      <c r="M30">
        <v>0</v>
      </c>
      <c r="N30">
        <v>23.46</v>
      </c>
    </row>
    <row r="31" spans="1:14" x14ac:dyDescent="0.2">
      <c r="A31" s="51" t="s">
        <v>33</v>
      </c>
      <c r="B31">
        <v>2146.52</v>
      </c>
      <c r="C31">
        <v>5629.43</v>
      </c>
      <c r="D31">
        <v>1555.8799999999999</v>
      </c>
      <c r="E31">
        <v>1961.99</v>
      </c>
      <c r="F31">
        <v>1044.6999999999998</v>
      </c>
      <c r="G31">
        <v>1490.1</v>
      </c>
      <c r="H31">
        <v>1972.3899999999996</v>
      </c>
      <c r="I31">
        <v>1084.78</v>
      </c>
      <c r="J31">
        <v>1683.8899999999999</v>
      </c>
      <c r="K31">
        <v>1405.67</v>
      </c>
      <c r="L31">
        <v>1341.98</v>
      </c>
      <c r="M31">
        <v>1873</v>
      </c>
      <c r="N31">
        <v>23190.329999999998</v>
      </c>
    </row>
    <row r="33" spans="1:14" x14ac:dyDescent="0.2">
      <c r="A33" s="49" t="s">
        <v>37</v>
      </c>
      <c r="B33" s="49" t="s">
        <v>34</v>
      </c>
    </row>
    <row r="34" spans="1:14" x14ac:dyDescent="0.2">
      <c r="A34" s="49" t="s">
        <v>32</v>
      </c>
      <c r="B34" s="1">
        <v>1</v>
      </c>
      <c r="C34" s="1">
        <v>2</v>
      </c>
      <c r="D34" s="1">
        <v>3</v>
      </c>
      <c r="E34" s="1">
        <v>4</v>
      </c>
      <c r="F34" s="1">
        <v>5</v>
      </c>
      <c r="G34" s="1">
        <v>6</v>
      </c>
      <c r="H34" s="1">
        <v>7</v>
      </c>
      <c r="I34" s="1">
        <v>8</v>
      </c>
      <c r="J34" s="1">
        <v>9</v>
      </c>
      <c r="K34" s="1">
        <v>10</v>
      </c>
      <c r="L34" s="1">
        <v>11</v>
      </c>
      <c r="M34" s="1">
        <v>12</v>
      </c>
      <c r="N34" s="1" t="s">
        <v>33</v>
      </c>
    </row>
    <row r="35" spans="1:14" x14ac:dyDescent="0.2">
      <c r="A35" s="51" t="s">
        <v>7</v>
      </c>
      <c r="B35" s="6">
        <v>0</v>
      </c>
      <c r="C35" s="6">
        <v>0</v>
      </c>
      <c r="D35" s="6">
        <v>0</v>
      </c>
      <c r="E35" s="6">
        <v>231.94</v>
      </c>
      <c r="F35" s="6">
        <v>1203.6100000000001</v>
      </c>
      <c r="G35" s="6">
        <v>6335</v>
      </c>
      <c r="H35" s="6">
        <v>10190</v>
      </c>
      <c r="I35" s="6">
        <v>3527.23</v>
      </c>
      <c r="J35" s="6">
        <v>105</v>
      </c>
      <c r="K35" s="6">
        <v>0</v>
      </c>
      <c r="L35" s="6">
        <v>56.94</v>
      </c>
      <c r="M35" s="6">
        <v>43.22</v>
      </c>
      <c r="N35" s="6">
        <v>21692.94</v>
      </c>
    </row>
    <row r="36" spans="1:14" x14ac:dyDescent="0.2">
      <c r="A36" s="51" t="s">
        <v>9</v>
      </c>
      <c r="B36" s="6">
        <v>0</v>
      </c>
      <c r="C36" s="6">
        <v>0</v>
      </c>
      <c r="D36" s="6">
        <v>0</v>
      </c>
      <c r="E36" s="6">
        <v>0</v>
      </c>
      <c r="F36" s="6">
        <v>0</v>
      </c>
      <c r="G36" s="6">
        <v>0</v>
      </c>
      <c r="H36" s="6">
        <v>0</v>
      </c>
      <c r="I36" s="6">
        <v>0</v>
      </c>
      <c r="J36" s="6">
        <v>0</v>
      </c>
      <c r="K36" s="6">
        <v>0</v>
      </c>
      <c r="L36" s="6">
        <v>0</v>
      </c>
      <c r="M36" s="6">
        <v>0</v>
      </c>
      <c r="N36" s="6">
        <v>0</v>
      </c>
    </row>
    <row r="37" spans="1:14" x14ac:dyDescent="0.2">
      <c r="A37" s="51" t="s">
        <v>33</v>
      </c>
      <c r="B37" s="6">
        <v>0</v>
      </c>
      <c r="C37" s="6">
        <v>0</v>
      </c>
      <c r="D37" s="6">
        <v>0</v>
      </c>
      <c r="E37" s="6">
        <v>231.94</v>
      </c>
      <c r="F37" s="6">
        <v>1203.6100000000001</v>
      </c>
      <c r="G37" s="6">
        <v>6335</v>
      </c>
      <c r="H37" s="6">
        <v>10190</v>
      </c>
      <c r="I37" s="6">
        <v>3527.23</v>
      </c>
      <c r="J37" s="6">
        <v>105</v>
      </c>
      <c r="K37" s="6">
        <v>0</v>
      </c>
      <c r="L37" s="6">
        <v>56.94</v>
      </c>
      <c r="M37" s="6">
        <v>43.22</v>
      </c>
      <c r="N37" s="6">
        <v>21692.94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81D5-2F28-4CEE-BECA-FA59C03D66B6}">
  <dimension ref="A1:AB68"/>
  <sheetViews>
    <sheetView showGridLines="0" tabSelected="1" zoomScale="117" workbookViewId="0">
      <selection activeCell="N59" sqref="N59"/>
    </sheetView>
  </sheetViews>
  <sheetFormatPr baseColWidth="10" defaultColWidth="8.83203125" defaultRowHeight="15" x14ac:dyDescent="0.2"/>
  <cols>
    <col min="1" max="1" width="25.5" customWidth="1"/>
    <col min="2" max="2" width="12.5" bestFit="1" customWidth="1"/>
    <col min="3" max="3" width="22.6640625" customWidth="1"/>
    <col min="4" max="5" width="11.33203125" bestFit="1" customWidth="1"/>
    <col min="6" max="6" width="11.1640625" customWidth="1"/>
    <col min="7" max="7" width="11.5" customWidth="1"/>
    <col min="8" max="8" width="12.1640625" customWidth="1"/>
    <col min="9" max="9" width="11.1640625" customWidth="1"/>
    <col min="10" max="10" width="11.6640625" customWidth="1"/>
    <col min="11" max="11" width="11.5" customWidth="1"/>
    <col min="12" max="12" width="13.1640625" customWidth="1"/>
    <col min="13" max="13" width="12" customWidth="1"/>
    <col min="14" max="14" width="14.33203125" customWidth="1"/>
    <col min="15" max="15" width="6.5" customWidth="1"/>
    <col min="16" max="16" width="11.33203125" bestFit="1" customWidth="1"/>
  </cols>
  <sheetData>
    <row r="1" spans="1:28" ht="33" x14ac:dyDescent="0.35">
      <c r="H1" s="9" t="s">
        <v>28</v>
      </c>
    </row>
    <row r="3" spans="1:28" ht="16" x14ac:dyDescent="0.2">
      <c r="H3" s="10" t="s">
        <v>29</v>
      </c>
      <c r="I3" s="10"/>
      <c r="J3" s="10"/>
      <c r="K3" s="10"/>
      <c r="L3" s="10"/>
      <c r="M3" s="10"/>
      <c r="N3" s="10"/>
      <c r="O3" s="10"/>
      <c r="P3" s="10"/>
      <c r="Q3" s="10"/>
      <c r="R3" s="10"/>
      <c r="S3" s="10"/>
      <c r="T3" s="10"/>
      <c r="U3" s="10"/>
    </row>
    <row r="4" spans="1:28" ht="16" x14ac:dyDescent="0.2">
      <c r="H4" s="10" t="s">
        <v>11</v>
      </c>
      <c r="I4" s="10"/>
      <c r="J4" s="10"/>
      <c r="K4" s="10"/>
      <c r="L4" s="10"/>
      <c r="M4" s="10"/>
      <c r="N4" s="10"/>
      <c r="O4" s="10"/>
      <c r="P4" s="10"/>
      <c r="Q4" s="10"/>
      <c r="R4" s="10"/>
      <c r="S4" s="10"/>
      <c r="T4" s="10"/>
      <c r="U4" s="10"/>
    </row>
    <row r="5" spans="1:28" ht="16" x14ac:dyDescent="0.2">
      <c r="H5" s="58" t="s">
        <v>30</v>
      </c>
      <c r="I5" s="59"/>
      <c r="J5" s="59"/>
      <c r="K5" s="59"/>
      <c r="L5" s="59"/>
      <c r="M5" s="59"/>
      <c r="N5" s="59"/>
      <c r="O5" s="59"/>
      <c r="P5" s="59"/>
      <c r="Q5" s="59"/>
      <c r="R5" s="59"/>
      <c r="S5" s="59"/>
      <c r="T5" s="59"/>
      <c r="U5" s="10"/>
    </row>
    <row r="6" spans="1:28" ht="31.5" customHeight="1" x14ac:dyDescent="0.2">
      <c r="H6" s="59"/>
      <c r="I6" s="59"/>
      <c r="J6" s="59"/>
      <c r="K6" s="59"/>
      <c r="L6" s="59"/>
      <c r="M6" s="59"/>
      <c r="N6" s="59"/>
      <c r="O6" s="59"/>
      <c r="P6" s="59"/>
      <c r="Q6" s="59"/>
      <c r="R6" s="59"/>
      <c r="S6" s="59"/>
      <c r="T6" s="59"/>
      <c r="U6" s="10"/>
    </row>
    <row r="7" spans="1:28" ht="15.75" customHeight="1" x14ac:dyDescent="0.2">
      <c r="H7" s="58" t="s">
        <v>31</v>
      </c>
      <c r="I7" s="60"/>
      <c r="J7" s="60"/>
      <c r="K7" s="60"/>
      <c r="L7" s="60"/>
      <c r="M7" s="60"/>
      <c r="N7" s="60"/>
      <c r="O7" s="60"/>
      <c r="P7" s="60"/>
      <c r="Q7" s="60"/>
      <c r="R7" s="60"/>
      <c r="S7" s="60"/>
      <c r="T7" s="60"/>
      <c r="U7" s="60"/>
    </row>
    <row r="12" spans="1:28" ht="16" x14ac:dyDescent="0.2">
      <c r="A12" s="8" t="s">
        <v>44</v>
      </c>
    </row>
    <row r="13" spans="1:28" s="17" customFormat="1" ht="52.5" customHeight="1" x14ac:dyDescent="0.2">
      <c r="A13" s="63" t="s">
        <v>55</v>
      </c>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1:28" x14ac:dyDescent="0.2">
      <c r="A14" s="7"/>
    </row>
    <row r="15" spans="1:28" x14ac:dyDescent="0.2">
      <c r="A15" s="7" t="s">
        <v>24</v>
      </c>
      <c r="B15" s="2"/>
      <c r="C15" s="2"/>
      <c r="D15" s="2"/>
      <c r="E15" s="2"/>
      <c r="F15" s="2"/>
      <c r="G15" s="2"/>
      <c r="H15" s="2"/>
      <c r="I15" s="2"/>
      <c r="J15" s="2"/>
      <c r="K15" s="2"/>
      <c r="L15" s="2"/>
      <c r="M15" s="2"/>
      <c r="V15" t="s">
        <v>68</v>
      </c>
      <c r="W15" t="s">
        <v>69</v>
      </c>
    </row>
    <row r="16" spans="1:28" ht="16" x14ac:dyDescent="0.2">
      <c r="A16" s="11"/>
      <c r="B16" s="13" t="s">
        <v>12</v>
      </c>
      <c r="C16" s="13" t="s">
        <v>13</v>
      </c>
      <c r="D16" s="13" t="s">
        <v>14</v>
      </c>
      <c r="E16" s="13" t="s">
        <v>15</v>
      </c>
      <c r="F16" s="13" t="s">
        <v>16</v>
      </c>
      <c r="G16" s="13" t="s">
        <v>17</v>
      </c>
      <c r="H16" s="13" t="s">
        <v>18</v>
      </c>
      <c r="I16" s="13" t="s">
        <v>19</v>
      </c>
      <c r="J16" s="13" t="s">
        <v>20</v>
      </c>
      <c r="K16" s="13" t="s">
        <v>21</v>
      </c>
      <c r="L16" s="13" t="s">
        <v>22</v>
      </c>
      <c r="M16" s="13" t="s">
        <v>23</v>
      </c>
      <c r="N16" s="13" t="s">
        <v>27</v>
      </c>
      <c r="P16" s="53"/>
      <c r="Q16" s="54" t="s">
        <v>12</v>
      </c>
      <c r="R16" s="54" t="s">
        <v>13</v>
      </c>
      <c r="S16" s="54" t="s">
        <v>14</v>
      </c>
      <c r="T16" s="54" t="s">
        <v>15</v>
      </c>
      <c r="U16" s="54" t="s">
        <v>16</v>
      </c>
      <c r="V16" s="54" t="s">
        <v>17</v>
      </c>
      <c r="W16" s="54" t="s">
        <v>18</v>
      </c>
      <c r="X16" s="54" t="s">
        <v>19</v>
      </c>
      <c r="Y16" s="54" t="s">
        <v>20</v>
      </c>
      <c r="Z16" s="54" t="s">
        <v>21</v>
      </c>
      <c r="AA16" s="54" t="s">
        <v>22</v>
      </c>
      <c r="AB16" s="54" t="s">
        <v>23</v>
      </c>
    </row>
    <row r="17" spans="1:28" ht="17" thickBot="1" x14ac:dyDescent="0.25">
      <c r="A17" s="12"/>
      <c r="B17" s="13">
        <v>1</v>
      </c>
      <c r="C17" s="13">
        <v>2</v>
      </c>
      <c r="D17" s="13">
        <v>3</v>
      </c>
      <c r="E17" s="13">
        <v>4</v>
      </c>
      <c r="F17" s="13">
        <v>5</v>
      </c>
      <c r="G17" s="13">
        <v>6</v>
      </c>
      <c r="H17" s="13">
        <v>7</v>
      </c>
      <c r="I17" s="13">
        <v>8</v>
      </c>
      <c r="J17" s="13">
        <v>9</v>
      </c>
      <c r="K17" s="13">
        <v>10</v>
      </c>
      <c r="L17" s="13">
        <v>11</v>
      </c>
      <c r="M17" s="13">
        <v>12</v>
      </c>
      <c r="N17" s="13"/>
      <c r="P17" s="53"/>
      <c r="Q17" s="54">
        <v>1</v>
      </c>
      <c r="R17" s="54">
        <v>2</v>
      </c>
      <c r="S17" s="54">
        <v>3</v>
      </c>
      <c r="T17" s="54">
        <v>4</v>
      </c>
      <c r="U17" s="54">
        <v>5</v>
      </c>
      <c r="V17" s="54">
        <v>6</v>
      </c>
      <c r="W17" s="54">
        <v>7</v>
      </c>
      <c r="X17" s="54">
        <v>8</v>
      </c>
      <c r="Y17" s="54">
        <v>9</v>
      </c>
      <c r="Z17" s="54">
        <v>10</v>
      </c>
      <c r="AA17" s="54">
        <v>11</v>
      </c>
      <c r="AB17" s="54">
        <v>12</v>
      </c>
    </row>
    <row r="18" spans="1:28" ht="17" thickBot="1" x14ac:dyDescent="0.25">
      <c r="A18" s="14" t="s">
        <v>48</v>
      </c>
      <c r="B18" s="28">
        <v>4922.03</v>
      </c>
      <c r="C18" s="28">
        <v>5347.0999999999995</v>
      </c>
      <c r="D18" s="28">
        <v>3393.45</v>
      </c>
      <c r="E18" s="28">
        <v>3501.65</v>
      </c>
      <c r="F18" s="28">
        <v>6337.4500000000007</v>
      </c>
      <c r="G18" s="28">
        <v>26509.340000000004</v>
      </c>
      <c r="H18" s="28">
        <v>59491.990000000005</v>
      </c>
      <c r="I18" s="28">
        <v>88104.82</v>
      </c>
      <c r="J18" s="28">
        <v>35282.93</v>
      </c>
      <c r="K18" s="28">
        <v>19188.170000000002</v>
      </c>
      <c r="L18" s="28">
        <v>13205.289999999999</v>
      </c>
      <c r="M18" s="28">
        <v>15401.92</v>
      </c>
      <c r="N18" s="29">
        <v>280686.14</v>
      </c>
      <c r="P18" s="55" t="s">
        <v>48</v>
      </c>
      <c r="Q18" s="52" t="str">
        <f>IF(B18=GETPIVOTDATA("Haas",'reference pivot tables'!$A$3,"Month",Q$17,"Growth_Type","conventional"),"☑","❗️")</f>
        <v>☑</v>
      </c>
      <c r="R18" s="52" t="str">
        <f>IF(C18=GETPIVOTDATA("Haas",'reference pivot tables'!$A$3,"Month",R$17,"Growth_Type","conventional"),"☑","❗️")</f>
        <v>☑</v>
      </c>
      <c r="S18" s="52" t="str">
        <f>IF(D18=GETPIVOTDATA("Haas",'reference pivot tables'!$A$3,"Month",S$17,"Growth_Type","conventional"),"☑","❗️")</f>
        <v>☑</v>
      </c>
      <c r="T18" s="52" t="str">
        <f>IF(E18=GETPIVOTDATA("Haas",'reference pivot tables'!$A$3,"Month",T$17,"Growth_Type","conventional"),"☑","❗️")</f>
        <v>☑</v>
      </c>
      <c r="U18" s="52" t="str">
        <f>IF(F18=GETPIVOTDATA("Haas",'reference pivot tables'!$A$3,"Month",U$17,"Growth_Type","conventional"),"☑","❗️")</f>
        <v>☑</v>
      </c>
      <c r="V18" s="52" t="str">
        <f>IF(G18=GETPIVOTDATA("Haas",'reference pivot tables'!$A$3,"Month",V$17,"Growth_Type","conventional"),"☑","❗️")</f>
        <v>☑</v>
      </c>
      <c r="W18" s="52" t="str">
        <f>IF(H18=GETPIVOTDATA("Haas",'reference pivot tables'!$A$3,"Month",W$17,"Growth_Type","conventional"),"☑","❗️")</f>
        <v>☑</v>
      </c>
      <c r="X18" s="52" t="str">
        <f>IF(I18=GETPIVOTDATA("Haas",'reference pivot tables'!$A$3,"Month",X$17,"Growth_Type","conventional"),"☑","❗️")</f>
        <v>☑</v>
      </c>
      <c r="Y18" s="52" t="str">
        <f>IF(J18=GETPIVOTDATA("Haas",'reference pivot tables'!$A$3,"Month",Y$17,"Growth_Type","conventional"),"☑","❗️")</f>
        <v>☑</v>
      </c>
      <c r="Z18" s="52" t="str">
        <f>IF(K18=GETPIVOTDATA("Haas",'reference pivot tables'!$A$3,"Month",Z$17,"Growth_Type","conventional"),"☑","❗️")</f>
        <v>☑</v>
      </c>
      <c r="AA18" s="52" t="str">
        <f>IF(L18=GETPIVOTDATA("Haas",'reference pivot tables'!$A$3,"Month",AA$17,"Growth_Type","conventional"),"☑","❗️")</f>
        <v>☑</v>
      </c>
      <c r="AB18" s="52" t="str">
        <f>IF(M18=GETPIVOTDATA("Haas",'reference pivot tables'!$A$3,"Month",AB$17,"Growth_Type","conventional"),"☑","❗️")</f>
        <v>☑</v>
      </c>
    </row>
    <row r="19" spans="1:28" ht="17" thickBot="1" x14ac:dyDescent="0.25">
      <c r="A19" s="14" t="s">
        <v>50</v>
      </c>
      <c r="B19" s="28">
        <v>457730.56</v>
      </c>
      <c r="C19" s="28">
        <v>391049.82</v>
      </c>
      <c r="D19" s="28">
        <v>346039.01999999996</v>
      </c>
      <c r="E19" s="28">
        <v>284202.47000000003</v>
      </c>
      <c r="F19" s="28">
        <v>515111.46</v>
      </c>
      <c r="G19" s="28">
        <v>367858.19999999995</v>
      </c>
      <c r="H19" s="28">
        <v>405075.58999999997</v>
      </c>
      <c r="I19" s="28">
        <v>300370.18</v>
      </c>
      <c r="J19" s="28">
        <v>271288.96999999997</v>
      </c>
      <c r="K19" s="28">
        <v>322312.60000000003</v>
      </c>
      <c r="L19" s="28">
        <v>196866.72</v>
      </c>
      <c r="M19" s="28">
        <v>270521.96000000002</v>
      </c>
      <c r="N19" s="29">
        <v>4128427.55</v>
      </c>
      <c r="P19" s="55" t="s">
        <v>50</v>
      </c>
      <c r="Q19" s="52" t="str">
        <f>IF(B19=GETPIVOTDATA("Reed",'reference pivot tables'!$A$9,"Month",Q$17,"Growth_Type","conventional"),"☑","❗️")</f>
        <v>☑</v>
      </c>
      <c r="R19" s="52" t="str">
        <f>IF(C19=GETPIVOTDATA("Reed",'reference pivot tables'!$A$9,"Month",R$17,"Growth_Type","conventional"),"☑","❗️")</f>
        <v>☑</v>
      </c>
      <c r="S19" s="52" t="str">
        <f>IF(D19=GETPIVOTDATA("Reed",'reference pivot tables'!$A$9,"Month",S$17,"Growth_Type","conventional"),"☑","❗️")</f>
        <v>☑</v>
      </c>
      <c r="T19" s="52" t="str">
        <f>IF(E19=GETPIVOTDATA("Reed",'reference pivot tables'!$A$9,"Month",T$17,"Growth_Type","conventional"),"☑","❗️")</f>
        <v>☑</v>
      </c>
      <c r="U19" s="52" t="str">
        <f>IF(F19=GETPIVOTDATA("Reed",'reference pivot tables'!$A$9,"Month",U$17,"Growth_Type","conventional"),"☑","❗️")</f>
        <v>☑</v>
      </c>
      <c r="V19" s="52" t="str">
        <f>IF(G19=GETPIVOTDATA("Reed",'reference pivot tables'!$A$9,"Month",V$17,"Growth_Type","conventional"),"☑","❗️")</f>
        <v>☑</v>
      </c>
      <c r="W19" s="52" t="str">
        <f>IF(H19=GETPIVOTDATA("Reed",'reference pivot tables'!$A$9,"Month",W$17,"Growth_Type","conventional"),"☑","❗️")</f>
        <v>☑</v>
      </c>
      <c r="X19" s="52" t="str">
        <f>IF(I19=GETPIVOTDATA("Reed",'reference pivot tables'!$A$9,"Month",X$17,"Growth_Type","conventional"),"☑","❗️")</f>
        <v>☑</v>
      </c>
      <c r="Y19" s="52" t="str">
        <f>IF(J19=GETPIVOTDATA("Reed",'reference pivot tables'!$A$9,"Month",Y$17,"Growth_Type","conventional"),"☑","❗️")</f>
        <v>☑</v>
      </c>
      <c r="Z19" s="52" t="str">
        <f>IF(K19=GETPIVOTDATA("Reed",'reference pivot tables'!$A$9,"Month",Z$17,"Growth_Type","conventional"),"☑","❗️")</f>
        <v>☑</v>
      </c>
      <c r="AA19" s="52" t="str">
        <f>IF(L19=GETPIVOTDATA("Reed",'reference pivot tables'!$A$9,"Month",AA$17,"Growth_Type","conventional"),"☑","❗️")</f>
        <v>☑</v>
      </c>
      <c r="AB19" s="52" t="str">
        <f>IF(M19=GETPIVOTDATA("Reed",'reference pivot tables'!$A$9,"Month",AB$17,"Growth_Type","conventional"),"☑","❗️")</f>
        <v>☑</v>
      </c>
    </row>
    <row r="20" spans="1:28" ht="17" thickBot="1" x14ac:dyDescent="0.25">
      <c r="A20" s="14" t="s">
        <v>51</v>
      </c>
      <c r="B20" s="28">
        <v>430.51999999999992</v>
      </c>
      <c r="C20" s="28">
        <v>209.98999999999998</v>
      </c>
      <c r="D20" s="28">
        <v>224.13</v>
      </c>
      <c r="E20" s="28">
        <v>137.35</v>
      </c>
      <c r="F20" s="28">
        <v>368.32</v>
      </c>
      <c r="G20" s="28">
        <v>202.71999999999997</v>
      </c>
      <c r="H20" s="28">
        <v>312.58</v>
      </c>
      <c r="I20" s="28">
        <v>119.53999999999999</v>
      </c>
      <c r="J20" s="28">
        <v>211.1</v>
      </c>
      <c r="K20" s="28">
        <v>340.31</v>
      </c>
      <c r="L20" s="28">
        <v>99.54</v>
      </c>
      <c r="M20" s="28">
        <v>703.13000000000011</v>
      </c>
      <c r="N20" s="29">
        <v>3359.23</v>
      </c>
      <c r="P20" s="55" t="s">
        <v>51</v>
      </c>
      <c r="Q20" s="52" t="str">
        <f>IF(B20=GETPIVOTDATA("Zutano",'reference pivot tables'!$A$15,"Month",Q$17,"Growth_Type","conventional"),"☑","❗️")</f>
        <v>☑</v>
      </c>
      <c r="R20" s="52" t="str">
        <f>IF(C20=GETPIVOTDATA("Zutano",'reference pivot tables'!$A$15,"Month",R$17,"Growth_Type","conventional"),"☑","❗️")</f>
        <v>☑</v>
      </c>
      <c r="S20" s="52" t="str">
        <f>IF(D20=GETPIVOTDATA("Zutano",'reference pivot tables'!$A$15,"Month",S$17,"Growth_Type","conventional"),"☑","❗️")</f>
        <v>☑</v>
      </c>
      <c r="T20" s="52" t="str">
        <f>IF(E20=GETPIVOTDATA("Zutano",'reference pivot tables'!$A$15,"Month",T$17,"Growth_Type","conventional"),"☑","❗️")</f>
        <v>☑</v>
      </c>
      <c r="U20" s="52" t="str">
        <f>IF(F20=GETPIVOTDATA("Zutano",'reference pivot tables'!$A$15,"Month",U$17,"Growth_Type","conventional"),"☑","❗️")</f>
        <v>☑</v>
      </c>
      <c r="V20" s="52" t="str">
        <f>IF(G20=GETPIVOTDATA("Zutano",'reference pivot tables'!$A$15,"Month",V$17,"Growth_Type","conventional"),"☑","❗️")</f>
        <v>☑</v>
      </c>
      <c r="W20" s="52" t="str">
        <f>IF(H20=GETPIVOTDATA("Zutano",'reference pivot tables'!$A$15,"Month",W$17,"Growth_Type","conventional"),"☑","❗️")</f>
        <v>☑</v>
      </c>
      <c r="X20" s="52" t="str">
        <f>IF(I20=GETPIVOTDATA("Zutano",'reference pivot tables'!$A$15,"Month",X$17,"Growth_Type","conventional"),"☑","❗️")</f>
        <v>☑</v>
      </c>
      <c r="Y20" s="52" t="str">
        <f>IF(J20=GETPIVOTDATA("Zutano",'reference pivot tables'!$A$15,"Month",Y$17,"Growth_Type","conventional"),"☑","❗️")</f>
        <v>☑</v>
      </c>
      <c r="Z20" s="52" t="str">
        <f>IF(K20=GETPIVOTDATA("Zutano",'reference pivot tables'!$A$15,"Month",Z$17,"Growth_Type","conventional"),"☑","❗️")</f>
        <v>☑</v>
      </c>
      <c r="AA20" s="52" t="str">
        <f>IF(L20=GETPIVOTDATA("Zutano",'reference pivot tables'!$A$15,"Month",AA$17,"Growth_Type","conventional"),"☑","❗️")</f>
        <v>☑</v>
      </c>
      <c r="AB20" s="52" t="str">
        <f>IF(M20=GETPIVOTDATA("Zutano",'reference pivot tables'!$A$15,"Month",AB$17,"Growth_Type","conventional"),"☑","❗️")</f>
        <v>☑</v>
      </c>
    </row>
    <row r="21" spans="1:28" ht="16" thickBot="1" x14ac:dyDescent="0.25">
      <c r="A21" s="14" t="s">
        <v>26</v>
      </c>
      <c r="B21" s="30">
        <v>463083.11000000004</v>
      </c>
      <c r="C21" s="30">
        <v>396606.91</v>
      </c>
      <c r="D21" s="30">
        <v>349656.6</v>
      </c>
      <c r="E21" s="30">
        <v>287841.47000000003</v>
      </c>
      <c r="F21" s="30">
        <v>521817.23000000004</v>
      </c>
      <c r="G21" s="30">
        <v>394570.25999999995</v>
      </c>
      <c r="H21" s="30">
        <v>464880.16</v>
      </c>
      <c r="I21" s="30">
        <v>388594.54</v>
      </c>
      <c r="J21" s="30">
        <v>306782.99999999994</v>
      </c>
      <c r="K21" s="30">
        <v>341841.08</v>
      </c>
      <c r="L21" s="30">
        <v>210171.55000000002</v>
      </c>
      <c r="M21" s="30">
        <v>286627.01</v>
      </c>
      <c r="N21" s="29">
        <v>4412472.92</v>
      </c>
    </row>
    <row r="22" spans="1:28" ht="17" thickTop="1" thickBot="1" x14ac:dyDescent="0.25">
      <c r="B22" s="27"/>
      <c r="C22" s="27"/>
      <c r="D22" s="27"/>
      <c r="E22" s="27"/>
      <c r="F22" s="27"/>
      <c r="G22" s="27"/>
      <c r="H22" s="27"/>
      <c r="I22" s="27"/>
      <c r="J22" s="27"/>
      <c r="K22" s="27"/>
      <c r="L22" s="27"/>
      <c r="M22" s="27"/>
      <c r="N22" s="31"/>
    </row>
    <row r="23" spans="1:28" ht="17" thickBot="1" x14ac:dyDescent="0.25">
      <c r="A23" s="14" t="s">
        <v>4</v>
      </c>
      <c r="B23" s="28">
        <v>81045.739999999991</v>
      </c>
      <c r="C23" s="28">
        <v>53033.599999999999</v>
      </c>
      <c r="D23" s="28">
        <v>50617.23</v>
      </c>
      <c r="E23" s="28">
        <v>50835.96</v>
      </c>
      <c r="F23" s="28">
        <v>93510.81</v>
      </c>
      <c r="G23" s="28">
        <v>70760.429999999993</v>
      </c>
      <c r="H23" s="28">
        <v>83630.92</v>
      </c>
      <c r="I23" s="28">
        <v>57210.66</v>
      </c>
      <c r="J23" s="28">
        <v>44724.3</v>
      </c>
      <c r="K23" s="28">
        <v>52837.700000000004</v>
      </c>
      <c r="L23" s="28">
        <v>37477.14</v>
      </c>
      <c r="M23" s="28">
        <v>38546.839999999997</v>
      </c>
      <c r="N23" s="32">
        <v>714231.33</v>
      </c>
      <c r="P23" s="55" t="s">
        <v>4</v>
      </c>
      <c r="Q23" s="28" t="str">
        <f>IF(B23=GETPIVOTDATA("Small Bags",'reference pivot tables'!$A$21,"Month",Q$17,"Growth_Type","conventional"),"☑","❗️")</f>
        <v>☑</v>
      </c>
      <c r="R23" s="28" t="str">
        <f>IF(C23=GETPIVOTDATA("Small Bags",'reference pivot tables'!$A$21,"Month",R$17,"Growth_Type","conventional"),"☑","❗️")</f>
        <v>☑</v>
      </c>
      <c r="S23" s="28" t="str">
        <f>IF(D23=GETPIVOTDATA("Small Bags",'reference pivot tables'!$A$21,"Month",S$17,"Growth_Type","conventional"),"☑","❗️")</f>
        <v>☑</v>
      </c>
      <c r="T23" s="28" t="str">
        <f>IF(E23=GETPIVOTDATA("Small Bags",'reference pivot tables'!$A$21,"Month",T$17,"Growth_Type","conventional"),"☑","❗️")</f>
        <v>☑</v>
      </c>
      <c r="U23" s="28" t="str">
        <f>IF(F23=GETPIVOTDATA("Small Bags",'reference pivot tables'!$A$21,"Month",U$17,"Growth_Type","conventional"),"☑","❗️")</f>
        <v>☑</v>
      </c>
      <c r="V23" s="28" t="str">
        <f>IF(G23=GETPIVOTDATA("Small Bags",'reference pivot tables'!$A$21,"Month",V$17,"Growth_Type","conventional"),"☑","❗️")</f>
        <v>☑</v>
      </c>
      <c r="W23" s="28" t="str">
        <f>IF(H23=GETPIVOTDATA("Small Bags",'reference pivot tables'!$A$21,"Month",W$17,"Growth_Type","conventional"),"☑","❗️")</f>
        <v>☑</v>
      </c>
      <c r="X23" s="28" t="str">
        <f>IF(I23=GETPIVOTDATA("Small Bags",'reference pivot tables'!$A$21,"Month",X$17,"Growth_Type","conventional"),"☑","❗️")</f>
        <v>☑</v>
      </c>
      <c r="Y23" s="28" t="str">
        <f>IF(J23=GETPIVOTDATA("Small Bags",'reference pivot tables'!$A$21,"Month",Y$17,"Growth_Type","conventional"),"☑","❗️")</f>
        <v>☑</v>
      </c>
      <c r="Z23" s="28" t="str">
        <f>IF(K23=GETPIVOTDATA("Small Bags",'reference pivot tables'!$A$21,"Month",Z$17,"Growth_Type","conventional"),"☑","❗️")</f>
        <v>☑</v>
      </c>
      <c r="AA23" s="28" t="str">
        <f>IF(L23=GETPIVOTDATA("Small Bags",'reference pivot tables'!$A$21,"Month",AA$17,"Growth_Type","conventional"),"☑","❗️")</f>
        <v>☑</v>
      </c>
      <c r="AB23" s="28" t="str">
        <f>IF(M23=GETPIVOTDATA("Small Bags",'reference pivot tables'!$A$21,"Month",AB$17,"Growth_Type","conventional"),"☑","❗️")</f>
        <v>☑</v>
      </c>
    </row>
    <row r="24" spans="1:28" ht="17" thickBot="1" x14ac:dyDescent="0.25">
      <c r="A24" s="14" t="s">
        <v>5</v>
      </c>
      <c r="B24" s="28">
        <v>2130.9299999999998</v>
      </c>
      <c r="C24" s="28">
        <v>5621.56</v>
      </c>
      <c r="D24" s="28">
        <v>1555.8799999999999</v>
      </c>
      <c r="E24" s="28">
        <v>1961.99</v>
      </c>
      <c r="F24" s="28">
        <v>1044.6999999999998</v>
      </c>
      <c r="G24" s="28">
        <v>1490.1</v>
      </c>
      <c r="H24" s="28">
        <v>1972.3899999999996</v>
      </c>
      <c r="I24" s="28">
        <v>1084.78</v>
      </c>
      <c r="J24" s="28">
        <v>1683.8899999999999</v>
      </c>
      <c r="K24" s="28">
        <v>1405.67</v>
      </c>
      <c r="L24" s="28">
        <v>1341.98</v>
      </c>
      <c r="M24" s="28">
        <v>1873</v>
      </c>
      <c r="N24" s="32">
        <v>23166.87</v>
      </c>
      <c r="P24" s="55" t="s">
        <v>5</v>
      </c>
      <c r="Q24" s="28" t="str">
        <f>IF(B24=GETPIVOTDATA("Large Bags",'reference pivot tables'!$A$27,"Month",Q$17,"Growth_Type","conventional"),"☑","❗️")</f>
        <v>☑</v>
      </c>
      <c r="R24" s="28" t="str">
        <f>IF(C24=GETPIVOTDATA("Large Bags",'reference pivot tables'!$A$27,"Month",R$17,"Growth_Type","conventional"),"☑","❗️")</f>
        <v>☑</v>
      </c>
      <c r="S24" s="28" t="str">
        <f>IF(D24=GETPIVOTDATA("Large Bags",'reference pivot tables'!$A$27,"Month",S$17,"Growth_Type","conventional"),"☑","❗️")</f>
        <v>☑</v>
      </c>
      <c r="T24" s="28" t="str">
        <f>IF(E24=GETPIVOTDATA("Large Bags",'reference pivot tables'!$A$27,"Month",T$17,"Growth_Type","conventional"),"☑","❗️")</f>
        <v>☑</v>
      </c>
      <c r="U24" s="28" t="str">
        <f>IF(F24=GETPIVOTDATA("Large Bags",'reference pivot tables'!$A$27,"Month",U$17,"Growth_Type","conventional"),"☑","❗️")</f>
        <v>☑</v>
      </c>
      <c r="V24" s="28" t="str">
        <f>IF(G24=GETPIVOTDATA("Large Bags",'reference pivot tables'!$A$27,"Month",V$17,"Growth_Type","conventional"),"☑","❗️")</f>
        <v>☑</v>
      </c>
      <c r="W24" s="28" t="str">
        <f>IF(H24=GETPIVOTDATA("Large Bags",'reference pivot tables'!$A$27,"Month",W$17,"Growth_Type","conventional"),"☑","❗️")</f>
        <v>☑</v>
      </c>
      <c r="X24" s="28" t="str">
        <f>IF(I24=GETPIVOTDATA("Large Bags",'reference pivot tables'!$A$27,"Month",X$17,"Growth_Type","conventional"),"☑","❗️")</f>
        <v>☑</v>
      </c>
      <c r="Y24" s="28" t="str">
        <f>IF(J24=GETPIVOTDATA("Large Bags",'reference pivot tables'!$A$27,"Month",Y$17,"Growth_Type","conventional"),"☑","❗️")</f>
        <v>☑</v>
      </c>
      <c r="Z24" s="28" t="str">
        <f>IF(K24=GETPIVOTDATA("Large Bags",'reference pivot tables'!$A$27,"Month",Z$17,"Growth_Type","conventional"),"☑","❗️")</f>
        <v>☑</v>
      </c>
      <c r="AA24" s="28" t="str">
        <f>IF(L24=GETPIVOTDATA("Large Bags",'reference pivot tables'!$A$27,"Month",AA$17,"Growth_Type","conventional"),"☑","❗️")</f>
        <v>☑</v>
      </c>
      <c r="AB24" s="28" t="str">
        <f>IF(M24=GETPIVOTDATA("Large Bags",'reference pivot tables'!$A$27,"Month",AB$17,"Growth_Type","conventional"),"☑","❗️")</f>
        <v>☑</v>
      </c>
    </row>
    <row r="25" spans="1:28" ht="17" thickBot="1" x14ac:dyDescent="0.25">
      <c r="A25" s="14" t="s">
        <v>6</v>
      </c>
      <c r="B25" s="28">
        <v>0</v>
      </c>
      <c r="C25" s="28">
        <v>0</v>
      </c>
      <c r="D25" s="28">
        <v>0</v>
      </c>
      <c r="E25" s="28">
        <v>231.94</v>
      </c>
      <c r="F25" s="28">
        <v>1203.6100000000001</v>
      </c>
      <c r="G25" s="28">
        <v>6335</v>
      </c>
      <c r="H25" s="28">
        <v>10190</v>
      </c>
      <c r="I25" s="28">
        <v>3527.23</v>
      </c>
      <c r="J25" s="28">
        <v>105</v>
      </c>
      <c r="K25" s="28">
        <v>0</v>
      </c>
      <c r="L25" s="28">
        <v>56.94</v>
      </c>
      <c r="M25" s="28">
        <v>43.22</v>
      </c>
      <c r="N25" s="32">
        <v>21692.94</v>
      </c>
      <c r="P25" s="55" t="s">
        <v>6</v>
      </c>
      <c r="Q25" s="28" t="str">
        <f>IF(B25=GETPIVOTDATA("XLarge Bags",'reference pivot tables'!$A$33,"Month",Q$17,"Growth_Type","conventional"),"☑","❗️")</f>
        <v>☑</v>
      </c>
      <c r="R25" s="28" t="str">
        <f>IF(C25=GETPIVOTDATA("XLarge Bags",'reference pivot tables'!$A$33,"Month",R$17,"Growth_Type","conventional"),"☑","❗️")</f>
        <v>☑</v>
      </c>
      <c r="S25" s="28" t="str">
        <f>IF(D25=GETPIVOTDATA("XLarge Bags",'reference pivot tables'!$A$33,"Month",S$17,"Growth_Type","conventional"),"☑","❗️")</f>
        <v>☑</v>
      </c>
      <c r="T25" s="28" t="str">
        <f>IF(E25=GETPIVOTDATA("XLarge Bags",'reference pivot tables'!$A$33,"Month",T$17,"Growth_Type","conventional"),"☑","❗️")</f>
        <v>☑</v>
      </c>
      <c r="U25" s="28" t="str">
        <f>IF(F25=GETPIVOTDATA("XLarge Bags",'reference pivot tables'!$A$33,"Month",U$17,"Growth_Type","conventional"),"☑","❗️")</f>
        <v>☑</v>
      </c>
      <c r="V25" s="28" t="str">
        <f>IF(G25=GETPIVOTDATA("XLarge Bags",'reference pivot tables'!$A$33,"Month",V$17,"Growth_Type","conventional"),"☑","❗️")</f>
        <v>☑</v>
      </c>
      <c r="W25" s="28" t="str">
        <f>IF(H25=GETPIVOTDATA("XLarge Bags",'reference pivot tables'!$A$33,"Month",W$17,"Growth_Type","conventional"),"☑","❗️")</f>
        <v>☑</v>
      </c>
      <c r="X25" s="28" t="str">
        <f>IF(I25=GETPIVOTDATA("XLarge Bags",'reference pivot tables'!$A$33,"Month",X$17,"Growth_Type","conventional"),"☑","❗️")</f>
        <v>☑</v>
      </c>
      <c r="Y25" s="28" t="str">
        <f>IF(J25=GETPIVOTDATA("XLarge Bags",'reference pivot tables'!$A$33,"Month",Y$17,"Growth_Type","conventional"),"☑","❗️")</f>
        <v>☑</v>
      </c>
      <c r="Z25" s="28" t="str">
        <f>IF(K25=GETPIVOTDATA("XLarge Bags",'reference pivot tables'!$A$33,"Month",Z$17,"Growth_Type","conventional"),"☑","❗️")</f>
        <v>☑</v>
      </c>
      <c r="AA25" s="28" t="str">
        <f>IF(L25=GETPIVOTDATA("XLarge Bags",'reference pivot tables'!$A$33,"Month",AA$17,"Growth_Type","conventional"),"☑","❗️")</f>
        <v>☑</v>
      </c>
      <c r="AB25" s="28" t="str">
        <f>IF(M25=GETPIVOTDATA("XLarge Bags",'reference pivot tables'!$A$33,"Month",AB$17,"Growth_Type","conventional"),"☑","❗️")</f>
        <v>☑</v>
      </c>
    </row>
    <row r="26" spans="1:28" x14ac:dyDescent="0.2">
      <c r="A26" s="14" t="s">
        <v>3</v>
      </c>
      <c r="B26" s="33">
        <v>83176.669999999984</v>
      </c>
      <c r="C26" s="33">
        <v>58655.159999999996</v>
      </c>
      <c r="D26" s="33">
        <v>52173.11</v>
      </c>
      <c r="E26" s="33">
        <v>53029.89</v>
      </c>
      <c r="F26" s="33">
        <v>95759.12</v>
      </c>
      <c r="G26" s="33">
        <v>78585.53</v>
      </c>
      <c r="H26" s="33">
        <v>95793.31</v>
      </c>
      <c r="I26" s="33">
        <v>61822.670000000006</v>
      </c>
      <c r="J26" s="33">
        <v>46513.19</v>
      </c>
      <c r="K26" s="33">
        <v>54243.37</v>
      </c>
      <c r="L26" s="33">
        <v>38876.060000000005</v>
      </c>
      <c r="M26" s="33">
        <v>40463.06</v>
      </c>
      <c r="N26" s="32">
        <v>759091.1399999999</v>
      </c>
    </row>
    <row r="27" spans="1:28" x14ac:dyDescent="0.2">
      <c r="B27" s="27"/>
      <c r="C27" s="27"/>
      <c r="D27" s="27"/>
      <c r="E27" s="27"/>
      <c r="F27" s="27"/>
      <c r="G27" s="27"/>
      <c r="H27" s="27"/>
      <c r="I27" s="27"/>
      <c r="J27" s="27"/>
      <c r="K27" s="27"/>
      <c r="L27" s="27"/>
      <c r="M27" s="27"/>
      <c r="N27" s="27"/>
    </row>
    <row r="28" spans="1:28" s="43" customFormat="1" x14ac:dyDescent="0.2">
      <c r="A28" s="41"/>
      <c r="B28" s="42"/>
      <c r="C28" s="42"/>
      <c r="D28" s="42"/>
      <c r="E28" s="42"/>
      <c r="F28" s="42"/>
      <c r="G28" s="42"/>
      <c r="H28" s="42"/>
      <c r="I28" s="42"/>
      <c r="J28" s="42"/>
      <c r="K28" s="42"/>
      <c r="L28" s="42"/>
      <c r="M28" s="42"/>
      <c r="N28" s="42"/>
    </row>
    <row r="29" spans="1:28" x14ac:dyDescent="0.2">
      <c r="A29" s="7" t="s">
        <v>25</v>
      </c>
      <c r="B29" s="27"/>
      <c r="C29" s="27"/>
      <c r="D29" s="27"/>
      <c r="E29" s="27"/>
      <c r="F29" s="27"/>
      <c r="G29" s="27"/>
      <c r="H29" s="27"/>
      <c r="I29" s="27"/>
      <c r="J29" s="27"/>
      <c r="K29" s="27"/>
      <c r="L29" s="27"/>
      <c r="M29" s="27"/>
      <c r="N29" s="27"/>
    </row>
    <row r="30" spans="1:28" ht="16" x14ac:dyDescent="0.2">
      <c r="A30" s="11"/>
      <c r="B30" s="34" t="s">
        <v>12</v>
      </c>
      <c r="C30" s="34" t="s">
        <v>13</v>
      </c>
      <c r="D30" s="34" t="s">
        <v>14</v>
      </c>
      <c r="E30" s="34" t="s">
        <v>15</v>
      </c>
      <c r="F30" s="34" t="s">
        <v>16</v>
      </c>
      <c r="G30" s="34" t="s">
        <v>17</v>
      </c>
      <c r="H30" s="34" t="s">
        <v>18</v>
      </c>
      <c r="I30" s="34" t="s">
        <v>19</v>
      </c>
      <c r="J30" s="34" t="s">
        <v>20</v>
      </c>
      <c r="K30" s="34" t="s">
        <v>21</v>
      </c>
      <c r="L30" s="34" t="s">
        <v>22</v>
      </c>
      <c r="M30" s="34" t="s">
        <v>23</v>
      </c>
      <c r="N30" s="34" t="s">
        <v>27</v>
      </c>
      <c r="P30" s="53"/>
      <c r="Q30" s="54" t="s">
        <v>12</v>
      </c>
      <c r="R30" s="54" t="s">
        <v>13</v>
      </c>
      <c r="S30" s="54" t="s">
        <v>14</v>
      </c>
      <c r="T30" s="54" t="s">
        <v>15</v>
      </c>
      <c r="U30" s="54" t="s">
        <v>16</v>
      </c>
      <c r="V30" s="54" t="s">
        <v>17</v>
      </c>
      <c r="W30" s="54" t="s">
        <v>18</v>
      </c>
      <c r="X30" s="54" t="s">
        <v>19</v>
      </c>
      <c r="Y30" s="54" t="s">
        <v>20</v>
      </c>
      <c r="Z30" s="54" t="s">
        <v>21</v>
      </c>
      <c r="AA30" s="54" t="s">
        <v>22</v>
      </c>
      <c r="AB30" s="54" t="s">
        <v>23</v>
      </c>
    </row>
    <row r="31" spans="1:28" ht="17" thickBot="1" x14ac:dyDescent="0.25">
      <c r="A31" s="12"/>
      <c r="B31" s="34">
        <v>1</v>
      </c>
      <c r="C31" s="34">
        <v>2</v>
      </c>
      <c r="D31" s="34">
        <v>3</v>
      </c>
      <c r="E31" s="34">
        <v>4</v>
      </c>
      <c r="F31" s="34">
        <v>5</v>
      </c>
      <c r="G31" s="34">
        <v>6</v>
      </c>
      <c r="H31" s="34">
        <v>7</v>
      </c>
      <c r="I31" s="34">
        <v>8</v>
      </c>
      <c r="J31" s="34">
        <v>9</v>
      </c>
      <c r="K31" s="34">
        <v>10</v>
      </c>
      <c r="L31" s="34">
        <v>11</v>
      </c>
      <c r="M31" s="34">
        <v>12</v>
      </c>
      <c r="N31" s="34"/>
      <c r="P31" s="53"/>
      <c r="Q31" s="54">
        <v>1</v>
      </c>
      <c r="R31" s="54">
        <v>2</v>
      </c>
      <c r="S31" s="54">
        <v>3</v>
      </c>
      <c r="T31" s="54">
        <v>4</v>
      </c>
      <c r="U31" s="54">
        <v>5</v>
      </c>
      <c r="V31" s="54">
        <v>6</v>
      </c>
      <c r="W31" s="54">
        <v>7</v>
      </c>
      <c r="X31" s="54">
        <v>8</v>
      </c>
      <c r="Y31" s="54">
        <v>9</v>
      </c>
      <c r="Z31" s="54">
        <v>10</v>
      </c>
      <c r="AA31" s="54">
        <v>11</v>
      </c>
      <c r="AB31" s="54">
        <v>12</v>
      </c>
    </row>
    <row r="32" spans="1:28" ht="17" thickBot="1" x14ac:dyDescent="0.25">
      <c r="A32" s="14" t="s">
        <v>48</v>
      </c>
      <c r="B32" s="28">
        <v>166.43</v>
      </c>
      <c r="C32" s="56">
        <v>94.56</v>
      </c>
      <c r="D32" s="56">
        <v>167.04999999999998</v>
      </c>
      <c r="E32" s="56">
        <v>112.52000000000001</v>
      </c>
      <c r="F32" s="56">
        <v>230.63</v>
      </c>
      <c r="G32" s="56">
        <v>144.99</v>
      </c>
      <c r="H32" s="56">
        <v>234.98</v>
      </c>
      <c r="I32" s="56">
        <v>163.76</v>
      </c>
      <c r="J32" s="56">
        <v>100.41</v>
      </c>
      <c r="K32" s="56">
        <v>93.97</v>
      </c>
      <c r="L32" s="56">
        <v>66.099999999999994</v>
      </c>
      <c r="M32" s="56">
        <v>139.13</v>
      </c>
      <c r="N32" s="29">
        <v>1714.5299999999997</v>
      </c>
      <c r="P32" s="55" t="s">
        <v>48</v>
      </c>
      <c r="Q32" s="52" t="str">
        <f>IF(B32=GETPIVOTDATA("Haas",'reference pivot tables'!$A$3,"Month",Q$31,"Growth_Type","organic"),"☑","❗️")</f>
        <v>☑</v>
      </c>
      <c r="R32" s="52" t="str">
        <f>IF(C32=GETPIVOTDATA("Haas",'reference pivot tables'!$A$3,"Month",R$31,"Growth_Type","organic"),"☑","❗️")</f>
        <v>❗️</v>
      </c>
      <c r="S32" s="52" t="str">
        <f>IF(D32=GETPIVOTDATA("Haas",'reference pivot tables'!$A$3,"Month",S$31,"Growth_Type","organic"),"☑","❗️")</f>
        <v>❗️</v>
      </c>
      <c r="T32" s="52" t="str">
        <f>IF(E32=GETPIVOTDATA("Haas",'reference pivot tables'!$A$3,"Month",T$31,"Growth_Type","organic"),"☑","❗️")</f>
        <v>❗️</v>
      </c>
      <c r="U32" s="52" t="str">
        <f>IF(F32=GETPIVOTDATA("Haas",'reference pivot tables'!$A$3,"Month",U$31,"Growth_Type","organic"),"☑","❗️")</f>
        <v>❗️</v>
      </c>
      <c r="V32" s="52" t="str">
        <f>IF(G32=GETPIVOTDATA("Haas",'reference pivot tables'!$A$3,"Month",V$31,"Growth_Type","organic"),"☑","❗️")</f>
        <v>❗️</v>
      </c>
      <c r="W32" s="52" t="str">
        <f>IF(H32=GETPIVOTDATA("Haas",'reference pivot tables'!$A$3,"Month",W$31,"Growth_Type","organic"),"☑","❗️")</f>
        <v>❗️</v>
      </c>
      <c r="X32" s="52" t="str">
        <f>IF(I32=GETPIVOTDATA("Haas",'reference pivot tables'!$A$3,"Month",X$31,"Growth_Type","organic"),"☑","❗️")</f>
        <v>❗️</v>
      </c>
      <c r="Y32" s="52" t="str">
        <f>IF(J32=GETPIVOTDATA("Haas",'reference pivot tables'!$A$3,"Month",Y$31,"Growth_Type","organic"),"☑","❗️")</f>
        <v>❗️</v>
      </c>
      <c r="Z32" s="52" t="str">
        <f>IF(K32=GETPIVOTDATA("Haas",'reference pivot tables'!$A$3,"Month",Z$31,"Growth_Type","organic"),"☑","❗️")</f>
        <v>❗️</v>
      </c>
      <c r="AA32" s="52" t="str">
        <f>IF(L32=GETPIVOTDATA("Haas",'reference pivot tables'!$A$3,"Month",AA$31,"Growth_Type","organic"),"☑","❗️")</f>
        <v>❗️</v>
      </c>
      <c r="AB32" s="52" t="str">
        <f>IF(M32=GETPIVOTDATA("Haas",'reference pivot tables'!$A$3,"Month",AB$31,"Growth_Type","organic"),"☑","❗️")</f>
        <v>❗️</v>
      </c>
    </row>
    <row r="33" spans="1:28" ht="17" thickBot="1" x14ac:dyDescent="0.25">
      <c r="A33" s="14" t="s">
        <v>50</v>
      </c>
      <c r="B33" s="28">
        <v>1428.23</v>
      </c>
      <c r="C33" s="57">
        <v>366.88</v>
      </c>
      <c r="D33" s="57">
        <v>1101.1599999999999</v>
      </c>
      <c r="E33" s="57">
        <v>428.88</v>
      </c>
      <c r="F33" s="57">
        <v>1156.99</v>
      </c>
      <c r="G33" s="57">
        <v>569.69000000000005</v>
      </c>
      <c r="H33" s="57">
        <v>553.70000000000005</v>
      </c>
      <c r="I33" s="57">
        <v>541.74</v>
      </c>
      <c r="J33" s="57">
        <v>569.66999999999996</v>
      </c>
      <c r="K33" s="57">
        <v>560.54</v>
      </c>
      <c r="L33" s="57">
        <v>906.05</v>
      </c>
      <c r="M33" s="57">
        <v>543.61</v>
      </c>
      <c r="N33" s="36">
        <v>8727.14</v>
      </c>
      <c r="P33" s="55" t="s">
        <v>50</v>
      </c>
      <c r="Q33" s="52" t="str">
        <f>IF(B33=GETPIVOTDATA("Reed",'reference pivot tables'!$A$9,"Month",Q$31,"Growth_Type","organic"),"☑","❗️")</f>
        <v>☑</v>
      </c>
      <c r="R33" s="52" t="str">
        <f>IF(C33=GETPIVOTDATA("Reed",'reference pivot tables'!$A$9,"Month",R$31,"Growth_Type","organic"),"☑","❗️")</f>
        <v>❗️</v>
      </c>
      <c r="S33" s="52" t="str">
        <f>IF(D33=GETPIVOTDATA("Reed",'reference pivot tables'!$A$9,"Month",S$31,"Growth_Type","organic"),"☑","❗️")</f>
        <v>❗️</v>
      </c>
      <c r="T33" s="52" t="str">
        <f>IF(E33=GETPIVOTDATA("Reed",'reference pivot tables'!$A$9,"Month",T$31,"Growth_Type","organic"),"☑","❗️")</f>
        <v>❗️</v>
      </c>
      <c r="U33" s="52" t="str">
        <f>IF(F33=GETPIVOTDATA("Reed",'reference pivot tables'!$A$9,"Month",U$31,"Growth_Type","organic"),"☑","❗️")</f>
        <v>❗️</v>
      </c>
      <c r="V33" s="52" t="str">
        <f>IF(G33=GETPIVOTDATA("Reed",'reference pivot tables'!$A$9,"Month",V$31,"Growth_Type","organic"),"☑","❗️")</f>
        <v>❗️</v>
      </c>
      <c r="W33" s="52" t="str">
        <f>IF(H33=GETPIVOTDATA("Reed",'reference pivot tables'!$A$9,"Month",W$31,"Growth_Type","organic"),"☑","❗️")</f>
        <v>❗️</v>
      </c>
      <c r="X33" s="52" t="str">
        <f>IF(I33=GETPIVOTDATA("Reed",'reference pivot tables'!$A$9,"Month",X$31,"Growth_Type","organic"),"☑","❗️")</f>
        <v>❗️</v>
      </c>
      <c r="Y33" s="52" t="str">
        <f>IF(J33=GETPIVOTDATA("Reed",'reference pivot tables'!$A$9,"Month",Y$31,"Growth_Type","organic"),"☑","❗️")</f>
        <v>❗️</v>
      </c>
      <c r="Z33" s="52" t="str">
        <f>IF(K33=GETPIVOTDATA("Reed",'reference pivot tables'!$A$9,"Month",Z$31,"Growth_Type","organic"),"☑","❗️")</f>
        <v>❗️</v>
      </c>
      <c r="AA33" s="52" t="str">
        <f>IF(L33=GETPIVOTDATA("Reed",'reference pivot tables'!$A$9,"Month",AA$31,"Growth_Type","organic"),"☑","❗️")</f>
        <v>❗️</v>
      </c>
      <c r="AB33" s="52" t="str">
        <f>IF(M33=GETPIVOTDATA("Reed",'reference pivot tables'!$A$9,"Month",AB$31,"Growth_Type","organic"),"☑","❗️")</f>
        <v>❗️</v>
      </c>
    </row>
    <row r="34" spans="1:28" ht="16" x14ac:dyDescent="0.2">
      <c r="A34" s="14" t="s">
        <v>51</v>
      </c>
      <c r="B34" s="28">
        <v>0</v>
      </c>
      <c r="C34" s="35">
        <v>0</v>
      </c>
      <c r="D34" s="35">
        <v>0</v>
      </c>
      <c r="E34" s="35">
        <v>0</v>
      </c>
      <c r="F34" s="35">
        <v>0</v>
      </c>
      <c r="G34" s="35">
        <v>0</v>
      </c>
      <c r="H34" s="35">
        <v>0</v>
      </c>
      <c r="I34" s="35">
        <v>0</v>
      </c>
      <c r="J34" s="35">
        <v>0</v>
      </c>
      <c r="K34" s="35">
        <v>0</v>
      </c>
      <c r="L34" s="35">
        <v>0</v>
      </c>
      <c r="M34" s="35">
        <v>0</v>
      </c>
      <c r="N34" s="36">
        <v>0</v>
      </c>
      <c r="P34" s="55" t="s">
        <v>51</v>
      </c>
      <c r="Q34" s="52" t="str">
        <f>IF(B34=GETPIVOTDATA("Zutano",'reference pivot tables'!$A$15,"Month",Q$31,"Growth_Type","organic"),"☑","❗️")</f>
        <v>☑</v>
      </c>
      <c r="R34" s="52" t="str">
        <f>IF(C34=GETPIVOTDATA("Zutano",'reference pivot tables'!$A$15,"Month",R$31,"Growth_Type","organic"),"☑","❗️")</f>
        <v>☑</v>
      </c>
      <c r="S34" s="52" t="str">
        <f>IF(D34=GETPIVOTDATA("Zutano",'reference pivot tables'!$A$15,"Month",S$31,"Growth_Type","organic"),"☑","❗️")</f>
        <v>☑</v>
      </c>
      <c r="T34" s="52" t="str">
        <f>IF(E34=GETPIVOTDATA("Zutano",'reference pivot tables'!$A$15,"Month",T$31,"Growth_Type","organic"),"☑","❗️")</f>
        <v>☑</v>
      </c>
      <c r="U34" s="52" t="str">
        <f>IF(F34=GETPIVOTDATA("Zutano",'reference pivot tables'!$A$15,"Month",U$31,"Growth_Type","organic"),"☑","❗️")</f>
        <v>☑</v>
      </c>
      <c r="V34" s="52" t="str">
        <f>IF(G34=GETPIVOTDATA("Zutano",'reference pivot tables'!$A$15,"Month",V$31,"Growth_Type","organic"),"☑","❗️")</f>
        <v>☑</v>
      </c>
      <c r="W34" s="52" t="str">
        <f>IF(H34=GETPIVOTDATA("Zutano",'reference pivot tables'!$A$15,"Month",W$31,"Growth_Type","organic"),"☑","❗️")</f>
        <v>☑</v>
      </c>
      <c r="X34" s="52" t="str">
        <f>IF(I34=GETPIVOTDATA("Zutano",'reference pivot tables'!$A$15,"Month",X$31,"Growth_Type","organic"),"☑","❗️")</f>
        <v>☑</v>
      </c>
      <c r="Y34" s="52" t="str">
        <f>IF(J34=GETPIVOTDATA("Zutano",'reference pivot tables'!$A$15,"Month",Y$31,"Growth_Type","organic"),"☑","❗️")</f>
        <v>☑</v>
      </c>
      <c r="Z34" s="52" t="str">
        <f>IF(K34=GETPIVOTDATA("Zutano",'reference pivot tables'!$A$15,"Month",Z$31,"Growth_Type","organic"),"☑","❗️")</f>
        <v>☑</v>
      </c>
      <c r="AA34" s="52" t="str">
        <f>IF(L34=GETPIVOTDATA("Zutano",'reference pivot tables'!$A$15,"Month",AA$31,"Growth_Type","organic"),"☑","❗️")</f>
        <v>☑</v>
      </c>
      <c r="AB34" s="52" t="str">
        <f>IF(M34=GETPIVOTDATA("Zutano",'reference pivot tables'!$A$15,"Month",AB$31,"Growth_Type","organic"),"☑","❗️")</f>
        <v>☑</v>
      </c>
    </row>
    <row r="35" spans="1:28" ht="16" thickBot="1" x14ac:dyDescent="0.25">
      <c r="A35" s="14" t="s">
        <v>26</v>
      </c>
      <c r="B35" s="30">
        <v>1594.66</v>
      </c>
      <c r="C35" s="37">
        <v>461.44</v>
      </c>
      <c r="D35" s="37">
        <v>1268.2099999999998</v>
      </c>
      <c r="E35" s="37">
        <v>541.4</v>
      </c>
      <c r="F35" s="37">
        <v>1387.62</v>
      </c>
      <c r="G35" s="37">
        <v>714.68000000000006</v>
      </c>
      <c r="H35" s="37">
        <v>788.68000000000006</v>
      </c>
      <c r="I35" s="37">
        <v>705.5</v>
      </c>
      <c r="J35" s="37">
        <v>670.07999999999993</v>
      </c>
      <c r="K35" s="37">
        <v>654.51</v>
      </c>
      <c r="L35" s="37">
        <v>972.15</v>
      </c>
      <c r="M35" s="37">
        <v>682.74</v>
      </c>
      <c r="N35" s="38">
        <v>10441.67</v>
      </c>
    </row>
    <row r="36" spans="1:28" ht="17" thickTop="1" thickBot="1" x14ac:dyDescent="0.25">
      <c r="B36" s="27"/>
      <c r="C36" s="27"/>
      <c r="D36" s="27"/>
      <c r="E36" s="27"/>
      <c r="F36" s="27"/>
      <c r="G36" s="27"/>
      <c r="H36" s="27"/>
      <c r="I36" s="27"/>
      <c r="J36" s="27"/>
      <c r="K36" s="27"/>
      <c r="L36" s="27"/>
      <c r="M36" s="27"/>
      <c r="N36" s="31"/>
    </row>
    <row r="37" spans="1:28" ht="17" thickBot="1" x14ac:dyDescent="0.25">
      <c r="A37" s="14" t="s">
        <v>4</v>
      </c>
      <c r="B37" s="28">
        <v>5520.84</v>
      </c>
      <c r="C37" s="56">
        <v>4872.57</v>
      </c>
      <c r="D37" s="56">
        <v>5952.4800000000005</v>
      </c>
      <c r="E37" s="56">
        <v>5065.1399999999994</v>
      </c>
      <c r="F37" s="56">
        <v>7790.7200000000012</v>
      </c>
      <c r="G37" s="56">
        <v>4629.1399999999994</v>
      </c>
      <c r="H37" s="56">
        <v>4485.12</v>
      </c>
      <c r="I37" s="56">
        <v>5921.9400000000005</v>
      </c>
      <c r="J37" s="56">
        <v>2989.61</v>
      </c>
      <c r="K37" s="56">
        <v>3764.54</v>
      </c>
      <c r="L37" s="56">
        <v>4275.74</v>
      </c>
      <c r="M37" s="56">
        <v>3608.79</v>
      </c>
      <c r="N37" s="32">
        <v>58876.630000000005</v>
      </c>
      <c r="P37" s="55" t="s">
        <v>4</v>
      </c>
      <c r="Q37" s="28" t="str">
        <f>IF(B37=GETPIVOTDATA("Small Bags",'reference pivot tables'!$A$21,"Month",Q$31,"Growth_Type","organic"),"☑","❗️")</f>
        <v>☑</v>
      </c>
      <c r="R37" s="28" t="str">
        <f>IF(C37=GETPIVOTDATA("Small Bags",'reference pivot tables'!$A$21,"Month",R$31,"Growth_Type","organic"),"☑","❗️")</f>
        <v>❗️</v>
      </c>
      <c r="S37" s="28" t="str">
        <f>IF(D37=GETPIVOTDATA("Small Bags",'reference pivot tables'!$A$21,"Month",S$31,"Growth_Type","organic"),"☑","❗️")</f>
        <v>❗️</v>
      </c>
      <c r="T37" s="28" t="str">
        <f>IF(E37=GETPIVOTDATA("Small Bags",'reference pivot tables'!$A$21,"Month",T$31,"Growth_Type","organic"),"☑","❗️")</f>
        <v>❗️</v>
      </c>
      <c r="U37" s="28" t="str">
        <f>IF(F37=GETPIVOTDATA("Small Bags",'reference pivot tables'!$A$21,"Month",U$31,"Growth_Type","organic"),"☑","❗️")</f>
        <v>❗️</v>
      </c>
      <c r="V37" s="28" t="str">
        <f>IF(G37=GETPIVOTDATA("Small Bags",'reference pivot tables'!$A$21,"Month",V$31,"Growth_Type","organic"),"☑","❗️")</f>
        <v>❗️</v>
      </c>
      <c r="W37" s="28" t="str">
        <f>IF(H37=GETPIVOTDATA("Small Bags",'reference pivot tables'!$A$21,"Month",W$31,"Growth_Type","organic"),"☑","❗️")</f>
        <v>❗️</v>
      </c>
      <c r="X37" s="28" t="str">
        <f>IF(I37=GETPIVOTDATA("Small Bags",'reference pivot tables'!$A$21,"Month",X$31,"Growth_Type","organic"),"☑","❗️")</f>
        <v>❗️</v>
      </c>
      <c r="Y37" s="28" t="str">
        <f>IF(J37=GETPIVOTDATA("Small Bags",'reference pivot tables'!$A$21,"Month",Y$31,"Growth_Type","organic"),"☑","❗️")</f>
        <v>❗️</v>
      </c>
      <c r="Z37" s="28" t="str">
        <f>IF(K37=GETPIVOTDATA("Small Bags",'reference pivot tables'!$A$21,"Month",Z$31,"Growth_Type","organic"),"☑","❗️")</f>
        <v>❗️</v>
      </c>
      <c r="AA37" s="28" t="str">
        <f>IF(L37=GETPIVOTDATA("Small Bags",'reference pivot tables'!$A$21,"Month",AA$31,"Growth_Type","organic"),"☑","❗️")</f>
        <v>❗️</v>
      </c>
      <c r="AB37" s="28" t="str">
        <f>IF(M37=GETPIVOTDATA("Small Bags",'reference pivot tables'!$A$21,"Month",AB$31,"Growth_Type","organic"),"☑","❗️")</f>
        <v>❗️</v>
      </c>
    </row>
    <row r="38" spans="1:28" ht="17" thickBot="1" x14ac:dyDescent="0.25">
      <c r="A38" s="14" t="s">
        <v>5</v>
      </c>
      <c r="B38" s="28">
        <v>15.59</v>
      </c>
      <c r="C38" s="57">
        <v>0</v>
      </c>
      <c r="D38" s="35">
        <v>0</v>
      </c>
      <c r="E38" s="35">
        <v>0</v>
      </c>
      <c r="F38" s="35">
        <v>0</v>
      </c>
      <c r="G38" s="35">
        <v>0</v>
      </c>
      <c r="H38" s="35">
        <v>0</v>
      </c>
      <c r="I38" s="35">
        <v>0</v>
      </c>
      <c r="J38" s="35">
        <v>0</v>
      </c>
      <c r="K38" s="57">
        <v>28.029999999999998</v>
      </c>
      <c r="L38" s="57">
        <v>5.12</v>
      </c>
      <c r="M38" s="57">
        <v>15.43</v>
      </c>
      <c r="N38" s="39">
        <v>64.169999999999987</v>
      </c>
      <c r="P38" s="55" t="s">
        <v>5</v>
      </c>
      <c r="Q38" s="28" t="str">
        <f>IF(B38=GETPIVOTDATA("Large Bags",'reference pivot tables'!$A$27,"Month",Q$31,"Growth_Type","organic"),"☑","❗️")</f>
        <v>☑</v>
      </c>
      <c r="R38" s="28" t="str">
        <f>IF(C38=GETPIVOTDATA("Large Bags",'reference pivot tables'!$A$27,"Month",R$31,"Growth_Type","organic"),"☑","❗️")</f>
        <v>❗️</v>
      </c>
      <c r="S38" s="28" t="str">
        <f>IF(D38=GETPIVOTDATA("Large Bags",'reference pivot tables'!$A$27,"Month",S$31,"Growth_Type","organic"),"☑","❗️")</f>
        <v>☑</v>
      </c>
      <c r="T38" s="28" t="str">
        <f>IF(E38=GETPIVOTDATA("Large Bags",'reference pivot tables'!$A$27,"Month",T$31,"Growth_Type","organic"),"☑","❗️")</f>
        <v>☑</v>
      </c>
      <c r="U38" s="28" t="str">
        <f>IF(F38=GETPIVOTDATA("Large Bags",'reference pivot tables'!$A$27,"Month",U$31,"Growth_Type","organic"),"☑","❗️")</f>
        <v>☑</v>
      </c>
      <c r="V38" s="28" t="str">
        <f>IF(G38=GETPIVOTDATA("Large Bags",'reference pivot tables'!$A$27,"Month",V$31,"Growth_Type","organic"),"☑","❗️")</f>
        <v>☑</v>
      </c>
      <c r="W38" s="28" t="str">
        <f>IF(H38=GETPIVOTDATA("Large Bags",'reference pivot tables'!$A$27,"Month",W$31,"Growth_Type","organic"),"☑","❗️")</f>
        <v>☑</v>
      </c>
      <c r="X38" s="28" t="str">
        <f>IF(I38=GETPIVOTDATA("Large Bags",'reference pivot tables'!$A$27,"Month",X$31,"Growth_Type","organic"),"☑","❗️")</f>
        <v>☑</v>
      </c>
      <c r="Y38" s="28" t="str">
        <f>IF(J38=GETPIVOTDATA("Large Bags",'reference pivot tables'!$A$27,"Month",Y$31,"Growth_Type","organic"),"☑","❗️")</f>
        <v>☑</v>
      </c>
      <c r="Z38" s="28" t="str">
        <f>IF(K38=GETPIVOTDATA("Large Bags",'reference pivot tables'!$A$27,"Month",Z$31,"Growth_Type","organic"),"☑","❗️")</f>
        <v>❗️</v>
      </c>
      <c r="AA38" s="28" t="str">
        <f>IF(L38=GETPIVOTDATA("Large Bags",'reference pivot tables'!$A$27,"Month",AA$31,"Growth_Type","organic"),"☑","❗️")</f>
        <v>❗️</v>
      </c>
      <c r="AB38" s="28" t="str">
        <f>IF(M38=GETPIVOTDATA("Large Bags",'reference pivot tables'!$A$27,"Month",AB$31,"Growth_Type","organic"),"☑","❗️")</f>
        <v>❗️</v>
      </c>
    </row>
    <row r="39" spans="1:28" ht="17" thickBot="1" x14ac:dyDescent="0.25">
      <c r="A39" s="14" t="s">
        <v>6</v>
      </c>
      <c r="B39" s="28">
        <v>0</v>
      </c>
      <c r="C39" s="28">
        <v>0</v>
      </c>
      <c r="D39" s="28">
        <v>0</v>
      </c>
      <c r="E39" s="28">
        <v>0</v>
      </c>
      <c r="F39" s="28">
        <v>0</v>
      </c>
      <c r="G39" s="28">
        <v>0</v>
      </c>
      <c r="H39" s="28">
        <v>0</v>
      </c>
      <c r="I39" s="28">
        <v>0</v>
      </c>
      <c r="J39" s="28">
        <v>0</v>
      </c>
      <c r="K39" s="28">
        <v>0</v>
      </c>
      <c r="L39" s="28">
        <v>0</v>
      </c>
      <c r="M39" s="28">
        <v>0</v>
      </c>
      <c r="N39" s="40">
        <v>0</v>
      </c>
      <c r="P39" s="55" t="s">
        <v>6</v>
      </c>
      <c r="Q39" s="28" t="str">
        <f>IF(B39=GETPIVOTDATA("XLarge Bags",'reference pivot tables'!$A$33,"Month",Q$31,"Growth_Type","organic"),"☑","❗️")</f>
        <v>☑</v>
      </c>
      <c r="R39" s="28" t="str">
        <f>IF(C39=GETPIVOTDATA("XLarge Bags",'reference pivot tables'!$A$33,"Month",R$31,"Growth_Type","organic"),"☑","❗️")</f>
        <v>☑</v>
      </c>
      <c r="S39" s="28" t="str">
        <f>IF(D39=GETPIVOTDATA("XLarge Bags",'reference pivot tables'!$A$33,"Month",S$31,"Growth_Type","organic"),"☑","❗️")</f>
        <v>☑</v>
      </c>
      <c r="T39" s="28" t="str">
        <f>IF(E39=GETPIVOTDATA("XLarge Bags",'reference pivot tables'!$A$33,"Month",T$31,"Growth_Type","organic"),"☑","❗️")</f>
        <v>☑</v>
      </c>
      <c r="U39" s="28" t="str">
        <f>IF(F39=GETPIVOTDATA("XLarge Bags",'reference pivot tables'!$A$33,"Month",U$31,"Growth_Type","organic"),"☑","❗️")</f>
        <v>☑</v>
      </c>
      <c r="V39" s="28" t="str">
        <f>IF(G39=GETPIVOTDATA("XLarge Bags",'reference pivot tables'!$A$33,"Month",V$31,"Growth_Type","organic"),"☑","❗️")</f>
        <v>☑</v>
      </c>
      <c r="W39" s="28" t="str">
        <f>IF(H39=GETPIVOTDATA("XLarge Bags",'reference pivot tables'!$A$33,"Month",W$31,"Growth_Type","organic"),"☑","❗️")</f>
        <v>☑</v>
      </c>
      <c r="X39" s="28" t="str">
        <f>IF(I39=GETPIVOTDATA("XLarge Bags",'reference pivot tables'!$A$33,"Month",X$31,"Growth_Type","organic"),"☑","❗️")</f>
        <v>☑</v>
      </c>
      <c r="Y39" s="28" t="str">
        <f>IF(J39=GETPIVOTDATA("XLarge Bags",'reference pivot tables'!$A$33,"Month",Y$31,"Growth_Type","organic"),"☑","❗️")</f>
        <v>☑</v>
      </c>
      <c r="Z39" s="28" t="str">
        <f>IF(K39=GETPIVOTDATA("XLarge Bags",'reference pivot tables'!$A$33,"Month",Z$31,"Growth_Type","organic"),"☑","❗️")</f>
        <v>☑</v>
      </c>
      <c r="AA39" s="28" t="str">
        <f>IF(L39=GETPIVOTDATA("XLarge Bags",'reference pivot tables'!$A$33,"Month",AA$31,"Growth_Type","organic"),"☑","❗️")</f>
        <v>☑</v>
      </c>
      <c r="AB39" s="28" t="str">
        <f>IF(M39=GETPIVOTDATA("XLarge Bags",'reference pivot tables'!$A$33,"Month",AB$31,"Growth_Type","organic"),"☑","❗️")</f>
        <v>☑</v>
      </c>
    </row>
    <row r="40" spans="1:28" x14ac:dyDescent="0.2">
      <c r="A40" s="14" t="s">
        <v>3</v>
      </c>
      <c r="B40" s="33">
        <v>5536.43</v>
      </c>
      <c r="C40" s="33">
        <v>4872.57</v>
      </c>
      <c r="D40" s="33">
        <v>5952.4800000000005</v>
      </c>
      <c r="E40" s="33">
        <v>5065.1399999999994</v>
      </c>
      <c r="F40" s="33">
        <v>7790.7200000000012</v>
      </c>
      <c r="G40" s="33">
        <v>4629.1399999999994</v>
      </c>
      <c r="H40" s="33">
        <v>4485.12</v>
      </c>
      <c r="I40" s="33">
        <v>5921.9400000000005</v>
      </c>
      <c r="J40" s="33">
        <v>2989.61</v>
      </c>
      <c r="K40" s="33">
        <v>3792.57</v>
      </c>
      <c r="L40" s="33">
        <v>4280.8599999999997</v>
      </c>
      <c r="M40" s="33">
        <v>3624.22</v>
      </c>
      <c r="N40" s="32">
        <v>58940.800000000003</v>
      </c>
    </row>
    <row r="43" spans="1:28" x14ac:dyDescent="0.2">
      <c r="A43" s="61" t="s">
        <v>57</v>
      </c>
      <c r="B43" s="62"/>
      <c r="C43" s="62"/>
      <c r="D43" s="62"/>
      <c r="E43" s="62"/>
      <c r="F43" s="62"/>
      <c r="G43" s="62"/>
      <c r="H43" s="62"/>
      <c r="I43" s="62"/>
      <c r="J43" s="62"/>
      <c r="K43" s="62"/>
      <c r="L43" s="62"/>
      <c r="M43" s="62"/>
      <c r="N43" s="62"/>
    </row>
    <row r="44" spans="1:28" x14ac:dyDescent="0.2">
      <c r="A44" s="16" t="s">
        <v>56</v>
      </c>
    </row>
    <row r="46" spans="1:28" x14ac:dyDescent="0.2">
      <c r="A46" s="7"/>
      <c r="B46" s="2"/>
      <c r="C46" s="2"/>
      <c r="D46" s="2"/>
      <c r="E46" s="2"/>
      <c r="F46" s="2"/>
      <c r="G46" s="2"/>
      <c r="H46" s="2"/>
      <c r="I46" s="2"/>
      <c r="J46" s="2"/>
      <c r="K46" s="2"/>
      <c r="L46" s="2"/>
      <c r="M46" s="2"/>
    </row>
    <row r="47" spans="1:28" x14ac:dyDescent="0.2">
      <c r="A47" s="11"/>
      <c r="B47" s="13" t="s">
        <v>12</v>
      </c>
      <c r="C47" s="13" t="s">
        <v>13</v>
      </c>
      <c r="D47" s="13" t="s">
        <v>14</v>
      </c>
      <c r="E47" s="13" t="s">
        <v>15</v>
      </c>
      <c r="F47" s="13" t="s">
        <v>16</v>
      </c>
      <c r="G47" s="13" t="s">
        <v>17</v>
      </c>
      <c r="H47" s="13" t="s">
        <v>18</v>
      </c>
      <c r="I47" s="13" t="s">
        <v>19</v>
      </c>
      <c r="J47" s="13" t="s">
        <v>20</v>
      </c>
      <c r="K47" s="13" t="s">
        <v>21</v>
      </c>
      <c r="L47" s="13" t="s">
        <v>22</v>
      </c>
      <c r="M47" s="13" t="s">
        <v>23</v>
      </c>
      <c r="N47" s="13" t="s">
        <v>38</v>
      </c>
    </row>
    <row r="48" spans="1:28" ht="16" thickBot="1" x14ac:dyDescent="0.25">
      <c r="A48" s="12"/>
      <c r="B48" s="13">
        <v>1</v>
      </c>
      <c r="C48" s="13">
        <v>2</v>
      </c>
      <c r="D48" s="13">
        <v>3</v>
      </c>
      <c r="E48" s="13">
        <v>4</v>
      </c>
      <c r="F48" s="13">
        <v>5</v>
      </c>
      <c r="G48" s="13">
        <v>6</v>
      </c>
      <c r="H48" s="13">
        <v>7</v>
      </c>
      <c r="I48" s="13">
        <v>8</v>
      </c>
      <c r="J48" s="13">
        <v>9</v>
      </c>
      <c r="K48" s="13">
        <v>10</v>
      </c>
      <c r="L48" s="13">
        <v>11</v>
      </c>
      <c r="M48" s="13">
        <v>12</v>
      </c>
      <c r="N48" s="13"/>
    </row>
    <row r="49" spans="1:14" ht="16" thickBot="1" x14ac:dyDescent="0.25">
      <c r="A49" s="14" t="s">
        <v>39</v>
      </c>
      <c r="B49" s="18">
        <f>AVERAGEIFS(Avocado_Sale_Data_Albany!$D:$D,Avocado_Sale_Data_Albany!$B:$B,B$48,Avocado_Sale_Data_Albany!$L:$L,$A$49)</f>
        <v>109251.95600000001</v>
      </c>
      <c r="C49" s="18">
        <f>AVERAGEIFS(Avocado_Sale_Data_Albany!$D:$D,Avocado_Sale_Data_Albany!$B:$B,C$48,Avocado_Sale_Data_Albany!$L:$L,$A$49)</f>
        <v>113815.5175</v>
      </c>
      <c r="D49" s="18">
        <f>AVERAGEIFS(Avocado_Sale_Data_Albany!$D:$D,Avocado_Sale_Data_Albany!$B:$B,D$48,Avocado_Sale_Data_Albany!$L:$L,$A$49)</f>
        <v>100457.42750000001</v>
      </c>
      <c r="E49" s="18">
        <f>AVERAGEIFS(Avocado_Sale_Data_Albany!$D:$D,Avocado_Sale_Data_Albany!$B:$B,E$48,Avocado_Sale_Data_Albany!$L:$L,$A$49)</f>
        <v>85217.84</v>
      </c>
      <c r="F49" s="18">
        <f>AVERAGEIFS(Avocado_Sale_Data_Albany!$D:$D,Avocado_Sale_Data_Albany!$B:$B,F$48,Avocado_Sale_Data_Albany!$L:$L,$A$49)</f>
        <v>123515.27000000002</v>
      </c>
      <c r="G49" s="18">
        <f>AVERAGEIFS(Avocado_Sale_Data_Albany!$D:$D,Avocado_Sale_Data_Albany!$B:$B,G$48,Avocado_Sale_Data_Albany!$L:$L,$A$49)</f>
        <v>118288.94750000001</v>
      </c>
      <c r="H49" s="18">
        <f>AVERAGEIFS(Avocado_Sale_Data_Albany!$D:$D,Avocado_Sale_Data_Albany!$B:$B,H$48,Avocado_Sale_Data_Albany!$L:$L,$A$49)</f>
        <v>112134.69399999999</v>
      </c>
      <c r="I49" s="18">
        <f>AVERAGEIFS(Avocado_Sale_Data_Albany!$D:$D,Avocado_Sale_Data_Albany!$B:$B,I$48,Avocado_Sale_Data_Albany!$L:$L,$A$49)</f>
        <v>112604.30249999999</v>
      </c>
      <c r="J49" s="18">
        <f>AVERAGEIFS(Avocado_Sale_Data_Albany!$D:$D,Avocado_Sale_Data_Albany!$B:$B,J$48,Avocado_Sale_Data_Albany!$L:$L,$A$49)</f>
        <v>88324.047499999986</v>
      </c>
      <c r="K49" s="18">
        <f>AVERAGEIFS(Avocado_Sale_Data_Albany!$D:$D,Avocado_Sale_Data_Albany!$B:$B,K$48,Avocado_Sale_Data_Albany!$L:$L,$A$49)</f>
        <v>79216.889999999985</v>
      </c>
      <c r="L49" s="18">
        <f>AVERAGEIFS(Avocado_Sale_Data_Albany!$D:$D,Avocado_Sale_Data_Albany!$B:$B,L$48,Avocado_Sale_Data_Albany!$L:$L,$A$49)</f>
        <v>62261.902499999997</v>
      </c>
      <c r="M49" s="18">
        <f>AVERAGEIFS(Avocado_Sale_Data_Albany!$D:$D,Avocado_Sale_Data_Albany!$B:$B,M$48,Avocado_Sale_Data_Albany!$L:$L,$A$49)</f>
        <v>81772.517500000002</v>
      </c>
      <c r="N49" s="15">
        <f>AVERAGEIF(Avocado_Sale_Data_Albany!L:L,"conventional", Avocado_Sale_Data_Albany!D:D)</f>
        <v>99453.15499999997</v>
      </c>
    </row>
    <row r="50" spans="1:14" ht="16" thickBot="1" x14ac:dyDescent="0.25">
      <c r="A50" s="14" t="s">
        <v>40</v>
      </c>
      <c r="B50" s="18">
        <f>AVERAGEIFS(Avocado_Sale_Data_Albany!$D:$D,Avocado_Sale_Data_Albany!$B:$B,B$48,Avocado_Sale_Data_Albany!$L:$L,$A$50)</f>
        <v>1426.2180000000001</v>
      </c>
      <c r="C50" s="18">
        <f>AVERAGEIFS(Avocado_Sale_Data_Albany!$D:$D,Avocado_Sale_Data_Albany!$B:$B,C$48,Avocado_Sale_Data_Albany!$L:$L,$A$50)</f>
        <v>1317.3150000000001</v>
      </c>
      <c r="D50" s="18">
        <f>AVERAGEIFS(Avocado_Sale_Data_Albany!$D:$D,Avocado_Sale_Data_Albany!$B:$B,D$48,Avocado_Sale_Data_Albany!$L:$L,$A$50)</f>
        <v>1741.3275000000001</v>
      </c>
      <c r="E50" s="18">
        <f>AVERAGEIFS(Avocado_Sale_Data_Albany!$D:$D,Avocado_Sale_Data_Albany!$B:$B,E$48,Avocado_Sale_Data_Albany!$L:$L,$A$50)</f>
        <v>2113.1675</v>
      </c>
      <c r="F50" s="18">
        <f>AVERAGEIFS(Avocado_Sale_Data_Albany!$D:$D,Avocado_Sale_Data_Albany!$B:$B,F$48,Avocado_Sale_Data_Albany!$L:$L,$A$50)</f>
        <v>1455.6</v>
      </c>
      <c r="G50" s="18">
        <f>AVERAGEIFS(Avocado_Sale_Data_Albany!$D:$D,Avocado_Sale_Data_Albany!$B:$B,G$48,Avocado_Sale_Data_Albany!$L:$L,$A$50)</f>
        <v>1197.835</v>
      </c>
      <c r="H50" s="18">
        <f>AVERAGEIFS(Avocado_Sale_Data_Albany!$D:$D,Avocado_Sale_Data_Albany!$B:$B,H$48,Avocado_Sale_Data_Albany!$L:$L,$A$50)</f>
        <v>2293.4479999999999</v>
      </c>
      <c r="I50" s="18">
        <f>AVERAGEIFS(Avocado_Sale_Data_Albany!$D:$D,Avocado_Sale_Data_Albany!$B:$B,I$48,Avocado_Sale_Data_Albany!$L:$L,$A$50)</f>
        <v>1750.8225</v>
      </c>
      <c r="J50" s="18">
        <f>AVERAGEIFS(Avocado_Sale_Data_Albany!$D:$D,Avocado_Sale_Data_Albany!$B:$B,J$48,Avocado_Sale_Data_Albany!$L:$L,$A$50)</f>
        <v>2463.3550000000005</v>
      </c>
      <c r="K50" s="18">
        <f>AVERAGEIFS(Avocado_Sale_Data_Albany!$D:$D,Avocado_Sale_Data_Albany!$B:$B,K$48,Avocado_Sale_Data_Albany!$L:$L,$A$50)</f>
        <v>1970.5880000000002</v>
      </c>
      <c r="L50" s="18">
        <f>AVERAGEIFS(Avocado_Sale_Data_Albany!$D:$D,Avocado_Sale_Data_Albany!$B:$B,L$48,Avocado_Sale_Data_Albany!$L:$L,$A$50)</f>
        <v>2066.9625000000001</v>
      </c>
      <c r="M50" s="18">
        <f>AVERAGEIFS(Avocado_Sale_Data_Albany!$D:$D,Avocado_Sale_Data_Albany!$B:$B,M$48,Avocado_Sale_Data_Albany!$L:$L,$A$50)</f>
        <v>1609.78</v>
      </c>
      <c r="N50" s="15">
        <f>AVERAGEIF(Avocado_Sale_Data_Albany!L:L,"organic",Avocado_Sale_Data_Albany!D:D)</f>
        <v>1784.0678846153846</v>
      </c>
    </row>
    <row r="51" spans="1:14" x14ac:dyDescent="0.2">
      <c r="A51" s="14" t="s">
        <v>58</v>
      </c>
      <c r="B51" s="18">
        <f>AVERAGEIF(Avocado_Sale_Data_Albany!$B:$B,B$48,Avocado_Sale_Data_Albany!$D:$D)</f>
        <v>55339.086999999985</v>
      </c>
      <c r="C51" s="18">
        <f>AVERAGEIF(Avocado_Sale_Data_Albany!$B:$B,C$48,Avocado_Sale_Data_Albany!$D:$D)</f>
        <v>57566.416250000002</v>
      </c>
      <c r="D51" s="18">
        <f>AVERAGEIF(Avocado_Sale_Data_Albany!$B:$B,D$48,Avocado_Sale_Data_Albany!$D:$D)</f>
        <v>51099.377500000002</v>
      </c>
      <c r="E51" s="18">
        <f>AVERAGEIF(Avocado_Sale_Data_Albany!$B:$B,E$48,Avocado_Sale_Data_Albany!$D:$D)</f>
        <v>43665.503750000003</v>
      </c>
      <c r="F51" s="18">
        <f>AVERAGEIF(Avocado_Sale_Data_Albany!$B:$B,F$48,Avocado_Sale_Data_Albany!$D:$D)</f>
        <v>62485.434999999998</v>
      </c>
      <c r="G51" s="18">
        <f>AVERAGEIF(Avocado_Sale_Data_Albany!$B:$B,G$48,Avocado_Sale_Data_Albany!$D:$D)</f>
        <v>59743.391250000001</v>
      </c>
      <c r="H51" s="18">
        <f>AVERAGEIF(Avocado_Sale_Data_Albany!$B:$B,H$48,Avocado_Sale_Data_Albany!$D:$D)</f>
        <v>57214.071000000011</v>
      </c>
      <c r="I51" s="18">
        <f>AVERAGEIF(Avocado_Sale_Data_Albany!$B:$B,I$48,Avocado_Sale_Data_Albany!$D:$D)</f>
        <v>57177.562500000007</v>
      </c>
      <c r="J51" s="18">
        <f>AVERAGEIF(Avocado_Sale_Data_Albany!$B:$B,J$48,Avocado_Sale_Data_Albany!$D:$D)</f>
        <v>45393.701250000006</v>
      </c>
      <c r="K51" s="18">
        <f>AVERAGEIF(Avocado_Sale_Data_Albany!$B:$B,K$48,Avocado_Sale_Data_Albany!$D:$D)</f>
        <v>40593.738999999994</v>
      </c>
      <c r="L51" s="18">
        <f>AVERAGEIF(Avocado_Sale_Data_Albany!$B:$B,L$48,Avocado_Sale_Data_Albany!$D:$D)</f>
        <v>32164.432499999999</v>
      </c>
      <c r="M51" s="18">
        <f>AVERAGEIF(Avocado_Sale_Data_Albany!$B:$B,M$48,Avocado_Sale_Data_Albany!$D:$D)</f>
        <v>41691.14875</v>
      </c>
      <c r="N51" s="15">
        <f>AVERAGE(Avocado_Sale_Data_Albany!D:D)</f>
        <v>50618.61144230768</v>
      </c>
    </row>
    <row r="53" spans="1:14" x14ac:dyDescent="0.2">
      <c r="A53" s="2" t="s">
        <v>59</v>
      </c>
    </row>
    <row r="54" spans="1:14" x14ac:dyDescent="0.2">
      <c r="A54" s="2"/>
    </row>
    <row r="55" spans="1:14" x14ac:dyDescent="0.2">
      <c r="A55" s="7" t="s">
        <v>41</v>
      </c>
    </row>
    <row r="56" spans="1:14" x14ac:dyDescent="0.2">
      <c r="A56" s="7" t="s">
        <v>60</v>
      </c>
    </row>
    <row r="57" spans="1:14" x14ac:dyDescent="0.2">
      <c r="A57" s="45" t="s">
        <v>39</v>
      </c>
      <c r="C57" s="45" t="s">
        <v>40</v>
      </c>
    </row>
    <row r="58" spans="1:14" x14ac:dyDescent="0.2">
      <c r="A58" s="19" t="s">
        <v>61</v>
      </c>
      <c r="C58" s="19" t="s">
        <v>64</v>
      </c>
    </row>
    <row r="59" spans="1:14" x14ac:dyDescent="0.2">
      <c r="A59" s="19" t="s">
        <v>63</v>
      </c>
      <c r="C59" s="19" t="s">
        <v>65</v>
      </c>
    </row>
    <row r="60" spans="1:14" x14ac:dyDescent="0.2">
      <c r="A60" s="19" t="s">
        <v>62</v>
      </c>
      <c r="C60" s="19" t="s">
        <v>66</v>
      </c>
    </row>
    <row r="62" spans="1:14" x14ac:dyDescent="0.2">
      <c r="A62" s="61" t="s">
        <v>42</v>
      </c>
      <c r="B62" s="62"/>
      <c r="C62" s="62"/>
      <c r="D62" s="62"/>
      <c r="E62" s="62"/>
      <c r="F62" s="62"/>
      <c r="G62" s="62"/>
      <c r="H62" s="62"/>
      <c r="I62" s="62"/>
      <c r="J62" s="62"/>
      <c r="K62" s="62"/>
      <c r="L62" s="62"/>
      <c r="M62" s="62"/>
      <c r="N62" s="62"/>
    </row>
    <row r="63" spans="1:14" x14ac:dyDescent="0.2">
      <c r="A63" s="16" t="s">
        <v>43</v>
      </c>
    </row>
    <row r="65" spans="1:14" x14ac:dyDescent="0.2">
      <c r="A65" s="11"/>
      <c r="B65" s="13" t="s">
        <v>12</v>
      </c>
      <c r="C65" s="13" t="s">
        <v>13</v>
      </c>
      <c r="D65" s="13" t="s">
        <v>14</v>
      </c>
      <c r="E65" s="13" t="s">
        <v>15</v>
      </c>
      <c r="F65" s="13" t="s">
        <v>16</v>
      </c>
      <c r="G65" s="13" t="s">
        <v>17</v>
      </c>
      <c r="H65" s="13" t="s">
        <v>18</v>
      </c>
      <c r="I65" s="13" t="s">
        <v>19</v>
      </c>
      <c r="J65" s="13" t="s">
        <v>20</v>
      </c>
      <c r="K65" s="13" t="s">
        <v>21</v>
      </c>
      <c r="L65" s="13" t="s">
        <v>22</v>
      </c>
      <c r="M65" s="13" t="s">
        <v>23</v>
      </c>
      <c r="N65" s="44"/>
    </row>
    <row r="66" spans="1:14" ht="16" thickBot="1" x14ac:dyDescent="0.25">
      <c r="A66" s="12"/>
      <c r="B66" s="13">
        <v>1</v>
      </c>
      <c r="C66" s="13">
        <v>2</v>
      </c>
      <c r="D66" s="13">
        <v>3</v>
      </c>
      <c r="E66" s="13">
        <v>4</v>
      </c>
      <c r="F66" s="13">
        <v>5</v>
      </c>
      <c r="G66" s="13">
        <v>6</v>
      </c>
      <c r="H66" s="13">
        <v>7</v>
      </c>
      <c r="I66" s="13">
        <v>8</v>
      </c>
      <c r="J66" s="13">
        <v>9</v>
      </c>
      <c r="K66" s="13">
        <v>10</v>
      </c>
      <c r="L66" s="13">
        <v>11</v>
      </c>
      <c r="M66" s="13">
        <v>12</v>
      </c>
      <c r="N66" s="44"/>
    </row>
    <row r="67" spans="1:14" x14ac:dyDescent="0.2">
      <c r="A67" s="14" t="s">
        <v>39</v>
      </c>
      <c r="B67" s="46" t="str">
        <f>_xlfn.IFS(B49&lt;65000,"Low",B49&gt;95000,"High",TRUE,"Medium")</f>
        <v>High</v>
      </c>
      <c r="C67" s="46" t="str">
        <f t="shared" ref="C67:M67" si="0">_xlfn.IFS(C49&lt;65000,"Low",C49&gt;95000,"High",TRUE,"Medium")</f>
        <v>High</v>
      </c>
      <c r="D67" s="46" t="str">
        <f t="shared" si="0"/>
        <v>High</v>
      </c>
      <c r="E67" s="46" t="str">
        <f t="shared" si="0"/>
        <v>Medium</v>
      </c>
      <c r="F67" s="46" t="str">
        <f t="shared" si="0"/>
        <v>High</v>
      </c>
      <c r="G67" s="46" t="str">
        <f t="shared" si="0"/>
        <v>High</v>
      </c>
      <c r="H67" s="46" t="str">
        <f t="shared" si="0"/>
        <v>High</v>
      </c>
      <c r="I67" s="46" t="str">
        <f t="shared" si="0"/>
        <v>High</v>
      </c>
      <c r="J67" s="46" t="str">
        <f t="shared" si="0"/>
        <v>Medium</v>
      </c>
      <c r="K67" s="46" t="str">
        <f t="shared" si="0"/>
        <v>Medium</v>
      </c>
      <c r="L67" s="46" t="str">
        <f t="shared" si="0"/>
        <v>Low</v>
      </c>
      <c r="M67" s="46" t="str">
        <f t="shared" si="0"/>
        <v>Medium</v>
      </c>
      <c r="N67" s="48"/>
    </row>
    <row r="68" spans="1:14" x14ac:dyDescent="0.2">
      <c r="A68" s="14" t="s">
        <v>40</v>
      </c>
      <c r="B68" s="47" t="str">
        <f>_xlfn.IFS(B50&lt;1500,"Low",B50&gt;2000,"High",TRUE,"Medium")</f>
        <v>Low</v>
      </c>
      <c r="C68" s="47" t="str">
        <f t="shared" ref="C68:L68" si="1">_xlfn.IFS(C50&lt;1500,"Low",C50&gt;2000,"High",TRUE,"Medium")</f>
        <v>Low</v>
      </c>
      <c r="D68" s="47" t="str">
        <f t="shared" si="1"/>
        <v>Medium</v>
      </c>
      <c r="E68" s="47" t="str">
        <f t="shared" si="1"/>
        <v>High</v>
      </c>
      <c r="F68" s="47" t="str">
        <f t="shared" si="1"/>
        <v>Low</v>
      </c>
      <c r="G68" s="47" t="str">
        <f t="shared" si="1"/>
        <v>Low</v>
      </c>
      <c r="H68" s="47" t="str">
        <f t="shared" si="1"/>
        <v>High</v>
      </c>
      <c r="I68" s="47" t="str">
        <f t="shared" si="1"/>
        <v>Medium</v>
      </c>
      <c r="J68" s="47" t="str">
        <f t="shared" si="1"/>
        <v>High</v>
      </c>
      <c r="K68" s="47" t="str">
        <f t="shared" si="1"/>
        <v>Medium</v>
      </c>
      <c r="L68" s="47" t="str">
        <f t="shared" si="1"/>
        <v>High</v>
      </c>
      <c r="M68" s="47" t="str">
        <f>_xlfn.IFS(M50&lt;1500,"Low",M50&gt;2000,"High",TRUE,"Medium")</f>
        <v>Medium</v>
      </c>
      <c r="N68" s="48"/>
    </row>
  </sheetData>
  <mergeCells count="5">
    <mergeCell ref="H5:T6"/>
    <mergeCell ref="H7:U7"/>
    <mergeCell ref="A43:N43"/>
    <mergeCell ref="A62:N62"/>
    <mergeCell ref="A13:Z13"/>
  </mergeCells>
  <phoneticPr fontId="8" type="noConversion"/>
  <conditionalFormatting sqref="B67:M68">
    <cfRule type="containsText" dxfId="2" priority="1" operator="containsText" text="High">
      <formula>NOT(ISERROR(SEARCH("High",B67)))</formula>
    </cfRule>
    <cfRule type="containsText" dxfId="1" priority="2" operator="containsText" text="Medium">
      <formula>NOT(ISERROR(SEARCH("Medium",B67)))</formula>
    </cfRule>
    <cfRule type="containsText" dxfId="0" priority="3" operator="containsText" text="Low">
      <formula>NOT(ISERROR(SEARCH("Low",B67)))</formula>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Avocado_Sale_Data_Albany</vt:lpstr>
      <vt:lpstr>reference pivot tables</vt:lpstr>
      <vt:lpstr>Avocado_Mini_Summing_Exercise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Tracked Pty Ltd</dc:creator>
  <cp:lastModifiedBy>Microsoft Office User</cp:lastModifiedBy>
  <dcterms:created xsi:type="dcterms:W3CDTF">2022-03-16T08:27:24Z</dcterms:created>
  <dcterms:modified xsi:type="dcterms:W3CDTF">2023-08-22T01:26:46Z</dcterms:modified>
</cp:coreProperties>
</file>