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ishittaiyer/Desktop/Nielson holdings project/"/>
    </mc:Choice>
  </mc:AlternateContent>
  <xr:revisionPtr revIDLastSave="0" documentId="13_ncr:1_{21E28EFD-9261-7049-8482-566DFAC4E7A3}" xr6:coauthVersionLast="47" xr6:coauthVersionMax="47" xr10:uidLastSave="{00000000-0000-0000-0000-000000000000}"/>
  <bookViews>
    <workbookView xWindow="0" yWindow="0" windowWidth="28800" windowHeight="18000" xr2:uid="{0D2F51F0-4B68-B946-AAE7-A1F1F25BF9C6}"/>
  </bookViews>
  <sheets>
    <sheet name="LBO Model" sheetId="1" r:id="rId1"/>
    <sheet name="Export" sheetId="2" r:id="rId2"/>
    <sheet name="DebtParams" sheetId="3" r:id="rId3"/>
  </sheets>
  <definedNames>
    <definedName name="CASE">'LBO Model'!$E$5</definedName>
    <definedName name="CIRC">'LBO Model'!$E$6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3" l="1"/>
  <c r="B6" i="3"/>
  <c r="B5" i="3"/>
  <c r="B4" i="3"/>
  <c r="B3" i="3"/>
  <c r="B2" i="3"/>
  <c r="H8" i="2"/>
  <c r="H7" i="2"/>
  <c r="H6" i="2"/>
  <c r="H5" i="2"/>
  <c r="G8" i="2"/>
  <c r="G7" i="2"/>
  <c r="G6" i="2"/>
  <c r="G5" i="2"/>
  <c r="G4" i="2"/>
  <c r="G3" i="2"/>
  <c r="H125" i="1"/>
  <c r="H128" i="1" s="1"/>
  <c r="F8" i="2"/>
  <c r="F7" i="2"/>
  <c r="F6" i="2"/>
  <c r="F5" i="2"/>
  <c r="F4" i="2"/>
  <c r="F3" i="2"/>
  <c r="F2" i="2"/>
  <c r="E8" i="2"/>
  <c r="E7" i="2"/>
  <c r="E6" i="2"/>
  <c r="E5" i="2"/>
  <c r="E4" i="2"/>
  <c r="E3" i="2"/>
  <c r="E2" i="2"/>
  <c r="D8" i="2"/>
  <c r="D7" i="2"/>
  <c r="D6" i="2"/>
  <c r="D5" i="2"/>
  <c r="D4" i="2"/>
  <c r="I107" i="1"/>
  <c r="H107" i="1"/>
  <c r="I106" i="1"/>
  <c r="H106" i="1"/>
  <c r="D3" i="2"/>
  <c r="D2" i="2"/>
  <c r="C8" i="2"/>
  <c r="C7" i="2"/>
  <c r="C6" i="2"/>
  <c r="C5" i="2"/>
  <c r="C4" i="2"/>
  <c r="C3" i="2"/>
  <c r="C2" i="2"/>
  <c r="J135" i="1"/>
  <c r="J158" i="1"/>
  <c r="J155" i="1"/>
  <c r="M161" i="1"/>
  <c r="M135" i="1"/>
  <c r="M158" i="1" s="1"/>
  <c r="J77" i="1"/>
  <c r="J76" i="1"/>
  <c r="J161" i="1"/>
  <c r="L165" i="1"/>
  <c r="M165" i="1"/>
  <c r="K165" i="1"/>
  <c r="L14" i="1"/>
  <c r="L339" i="1" s="1"/>
  <c r="L327" i="1" s="1"/>
  <c r="L328" i="1" s="1"/>
  <c r="M338" i="1"/>
  <c r="M336" i="1"/>
  <c r="M334" i="1"/>
  <c r="M333" i="1"/>
  <c r="M329" i="1"/>
  <c r="M326" i="1"/>
  <c r="M324" i="1"/>
  <c r="K337" i="1"/>
  <c r="M337" i="1" s="1"/>
  <c r="J332" i="1"/>
  <c r="J335" i="1" s="1"/>
  <c r="I332" i="1"/>
  <c r="M332" i="1" s="1"/>
  <c r="I327" i="1"/>
  <c r="I337" i="1"/>
  <c r="I340" i="1" s="1"/>
  <c r="I330" i="1"/>
  <c r="M330" i="1" s="1"/>
  <c r="I331" i="1"/>
  <c r="M331" i="1" s="1"/>
  <c r="I326" i="1"/>
  <c r="I323" i="1"/>
  <c r="M323" i="1" s="1"/>
  <c r="I324" i="1"/>
  <c r="I273" i="1"/>
  <c r="J271" i="1" s="1"/>
  <c r="I265" i="1"/>
  <c r="J262" i="1" s="1"/>
  <c r="J263" i="1" s="1"/>
  <c r="I256" i="1"/>
  <c r="J253" i="1" s="1"/>
  <c r="J254" i="1" s="1"/>
  <c r="I247" i="1"/>
  <c r="J244" i="1" s="1"/>
  <c r="J245" i="1" s="1"/>
  <c r="I238" i="1"/>
  <c r="J235" i="1" s="1"/>
  <c r="J236" i="1" s="1"/>
  <c r="I229" i="1"/>
  <c r="D46" i="1"/>
  <c r="D39" i="1"/>
  <c r="G33" i="1"/>
  <c r="J272" i="1"/>
  <c r="H32" i="1"/>
  <c r="K214" i="1"/>
  <c r="L214" i="1"/>
  <c r="M214" i="1"/>
  <c r="J214" i="1"/>
  <c r="F7" i="1"/>
  <c r="M33" i="1"/>
  <c r="H30" i="1"/>
  <c r="I30" i="1"/>
  <c r="J30" i="1"/>
  <c r="H31" i="1"/>
  <c r="H164" i="1"/>
  <c r="H165" i="1" s="1"/>
  <c r="I164" i="1"/>
  <c r="I165" i="1" s="1"/>
  <c r="G164" i="1"/>
  <c r="G198" i="1" s="1"/>
  <c r="J153" i="1"/>
  <c r="K172" i="1" s="1"/>
  <c r="K153" i="1"/>
  <c r="L153" i="1"/>
  <c r="M153" i="1"/>
  <c r="I153" i="1"/>
  <c r="I334" i="1" s="1"/>
  <c r="H153" i="1"/>
  <c r="G153" i="1"/>
  <c r="K132" i="1"/>
  <c r="K141" i="1" s="1"/>
  <c r="L132" i="1"/>
  <c r="L141" i="1" s="1"/>
  <c r="M132" i="1"/>
  <c r="I141" i="1"/>
  <c r="H141" i="1"/>
  <c r="H140" i="1"/>
  <c r="G141" i="1"/>
  <c r="I142" i="1"/>
  <c r="H137" i="1"/>
  <c r="G142" i="1"/>
  <c r="K146" i="1"/>
  <c r="K147" i="1" s="1"/>
  <c r="L146" i="1"/>
  <c r="L147" i="1" s="1"/>
  <c r="L177" i="1" s="1"/>
  <c r="M146" i="1"/>
  <c r="M147" i="1" s="1"/>
  <c r="J146" i="1"/>
  <c r="J147" i="1" s="1"/>
  <c r="J177" i="1" s="1"/>
  <c r="H146" i="1"/>
  <c r="H147" i="1" s="1"/>
  <c r="I146" i="1"/>
  <c r="I147" i="1" s="1"/>
  <c r="G146" i="1"/>
  <c r="I133" i="1"/>
  <c r="H133" i="1"/>
  <c r="G133" i="1"/>
  <c r="I125" i="1"/>
  <c r="I126" i="1" s="1"/>
  <c r="G125" i="1"/>
  <c r="G126" i="1" s="1"/>
  <c r="K122" i="1"/>
  <c r="L122" i="1"/>
  <c r="M122" i="1"/>
  <c r="K119" i="1"/>
  <c r="L119" i="1"/>
  <c r="M119" i="1"/>
  <c r="K116" i="1"/>
  <c r="L116" i="1"/>
  <c r="M116" i="1"/>
  <c r="K113" i="1"/>
  <c r="L113" i="1"/>
  <c r="M113" i="1"/>
  <c r="K110" i="1"/>
  <c r="L110" i="1"/>
  <c r="M110" i="1"/>
  <c r="H123" i="1"/>
  <c r="I123" i="1"/>
  <c r="H120" i="1"/>
  <c r="I120" i="1"/>
  <c r="H117" i="1"/>
  <c r="I117" i="1"/>
  <c r="H114" i="1"/>
  <c r="I114" i="1"/>
  <c r="H111" i="1"/>
  <c r="I111" i="1"/>
  <c r="G123" i="1"/>
  <c r="G120" i="1"/>
  <c r="G117" i="1"/>
  <c r="G114" i="1"/>
  <c r="G111" i="1"/>
  <c r="K40" i="1"/>
  <c r="L40" i="1" s="1"/>
  <c r="I210" i="1"/>
  <c r="J208" i="1" s="1"/>
  <c r="J213" i="1" s="1"/>
  <c r="H197" i="1"/>
  <c r="G197" i="1"/>
  <c r="H158" i="1"/>
  <c r="H159" i="1" s="1"/>
  <c r="I158" i="1"/>
  <c r="I159" i="1" s="1"/>
  <c r="I156" i="1" s="1"/>
  <c r="G158" i="1"/>
  <c r="G159" i="1" s="1"/>
  <c r="K107" i="1"/>
  <c r="L107" i="1"/>
  <c r="M107" i="1"/>
  <c r="J107" i="1"/>
  <c r="L41" i="1"/>
  <c r="L21" i="1"/>
  <c r="H98" i="1"/>
  <c r="I98" i="1"/>
  <c r="G98" i="1"/>
  <c r="F5" i="1"/>
  <c r="H56" i="1"/>
  <c r="H71" i="1" s="1"/>
  <c r="I56" i="1"/>
  <c r="I71" i="1" s="1"/>
  <c r="G56" i="1"/>
  <c r="G71" i="1" s="1"/>
  <c r="K54" i="1"/>
  <c r="K62" i="1" s="1"/>
  <c r="I54" i="1"/>
  <c r="I62" i="1" s="1"/>
  <c r="J54" i="1"/>
  <c r="J62" i="1" s="1"/>
  <c r="L54" i="1"/>
  <c r="L62" i="1" s="1"/>
  <c r="M54" i="1"/>
  <c r="M62" i="1" s="1"/>
  <c r="H54" i="1"/>
  <c r="H62" i="1" s="1"/>
  <c r="G67" i="1"/>
  <c r="G76" i="1" s="1"/>
  <c r="I89" i="1"/>
  <c r="G89" i="1"/>
  <c r="I67" i="1"/>
  <c r="I76" i="1" s="1"/>
  <c r="I77" i="1" s="1"/>
  <c r="H67" i="1"/>
  <c r="H79" i="1" s="1"/>
  <c r="H80" i="1" s="1"/>
  <c r="I65" i="1"/>
  <c r="H65" i="1"/>
  <c r="G65" i="1"/>
  <c r="D40" i="1"/>
  <c r="D41" i="1"/>
  <c r="D42" i="1"/>
  <c r="E42" i="1" s="1"/>
  <c r="D43" i="1"/>
  <c r="E43" i="1" s="1"/>
  <c r="D44" i="1"/>
  <c r="E44" i="1" s="1"/>
  <c r="H26" i="1"/>
  <c r="I26" i="1"/>
  <c r="H27" i="1"/>
  <c r="I27" i="1"/>
  <c r="J27" i="1"/>
  <c r="H28" i="1"/>
  <c r="I28" i="1"/>
  <c r="J28" i="1"/>
  <c r="H29" i="1"/>
  <c r="I29" i="1"/>
  <c r="J29" i="1"/>
  <c r="K33" i="1"/>
  <c r="K42" i="1" s="1"/>
  <c r="L42" i="1" s="1"/>
  <c r="B40" i="1"/>
  <c r="B41" i="1"/>
  <c r="B42" i="1"/>
  <c r="B43" i="1"/>
  <c r="B44" i="1"/>
  <c r="B39" i="1"/>
  <c r="L18" i="1"/>
  <c r="K39" i="1"/>
  <c r="L39" i="1" s="1"/>
  <c r="L13" i="1"/>
  <c r="K335" i="1" l="1"/>
  <c r="M327" i="1"/>
  <c r="J162" i="1"/>
  <c r="J172" i="1"/>
  <c r="L340" i="1"/>
  <c r="L342" i="1" s="1"/>
  <c r="J133" i="1"/>
  <c r="J132" i="1" s="1"/>
  <c r="J339" i="1"/>
  <c r="I335" i="1"/>
  <c r="M335" i="1" s="1"/>
  <c r="I322" i="1"/>
  <c r="I280" i="1"/>
  <c r="J278" i="1" s="1"/>
  <c r="K48" i="1"/>
  <c r="D45" i="1" s="1"/>
  <c r="K177" i="1"/>
  <c r="J273" i="1"/>
  <c r="K271" i="1" s="1"/>
  <c r="M177" i="1"/>
  <c r="K272" i="1"/>
  <c r="E46" i="1"/>
  <c r="J264" i="1"/>
  <c r="J302" i="1" s="1"/>
  <c r="J215" i="1"/>
  <c r="K164" i="1"/>
  <c r="K176" i="1" s="1"/>
  <c r="K178" i="1" s="1"/>
  <c r="M172" i="1"/>
  <c r="L172" i="1"/>
  <c r="H198" i="1"/>
  <c r="I198" i="1"/>
  <c r="M164" i="1"/>
  <c r="L164" i="1"/>
  <c r="G165" i="1"/>
  <c r="J165" i="1" s="1"/>
  <c r="H136" i="1"/>
  <c r="I137" i="1"/>
  <c r="G140" i="1"/>
  <c r="I136" i="1"/>
  <c r="L135" i="1"/>
  <c r="K135" i="1"/>
  <c r="K158" i="1" s="1"/>
  <c r="K155" i="1" s="1"/>
  <c r="G136" i="1"/>
  <c r="G137" i="1"/>
  <c r="H142" i="1"/>
  <c r="M141" i="1"/>
  <c r="M125" i="1"/>
  <c r="M126" i="1" s="1"/>
  <c r="J117" i="1"/>
  <c r="J116" i="1" s="1"/>
  <c r="J114" i="1"/>
  <c r="J113" i="1" s="1"/>
  <c r="L125" i="1"/>
  <c r="H129" i="1"/>
  <c r="J123" i="1"/>
  <c r="J122" i="1" s="1"/>
  <c r="J120" i="1"/>
  <c r="J119" i="1" s="1"/>
  <c r="K125" i="1"/>
  <c r="K126" i="1" s="1"/>
  <c r="H126" i="1"/>
  <c r="J111" i="1"/>
  <c r="J110" i="1" s="1"/>
  <c r="I128" i="1"/>
  <c r="I129" i="1" s="1"/>
  <c r="J226" i="1"/>
  <c r="J227" i="1" s="1"/>
  <c r="J181" i="1" s="1"/>
  <c r="G199" i="1"/>
  <c r="I155" i="1"/>
  <c r="I197" i="1" s="1"/>
  <c r="G73" i="1"/>
  <c r="E39" i="1"/>
  <c r="I73" i="1"/>
  <c r="E41" i="1"/>
  <c r="E40" i="1"/>
  <c r="H73" i="1"/>
  <c r="H33" i="1"/>
  <c r="I79" i="1"/>
  <c r="I80" i="1" s="1"/>
  <c r="J56" i="1"/>
  <c r="G77" i="1"/>
  <c r="G55" i="1"/>
  <c r="G68" i="1" s="1"/>
  <c r="G79" i="1"/>
  <c r="G80" i="1" s="1"/>
  <c r="K77" i="1"/>
  <c r="H55" i="1"/>
  <c r="H68" i="1" s="1"/>
  <c r="H76" i="1"/>
  <c r="H77" i="1" s="1"/>
  <c r="L17" i="1"/>
  <c r="L20" i="1" s="1"/>
  <c r="L22" i="1" s="1"/>
  <c r="I55" i="1"/>
  <c r="K339" i="1" l="1"/>
  <c r="K340" i="1" s="1"/>
  <c r="K322" i="1" s="1"/>
  <c r="K328" i="1" s="1"/>
  <c r="K342" i="1" s="1"/>
  <c r="N5" i="2"/>
  <c r="M339" i="1"/>
  <c r="J340" i="1"/>
  <c r="M340" i="1" s="1"/>
  <c r="J322" i="1"/>
  <c r="J328" i="1" s="1"/>
  <c r="E22" i="1"/>
  <c r="V345" i="1"/>
  <c r="M322" i="1"/>
  <c r="K273" i="1"/>
  <c r="K274" i="1" s="1"/>
  <c r="K180" i="1" s="1"/>
  <c r="J274" i="1"/>
  <c r="J180" i="1" s="1"/>
  <c r="J136" i="1"/>
  <c r="J125" i="1"/>
  <c r="J128" i="1" s="1"/>
  <c r="J171" i="1" s="1"/>
  <c r="J141" i="1"/>
  <c r="J164" i="1"/>
  <c r="J265" i="1"/>
  <c r="K262" i="1" s="1"/>
  <c r="K263" i="1" s="1"/>
  <c r="J173" i="1"/>
  <c r="K264" i="1"/>
  <c r="K198" i="1"/>
  <c r="L198" i="1"/>
  <c r="L176" i="1"/>
  <c r="L178" i="1" s="1"/>
  <c r="M198" i="1"/>
  <c r="M176" i="1"/>
  <c r="M178" i="1" s="1"/>
  <c r="M159" i="1"/>
  <c r="M156" i="1" s="1"/>
  <c r="M155" i="1"/>
  <c r="L158" i="1"/>
  <c r="H143" i="1"/>
  <c r="I140" i="1" s="1"/>
  <c r="I143" i="1" s="1"/>
  <c r="M128" i="1"/>
  <c r="M171" i="1" s="1"/>
  <c r="L126" i="1"/>
  <c r="J129" i="1"/>
  <c r="L128" i="1"/>
  <c r="L171" i="1" s="1"/>
  <c r="H199" i="1"/>
  <c r="I199" i="1"/>
  <c r="I74" i="1"/>
  <c r="I85" i="1"/>
  <c r="I86" i="1" s="1"/>
  <c r="G74" i="1"/>
  <c r="G85" i="1"/>
  <c r="G91" i="1" s="1"/>
  <c r="G196" i="1" s="1"/>
  <c r="G201" i="1" s="1"/>
  <c r="H74" i="1"/>
  <c r="H85" i="1"/>
  <c r="J71" i="1"/>
  <c r="J70" i="1"/>
  <c r="K56" i="1"/>
  <c r="L56" i="1" s="1"/>
  <c r="K76" i="1"/>
  <c r="K161" i="1" s="1"/>
  <c r="K162" i="1" s="1"/>
  <c r="L77" i="1"/>
  <c r="I68" i="1"/>
  <c r="J55" i="1"/>
  <c r="W345" i="1" l="1"/>
  <c r="X345" i="1" s="1"/>
  <c r="Y345" i="1" s="1"/>
  <c r="U345" i="1"/>
  <c r="T345" i="1" s="1"/>
  <c r="S345" i="1" s="1"/>
  <c r="M311" i="1"/>
  <c r="R349" i="1"/>
  <c r="J342" i="1"/>
  <c r="L271" i="1"/>
  <c r="J140" i="1"/>
  <c r="I325" i="1"/>
  <c r="K265" i="1"/>
  <c r="L262" i="1" s="1"/>
  <c r="L263" i="1" s="1"/>
  <c r="L264" i="1"/>
  <c r="K302" i="1"/>
  <c r="K173" i="1"/>
  <c r="M197" i="1"/>
  <c r="M170" i="1"/>
  <c r="M199" i="1"/>
  <c r="J198" i="1"/>
  <c r="J176" i="1"/>
  <c r="J178" i="1" s="1"/>
  <c r="L199" i="1"/>
  <c r="J199" i="1"/>
  <c r="J143" i="1"/>
  <c r="K140" i="1" s="1"/>
  <c r="K143" i="1" s="1"/>
  <c r="L140" i="1" s="1"/>
  <c r="L143" i="1" s="1"/>
  <c r="M140" i="1" s="1"/>
  <c r="M143" i="1" s="1"/>
  <c r="L159" i="1"/>
  <c r="L156" i="1" s="1"/>
  <c r="L155" i="1"/>
  <c r="K159" i="1"/>
  <c r="K156" i="1" s="1"/>
  <c r="K128" i="1"/>
  <c r="K171" i="1" s="1"/>
  <c r="J126" i="1"/>
  <c r="I91" i="1"/>
  <c r="I196" i="1" s="1"/>
  <c r="I201" i="1" s="1"/>
  <c r="G95" i="1"/>
  <c r="G100" i="1" s="1"/>
  <c r="G101" i="1" s="1"/>
  <c r="G92" i="1"/>
  <c r="G86" i="1"/>
  <c r="L71" i="1"/>
  <c r="L70" i="1"/>
  <c r="J68" i="1"/>
  <c r="J67" i="1"/>
  <c r="J64" i="1" s="1"/>
  <c r="J65" i="1" s="1"/>
  <c r="H91" i="1"/>
  <c r="H92" i="1" s="1"/>
  <c r="H57" i="1"/>
  <c r="K70" i="1"/>
  <c r="K71" i="1"/>
  <c r="H86" i="1"/>
  <c r="M56" i="1"/>
  <c r="L76" i="1"/>
  <c r="L161" i="1" s="1"/>
  <c r="L162" i="1" s="1"/>
  <c r="M77" i="1"/>
  <c r="M76" i="1" s="1"/>
  <c r="M162" i="1" s="1"/>
  <c r="K55" i="1"/>
  <c r="L272" i="1" l="1"/>
  <c r="L273" i="1" s="1"/>
  <c r="R350" i="1"/>
  <c r="R351" i="1" s="1"/>
  <c r="R352" i="1" s="1"/>
  <c r="R348" i="1"/>
  <c r="R347" i="1" s="1"/>
  <c r="R346" i="1" s="1"/>
  <c r="I328" i="1"/>
  <c r="M325" i="1"/>
  <c r="L265" i="1"/>
  <c r="M262" i="1" s="1"/>
  <c r="M263" i="1" s="1"/>
  <c r="L302" i="1"/>
  <c r="L173" i="1"/>
  <c r="L197" i="1"/>
  <c r="L170" i="1"/>
  <c r="K197" i="1"/>
  <c r="K170" i="1"/>
  <c r="K199" i="1"/>
  <c r="J159" i="1"/>
  <c r="J156" i="1" s="1"/>
  <c r="I95" i="1"/>
  <c r="I100" i="1" s="1"/>
  <c r="I101" i="1" s="1"/>
  <c r="I92" i="1"/>
  <c r="H95" i="1"/>
  <c r="H100" i="1" s="1"/>
  <c r="H101" i="1" s="1"/>
  <c r="H196" i="1"/>
  <c r="H201" i="1" s="1"/>
  <c r="K67" i="1"/>
  <c r="K64" i="1" s="1"/>
  <c r="K65" i="1" s="1"/>
  <c r="K68" i="1"/>
  <c r="H89" i="1"/>
  <c r="J57" i="1"/>
  <c r="M70" i="1"/>
  <c r="M71" i="1"/>
  <c r="L55" i="1"/>
  <c r="L274" i="1" l="1"/>
  <c r="L180" i="1" s="1"/>
  <c r="M271" i="1"/>
  <c r="M264" i="1"/>
  <c r="M173" i="1" s="1"/>
  <c r="I342" i="1"/>
  <c r="M328" i="1"/>
  <c r="M342" i="1" s="1"/>
  <c r="M302" i="1"/>
  <c r="J197" i="1"/>
  <c r="J170" i="1"/>
  <c r="L68" i="1"/>
  <c r="L67" i="1"/>
  <c r="L64" i="1" s="1"/>
  <c r="L65" i="1" s="1"/>
  <c r="K57" i="1"/>
  <c r="M55" i="1"/>
  <c r="M265" i="1" l="1"/>
  <c r="M272" i="1"/>
  <c r="M273" i="1" s="1"/>
  <c r="M274" i="1" s="1"/>
  <c r="M180" i="1" s="1"/>
  <c r="M68" i="1"/>
  <c r="M67" i="1"/>
  <c r="M64" i="1" s="1"/>
  <c r="M65" i="1" s="1"/>
  <c r="L57" i="1"/>
  <c r="L89" i="1" s="1"/>
  <c r="M57" i="1" l="1"/>
  <c r="M89" i="1" s="1"/>
  <c r="L43" i="1" l="1"/>
  <c r="L48" i="1" s="1"/>
  <c r="D48" i="1"/>
  <c r="M316" i="1" l="1"/>
  <c r="F39" i="1"/>
  <c r="F43" i="1"/>
  <c r="M39" i="1"/>
  <c r="M42" i="1"/>
  <c r="F40" i="1"/>
  <c r="M43" i="1"/>
  <c r="M40" i="1"/>
  <c r="F44" i="1"/>
  <c r="F46" i="1"/>
  <c r="F41" i="1"/>
  <c r="M41" i="1"/>
  <c r="F42" i="1"/>
  <c r="F45" i="1"/>
  <c r="E45" i="1"/>
  <c r="E48" i="1" s="1"/>
  <c r="M48" i="1" l="1"/>
  <c r="F48" i="1"/>
  <c r="M100" i="1" l="1"/>
  <c r="L100" i="1"/>
  <c r="L101" i="1" s="1"/>
  <c r="K100" i="1"/>
  <c r="K101" i="1" s="1"/>
  <c r="J100" i="1" l="1"/>
  <c r="J101" i="1" s="1"/>
  <c r="M101" i="1"/>
  <c r="M310" i="1"/>
  <c r="M312" i="1" s="1"/>
  <c r="J73" i="1"/>
  <c r="J74" i="1" s="1"/>
  <c r="L73" i="1"/>
  <c r="K73" i="1"/>
  <c r="K103" i="1" s="1"/>
  <c r="K104" i="1" s="1"/>
  <c r="M73" i="1"/>
  <c r="M74" i="1" s="1"/>
  <c r="J103" i="1"/>
  <c r="J104" i="1" s="1"/>
  <c r="L103" i="1"/>
  <c r="L104" i="1" s="1"/>
  <c r="K74" i="1"/>
  <c r="M103" i="1"/>
  <c r="M104" i="1" s="1"/>
  <c r="L74" i="1"/>
  <c r="I5" i="2" l="1"/>
  <c r="J5" i="2"/>
  <c r="K5" i="2"/>
  <c r="I6" i="2"/>
  <c r="J6" i="2"/>
  <c r="K6" i="2"/>
  <c r="I7" i="2"/>
  <c r="J7" i="2"/>
  <c r="K7" i="2"/>
  <c r="I8" i="2"/>
  <c r="J8" i="2"/>
  <c r="K8" i="2"/>
  <c r="N8" i="2"/>
  <c r="L6" i="1"/>
  <c r="L7" i="1"/>
  <c r="J79" i="1"/>
  <c r="K79" i="1"/>
  <c r="L79" i="1"/>
  <c r="M79" i="1"/>
  <c r="J80" i="1"/>
  <c r="K80" i="1"/>
  <c r="L80" i="1"/>
  <c r="M80" i="1"/>
  <c r="J82" i="1"/>
  <c r="K82" i="1"/>
  <c r="L82" i="1"/>
  <c r="M82" i="1"/>
  <c r="J83" i="1"/>
  <c r="K83" i="1"/>
  <c r="L83" i="1"/>
  <c r="M83" i="1"/>
  <c r="J85" i="1"/>
  <c r="K85" i="1"/>
  <c r="L85" i="1"/>
  <c r="M85" i="1"/>
  <c r="J86" i="1"/>
  <c r="K86" i="1"/>
  <c r="L86" i="1"/>
  <c r="M86" i="1"/>
  <c r="J88" i="1"/>
  <c r="K88" i="1"/>
  <c r="L88" i="1"/>
  <c r="M88" i="1"/>
  <c r="J91" i="1"/>
  <c r="K91" i="1"/>
  <c r="L91" i="1"/>
  <c r="M91" i="1"/>
  <c r="J92" i="1"/>
  <c r="K92" i="1"/>
  <c r="L92" i="1"/>
  <c r="M92" i="1"/>
  <c r="J169" i="1"/>
  <c r="K169" i="1"/>
  <c r="L169" i="1"/>
  <c r="M169" i="1"/>
  <c r="J174" i="1"/>
  <c r="K174" i="1"/>
  <c r="L174" i="1"/>
  <c r="M174" i="1"/>
  <c r="K181" i="1"/>
  <c r="L181" i="1"/>
  <c r="M181" i="1"/>
  <c r="J182" i="1"/>
  <c r="K182" i="1"/>
  <c r="L182" i="1"/>
  <c r="M182" i="1"/>
  <c r="J184" i="1"/>
  <c r="K184" i="1"/>
  <c r="L184" i="1"/>
  <c r="M184" i="1"/>
  <c r="J185" i="1"/>
  <c r="K185" i="1"/>
  <c r="L185" i="1"/>
  <c r="M185" i="1"/>
  <c r="J188" i="1"/>
  <c r="K188" i="1"/>
  <c r="L188" i="1"/>
  <c r="M188" i="1"/>
  <c r="J189" i="1"/>
  <c r="K189" i="1"/>
  <c r="L189" i="1"/>
  <c r="M189" i="1"/>
  <c r="J190" i="1"/>
  <c r="K190" i="1"/>
  <c r="L190" i="1"/>
  <c r="M190" i="1"/>
  <c r="J191" i="1"/>
  <c r="K191" i="1"/>
  <c r="L191" i="1"/>
  <c r="M191" i="1"/>
  <c r="J193" i="1"/>
  <c r="K193" i="1"/>
  <c r="L193" i="1"/>
  <c r="M193" i="1"/>
  <c r="J196" i="1"/>
  <c r="K196" i="1"/>
  <c r="L196" i="1"/>
  <c r="M196" i="1"/>
  <c r="J201" i="1"/>
  <c r="K201" i="1"/>
  <c r="L201" i="1"/>
  <c r="M201" i="1"/>
  <c r="K208" i="1"/>
  <c r="L208" i="1"/>
  <c r="M208" i="1"/>
  <c r="J209" i="1"/>
  <c r="K209" i="1"/>
  <c r="L209" i="1"/>
  <c r="M209" i="1"/>
  <c r="J210" i="1"/>
  <c r="K210" i="1"/>
  <c r="L210" i="1"/>
  <c r="M210" i="1"/>
  <c r="K213" i="1"/>
  <c r="L213" i="1"/>
  <c r="M213" i="1"/>
  <c r="K215" i="1"/>
  <c r="L215" i="1"/>
  <c r="M215" i="1"/>
  <c r="J216" i="1"/>
  <c r="K216" i="1"/>
  <c r="L216" i="1"/>
  <c r="M216" i="1"/>
  <c r="J217" i="1"/>
  <c r="K217" i="1"/>
  <c r="L217" i="1"/>
  <c r="M217" i="1"/>
  <c r="K219" i="1"/>
  <c r="L219" i="1"/>
  <c r="M219" i="1"/>
  <c r="J220" i="1"/>
  <c r="K220" i="1"/>
  <c r="L220" i="1"/>
  <c r="M220" i="1"/>
  <c r="J221" i="1"/>
  <c r="K221" i="1"/>
  <c r="L221" i="1"/>
  <c r="M221" i="1"/>
  <c r="J223" i="1"/>
  <c r="K223" i="1"/>
  <c r="L223" i="1"/>
  <c r="M223" i="1"/>
  <c r="K226" i="1"/>
  <c r="L226" i="1"/>
  <c r="M226" i="1"/>
  <c r="K227" i="1"/>
  <c r="L227" i="1"/>
  <c r="M227" i="1"/>
  <c r="J228" i="1"/>
  <c r="K228" i="1"/>
  <c r="L228" i="1"/>
  <c r="M228" i="1"/>
  <c r="J229" i="1"/>
  <c r="K229" i="1"/>
  <c r="L229" i="1"/>
  <c r="M229" i="1"/>
  <c r="J232" i="1"/>
  <c r="K232" i="1"/>
  <c r="L232" i="1"/>
  <c r="M232" i="1"/>
  <c r="K235" i="1"/>
  <c r="L235" i="1"/>
  <c r="M235" i="1"/>
  <c r="K236" i="1"/>
  <c r="L236" i="1"/>
  <c r="M236" i="1"/>
  <c r="J237" i="1"/>
  <c r="K237" i="1"/>
  <c r="L237" i="1"/>
  <c r="M237" i="1"/>
  <c r="J238" i="1"/>
  <c r="K238" i="1"/>
  <c r="L238" i="1"/>
  <c r="M238" i="1"/>
  <c r="J241" i="1"/>
  <c r="K241" i="1"/>
  <c r="L241" i="1"/>
  <c r="M241" i="1"/>
  <c r="K244" i="1"/>
  <c r="L244" i="1"/>
  <c r="M244" i="1"/>
  <c r="K245" i="1"/>
  <c r="L245" i="1"/>
  <c r="M245" i="1"/>
  <c r="J246" i="1"/>
  <c r="K246" i="1"/>
  <c r="L246" i="1"/>
  <c r="M246" i="1"/>
  <c r="J247" i="1"/>
  <c r="K247" i="1"/>
  <c r="L247" i="1"/>
  <c r="M247" i="1"/>
  <c r="J250" i="1"/>
  <c r="K250" i="1"/>
  <c r="L250" i="1"/>
  <c r="M250" i="1"/>
  <c r="K253" i="1"/>
  <c r="L253" i="1"/>
  <c r="M253" i="1"/>
  <c r="K254" i="1"/>
  <c r="L254" i="1"/>
  <c r="M254" i="1"/>
  <c r="J255" i="1"/>
  <c r="K255" i="1"/>
  <c r="L255" i="1"/>
  <c r="M255" i="1"/>
  <c r="J256" i="1"/>
  <c r="K256" i="1"/>
  <c r="L256" i="1"/>
  <c r="M256" i="1"/>
  <c r="J259" i="1"/>
  <c r="K259" i="1"/>
  <c r="L259" i="1"/>
  <c r="M259" i="1"/>
  <c r="J268" i="1"/>
  <c r="K268" i="1"/>
  <c r="L268" i="1"/>
  <c r="M268" i="1"/>
  <c r="K278" i="1"/>
  <c r="L278" i="1"/>
  <c r="M278" i="1"/>
  <c r="J279" i="1"/>
  <c r="K279" i="1"/>
  <c r="L279" i="1"/>
  <c r="M279" i="1"/>
  <c r="J280" i="1"/>
  <c r="K280" i="1"/>
  <c r="L280" i="1"/>
  <c r="M280" i="1"/>
  <c r="J284" i="1"/>
  <c r="K284" i="1"/>
  <c r="L284" i="1"/>
  <c r="M284" i="1"/>
  <c r="J287" i="1"/>
  <c r="K287" i="1"/>
  <c r="L287" i="1"/>
  <c r="M287" i="1"/>
  <c r="J290" i="1"/>
  <c r="K290" i="1"/>
  <c r="L290" i="1"/>
  <c r="M290" i="1"/>
  <c r="J293" i="1"/>
  <c r="K293" i="1"/>
  <c r="L293" i="1"/>
  <c r="M293" i="1"/>
  <c r="J296" i="1"/>
  <c r="K296" i="1"/>
  <c r="L296" i="1"/>
  <c r="M296" i="1"/>
  <c r="J299" i="1"/>
  <c r="K299" i="1"/>
  <c r="L299" i="1"/>
  <c r="M299" i="1"/>
  <c r="J305" i="1"/>
  <c r="K305" i="1"/>
  <c r="L305" i="1"/>
  <c r="M305" i="1"/>
  <c r="J306" i="1"/>
  <c r="K306" i="1"/>
  <c r="L306" i="1"/>
  <c r="M306" i="1"/>
  <c r="M313" i="1"/>
  <c r="M314" i="1"/>
  <c r="M318" i="1"/>
  <c r="M319" i="1"/>
  <c r="R3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5" authorId="0" shapeId="0" xr:uid="{3740F361-57A7-B74D-BDC4-AFF584D15768}">
      <text>
        <r>
          <rPr>
            <sz val="10"/>
            <color rgb="FF000000"/>
            <rFont val="Tahoma"/>
            <family val="2"/>
          </rPr>
          <t xml:space="preserve">Conservative cases are more harsh than management and line up with Management projection's Alternative case. 
</t>
        </r>
        <r>
          <rPr>
            <sz val="10"/>
            <color rgb="FF000000"/>
            <rFont val="Tahoma"/>
            <family val="2"/>
          </rPr>
          <t xml:space="preserve">Throughout any projection that management has made also has a conservative estimate. </t>
        </r>
      </text>
    </comment>
    <comment ref="E7" authorId="0" shapeId="0" xr:uid="{985996F8-22A9-3A42-AF31-4DB955B18FA6}">
      <text>
        <r>
          <rPr>
            <sz val="10"/>
            <color rgb="FF000000"/>
            <rFont val="Tahoma"/>
            <family val="2"/>
          </rPr>
          <t xml:space="preserve">No PIK has been mentioned in the published documentation, but PIK payments have been assumed because its commonly used in LBOs. Can turn off PIK toggle if being more conservative
</t>
        </r>
        <r>
          <rPr>
            <sz val="10"/>
            <color rgb="FF000000"/>
            <rFont val="Tahoma"/>
            <family val="2"/>
          </rPr>
          <t xml:space="preserve">
</t>
        </r>
      </text>
    </comment>
    <comment ref="K7" authorId="0" shapeId="0" xr:uid="{E2824E37-0456-8A4D-9122-31382EDAA8FD}">
      <text>
        <r>
          <rPr>
            <sz val="10"/>
            <color rgb="FF000000"/>
            <rFont val="Tahoma"/>
            <family val="2"/>
          </rPr>
          <t xml:space="preserve"> To check if Revolver is overdrawn
</t>
        </r>
      </text>
    </comment>
    <comment ref="E12" authorId="0" shapeId="0" xr:uid="{4E042BE8-1409-B745-8CFC-1714401E2A96}">
      <text>
        <r>
          <rPr>
            <sz val="10"/>
            <color rgb="FF000000"/>
            <rFont val="Tahoma"/>
            <family val="2"/>
          </rPr>
          <t xml:space="preserve">Media audience measurement firm that was Acquired by Evergreen Capital Corp, an affiliate of </t>
        </r>
        <r>
          <rPr>
            <sz val="10"/>
            <color rgb="FF000000"/>
            <rFont val="Aptos Narrow"/>
            <scheme val="minor"/>
          </rPr>
          <t>Elliott Investment Management,</t>
        </r>
        <r>
          <rPr>
            <sz val="10"/>
            <color rgb="FF000000"/>
            <rFont val="Aptos Narrow"/>
            <scheme val="minor"/>
          </rPr>
          <t xml:space="preserve"> </t>
        </r>
        <r>
          <rPr>
            <sz val="10"/>
            <color rgb="FF000000"/>
            <rFont val="Aptos Narrow"/>
            <scheme val="minor"/>
          </rPr>
          <t xml:space="preserve"> L.P Brookfield Business Partners L.P. together with institutional partners </t>
        </r>
      </text>
    </comment>
    <comment ref="L12" authorId="0" shapeId="0" xr:uid="{7E01BB6A-62B2-2043-AD8A-7A6A9B69B6F3}">
      <text>
        <r>
          <rPr>
            <sz val="10"/>
            <color rgb="FF000000"/>
            <rFont val="Tahoma"/>
            <family val="2"/>
          </rPr>
          <t>DEFM 14A, Proxy Statement. Schedule 14A Pg 1
https://www.bamsec.com/filing/119312522190511?cik=1492633</t>
        </r>
      </text>
    </comment>
    <comment ref="L13" authorId="0" shapeId="0" xr:uid="{76BF8C67-8817-A248-A009-6FC0449AC3C9}">
      <text>
        <r>
          <rPr>
            <sz val="10"/>
            <color rgb="FF000000"/>
            <rFont val="Tahoma"/>
            <family val="2"/>
          </rPr>
          <t>The cited premium of 60% was as of the unaffected share price on March 12th, 2022, at $17.51</t>
        </r>
      </text>
    </comment>
    <comment ref="E14" authorId="0" shapeId="0" xr:uid="{B26F0921-8C3E-B34D-8F9A-DE8E8AE67125}">
      <text>
        <r>
          <rPr>
            <sz val="10"/>
            <color rgb="FF000000"/>
            <rFont val="Tahoma"/>
            <family val="2"/>
          </rPr>
          <t xml:space="preserve">Latest share price before acquisition news, on March 12th 2022.
</t>
        </r>
        <r>
          <rPr>
            <sz val="10"/>
            <color rgb="FF000000"/>
            <rFont val="Tahoma"/>
            <family val="2"/>
          </rPr>
          <t xml:space="preserve">
</t>
        </r>
        <r>
          <rPr>
            <sz val="10"/>
            <color rgb="FF000000"/>
            <rFont val="Tahoma"/>
            <family val="2"/>
          </rPr>
          <t xml:space="preserve">
https://www.intelligentinvestor.com.au/shares/nyse-nlsn/nielsen-holdings-plc/share-price</t>
        </r>
      </text>
    </comment>
    <comment ref="L15" authorId="0" shapeId="0" xr:uid="{DFCEB767-7EBC-4645-9660-21E21E421A6E}">
      <text>
        <r>
          <rPr>
            <sz val="10"/>
            <color rgb="FF000000"/>
            <rFont val="Tahoma"/>
            <family val="2"/>
          </rPr>
          <t xml:space="preserve">Diluted shares outstanding for Nielson Holdings as of 31st Dec 2021 - 10K page 58
</t>
        </r>
        <r>
          <rPr>
            <sz val="10"/>
            <color rgb="FF000000"/>
            <rFont val="Tahoma"/>
            <family val="2"/>
          </rPr>
          <t xml:space="preserve">
</t>
        </r>
        <r>
          <rPr>
            <sz val="10"/>
            <color rgb="FF000000"/>
            <rFont val="Tahoma"/>
            <family val="2"/>
          </rPr>
          <t xml:space="preserve">https://www.bamsec.com/filing/156459022007612?cik=1492633
</t>
        </r>
      </text>
    </comment>
    <comment ref="E18" authorId="0" shapeId="0" xr:uid="{405DDC09-B3EF-0F4B-85CB-540DEF1335BB}">
      <text>
        <r>
          <rPr>
            <sz val="10"/>
            <color rgb="FF000000"/>
            <rFont val="Tahoma"/>
            <family val="2"/>
          </rPr>
          <t xml:space="preserve">Reported figure for FY2021, SEC 10K filing
</t>
        </r>
        <r>
          <rPr>
            <sz val="10"/>
            <color rgb="FF000000"/>
            <rFont val="Tahoma"/>
            <family val="2"/>
          </rPr>
          <t xml:space="preserve">
</t>
        </r>
        <r>
          <rPr>
            <sz val="10"/>
            <color rgb="FF000000"/>
            <rFont val="Tahoma"/>
            <family val="2"/>
          </rPr>
          <t>https://www.bamsec.com/filing/156459022007612?cik=1492633</t>
        </r>
      </text>
    </comment>
    <comment ref="E19" authorId="0" shapeId="0" xr:uid="{9DBC1FFD-23D5-664B-8AB9-0E4AB5EFA028}">
      <text>
        <r>
          <rPr>
            <sz val="10"/>
            <color rgb="FF000000"/>
            <rFont val="Tahoma"/>
            <family val="34"/>
          </rPr>
          <t xml:space="preserve">Total Indebtedness- Debt, Finance Lease and Finance obligations as of Dec 31 2021. 10K pg 91, </t>
        </r>
        <r>
          <rPr>
            <sz val="10"/>
            <color rgb="FF000000"/>
            <rFont val="Tahoma"/>
            <family val="34"/>
          </rPr>
          <t xml:space="preserve">Long-term Debt and Other Financing Arrangements
</t>
        </r>
        <r>
          <rPr>
            <sz val="10"/>
            <color rgb="FF000000"/>
            <rFont val="Tahoma"/>
            <family val="2"/>
          </rPr>
          <t xml:space="preserve">
</t>
        </r>
        <r>
          <rPr>
            <sz val="10"/>
            <color rgb="FF000000"/>
            <rFont val="Tahoma"/>
            <family val="2"/>
          </rPr>
          <t xml:space="preserve">
</t>
        </r>
        <r>
          <rPr>
            <sz val="10"/>
            <color rgb="FF000000"/>
            <rFont val="Tahoma"/>
            <family val="2"/>
          </rPr>
          <t>https://www.bamsec.com/filing/156459022007612?cik=1492633</t>
        </r>
      </text>
    </comment>
    <comment ref="E20" authorId="0" shapeId="0" xr:uid="{B652A190-9865-7443-A1B8-06E27C854751}">
      <text>
        <r>
          <rPr>
            <sz val="10"/>
            <color rgb="FF000000"/>
            <rFont val="Tahoma"/>
            <family val="2"/>
          </rPr>
          <t xml:space="preserve">Cash and Cash Equivalents, Consolidated Balance Sheet 
</t>
        </r>
        <r>
          <rPr>
            <sz val="10"/>
            <color rgb="FF000000"/>
            <rFont val="Tahoma"/>
            <family val="2"/>
          </rPr>
          <t xml:space="preserve">
</t>
        </r>
        <r>
          <rPr>
            <sz val="10"/>
            <color rgb="FF000000"/>
            <rFont val="Tahoma"/>
            <family val="2"/>
          </rPr>
          <t>https://www.bamsec.com/filing/156459022007612?cik=1492633</t>
        </r>
      </text>
    </comment>
    <comment ref="E21" authorId="0" shapeId="0" xr:uid="{445BD84C-9EC6-834C-A2F7-89D684CCA96C}">
      <text>
        <r>
          <rPr>
            <sz val="10"/>
            <color rgb="FF000000"/>
            <rFont val="Tahoma"/>
            <family val="2"/>
          </rPr>
          <t xml:space="preserve">No minimum cash values reported, so 10% of operating income was assumed to be minimum cash as per industry standard.
</t>
        </r>
        <r>
          <rPr>
            <sz val="10"/>
            <color rgb="FF000000"/>
            <rFont val="Tahoma"/>
            <family val="2"/>
          </rPr>
          <t xml:space="preserve">
</t>
        </r>
      </text>
    </comment>
    <comment ref="E22" authorId="0" shapeId="0" xr:uid="{BEED9D41-0EC9-E241-9B27-65D4189F61F5}">
      <text>
        <r>
          <rPr>
            <sz val="10"/>
            <color rgb="FF000000"/>
            <rFont val="Tahoma"/>
            <family val="2"/>
          </rPr>
          <t xml:space="preserve">Assumed to be equal to entry multiple, conservative estimate
</t>
        </r>
      </text>
    </comment>
    <comment ref="B26" authorId="0" shapeId="0" xr:uid="{7F405A40-3447-2B49-AE54-3F9C2FFB505D}">
      <text>
        <r>
          <rPr>
            <sz val="10"/>
            <color rgb="FF000000"/>
            <rFont val="Tahoma"/>
            <family val="2"/>
          </rPr>
          <t xml:space="preserve">Debt commitments have been taken from 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I26" authorId="0" shapeId="0" xr:uid="{CBB35446-324D-4643-952A-CAFB6DCB9005}">
      <text>
        <r>
          <rPr>
            <sz val="10"/>
            <color rgb="FF000000"/>
            <rFont val="Tahoma"/>
            <family val="2"/>
          </rPr>
          <t>Reported rates have been used for the first lien, senior notes and second lien loans, revolving credit facility and unsecured rates have been assumed based on industry averges.
Reported rates have been mentioned in DEFM14A, Financing of the Acquisition pg 5
https://www.bamsec.com/filing/119312522190511?cik=1492633</t>
        </r>
      </text>
    </comment>
    <comment ref="J26" authorId="0" shapeId="0" xr:uid="{F6BD7EC5-9E5C-E049-8867-8AC4C8DEA169}">
      <text>
        <r>
          <rPr>
            <sz val="10"/>
            <color rgb="FF000000"/>
            <rFont val="Tahoma"/>
            <family val="2"/>
          </rPr>
          <t xml:space="preserve">Fees for each loan has been assumed based on general averages. Fees for unsecured debt and second lien loans is higher. 
</t>
        </r>
        <r>
          <rPr>
            <sz val="10"/>
            <color rgb="FF000000"/>
            <rFont val="Tahoma"/>
            <family val="2"/>
          </rPr>
          <t xml:space="preserve">
</t>
        </r>
        <r>
          <rPr>
            <sz val="10"/>
            <color rgb="FF000000"/>
            <rFont val="Tahoma"/>
            <family val="2"/>
          </rPr>
          <t xml:space="preserve">https://www.bamsec.com/filing/119312522190511?cik=1492633
</t>
        </r>
        <r>
          <rPr>
            <sz val="10"/>
            <color rgb="FF000000"/>
            <rFont val="Tahoma"/>
            <family val="2"/>
          </rPr>
          <t xml:space="preserve">
</t>
        </r>
      </text>
    </comment>
    <comment ref="K26" authorId="0" shapeId="0" xr:uid="{25935492-010E-8847-8D9D-13339F0D3F5F}">
      <text>
        <r>
          <rPr>
            <sz val="10"/>
            <color rgb="FF000000"/>
            <rFont val="Tahoma"/>
            <family val="2"/>
          </rPr>
          <t xml:space="preserve">First lein and Second lien mentioned in press reports, rest based on industry averages for the particular loan tier.
</t>
        </r>
      </text>
    </comment>
    <comment ref="L26" authorId="0" shapeId="0" xr:uid="{913C8132-9BE7-2B46-B5BF-9E88894B1980}">
      <text>
        <r>
          <rPr>
            <sz val="10"/>
            <color rgb="FF000000"/>
            <rFont val="Tahoma"/>
            <family val="2"/>
          </rPr>
          <t xml:space="preserve">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B27" authorId="0" shapeId="0" xr:uid="{0F5C2D8F-E8EB-4045-9778-8389B3EAD69C}">
      <text>
        <r>
          <rPr>
            <sz val="10"/>
            <color rgb="FF000000"/>
            <rFont val="Tahoma"/>
            <family val="2"/>
          </rPr>
          <t xml:space="preserve">Debt commitments have been taken from 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I27" authorId="0" shapeId="0" xr:uid="{D7323B75-7FE5-A048-B376-992DE66D0971}">
      <text>
        <r>
          <rPr>
            <sz val="10"/>
            <color rgb="FF000000"/>
            <rFont val="Tahoma"/>
            <family val="2"/>
          </rPr>
          <t>Reported rates have been used for the first lien, senior notes and second lien loans, revolving credit facility and unsecured rates have been assumed based on industry averges.
Reported rates have been mentioned in DEFM14A, Financing of the Acquisition pg 5
https://www.bamsec.com/filing/119312522190511?cik=1492633</t>
        </r>
      </text>
    </comment>
    <comment ref="J27" authorId="0" shapeId="0" xr:uid="{36F898AE-0B99-7A4F-A0DF-60E7009839D7}">
      <text>
        <r>
          <rPr>
            <sz val="10"/>
            <color rgb="FF000000"/>
            <rFont val="Tahoma"/>
            <family val="2"/>
          </rPr>
          <t xml:space="preserve">Fees for each loan has been assumed based on general averages. Fees for unsecured debt and second lien loans is higher. 
</t>
        </r>
        <r>
          <rPr>
            <sz val="10"/>
            <color rgb="FF000000"/>
            <rFont val="Tahoma"/>
            <family val="2"/>
          </rPr>
          <t xml:space="preserve">
</t>
        </r>
        <r>
          <rPr>
            <sz val="10"/>
            <color rgb="FF000000"/>
            <rFont val="Tahoma"/>
            <family val="2"/>
          </rPr>
          <t xml:space="preserve">https://www.bamsec.com/filing/119312522190511?cik=1492633
</t>
        </r>
      </text>
    </comment>
    <comment ref="K27" authorId="0" shapeId="0" xr:uid="{96764952-4ECA-4A4C-A599-BF8BAF881D6A}">
      <text>
        <r>
          <rPr>
            <sz val="10"/>
            <color rgb="FF000000"/>
            <rFont val="Tahoma"/>
            <family val="2"/>
          </rPr>
          <t xml:space="preserve">First lein and Second lien mentioned in press reports, rest based on industry averages for the particular loan tier.
</t>
        </r>
      </text>
    </comment>
    <comment ref="L27" authorId="0" shapeId="0" xr:uid="{DD86952A-6233-E84F-896B-68E33254A670}">
      <text>
        <r>
          <rPr>
            <sz val="10"/>
            <color rgb="FF000000"/>
            <rFont val="Tahoma"/>
            <family val="2"/>
          </rPr>
          <t xml:space="preserve">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B28" authorId="0" shapeId="0" xr:uid="{A3D3B5B2-1BEF-184A-9234-57869AB88ED5}">
      <text>
        <r>
          <rPr>
            <sz val="10"/>
            <color rgb="FF000000"/>
            <rFont val="Tahoma"/>
            <family val="2"/>
          </rPr>
          <t xml:space="preserve">Debt commitments have been taken from 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I28" authorId="0" shapeId="0" xr:uid="{E6494DCA-9C1A-EB44-BEBE-CA62786E4F18}">
      <text>
        <r>
          <rPr>
            <sz val="10"/>
            <color rgb="FF000000"/>
            <rFont val="Tahoma"/>
            <family val="2"/>
          </rPr>
          <t>Reported rates have been used for the first lien, senior notes and second lien loans, revolving credit facility and unsecured rates have been assumed based on industry averges.
Reported rates have been mentioned in DEFM14A, Financing of the Acquisition pg 5
https://www.bamsec.com/filing/119312522190511?cik=1492633</t>
        </r>
      </text>
    </comment>
    <comment ref="J28" authorId="0" shapeId="0" xr:uid="{C7E71766-6A5C-2940-AE35-DF9750E0242F}">
      <text>
        <r>
          <rPr>
            <sz val="10"/>
            <color rgb="FF000000"/>
            <rFont val="Tahoma"/>
            <family val="2"/>
          </rPr>
          <t xml:space="preserve">Fees for each loan has been assumed based on general averages. Fees for unsecured debt and second lien loans is higher. 
</t>
        </r>
        <r>
          <rPr>
            <sz val="10"/>
            <color rgb="FF000000"/>
            <rFont val="Tahoma"/>
            <family val="2"/>
          </rPr>
          <t xml:space="preserve">
</t>
        </r>
        <r>
          <rPr>
            <sz val="10"/>
            <color rgb="FF000000"/>
            <rFont val="Tahoma"/>
            <family val="2"/>
          </rPr>
          <t xml:space="preserve">https://www.bamsec.com/filing/119312522190511?cik=1492633
</t>
        </r>
      </text>
    </comment>
    <comment ref="K28" authorId="0" shapeId="0" xr:uid="{32F0CE2A-1C90-B441-B838-E37F0E64E14D}">
      <text>
        <r>
          <rPr>
            <sz val="10"/>
            <color rgb="FF000000"/>
            <rFont val="Tahoma"/>
            <family val="2"/>
          </rPr>
          <t xml:space="preserve">First lein and Second lien mentioned in press reports, rest based on industry averages for the particular loan tier.
</t>
        </r>
      </text>
    </comment>
    <comment ref="L28" authorId="0" shapeId="0" xr:uid="{69322A53-B720-544B-A317-280092F0B8A1}">
      <text>
        <r>
          <rPr>
            <sz val="10"/>
            <color rgb="FF000000"/>
            <rFont val="Tahoma"/>
            <family val="2"/>
          </rPr>
          <t xml:space="preserve">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B29" authorId="0" shapeId="0" xr:uid="{DED210D9-658F-714A-8F36-E757D13926F6}">
      <text>
        <r>
          <rPr>
            <sz val="10"/>
            <color rgb="FF000000"/>
            <rFont val="Tahoma"/>
            <family val="2"/>
          </rPr>
          <t xml:space="preserve">Debt commitments have been taken from 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I29" authorId="0" shapeId="0" xr:uid="{62D2D580-57CB-DC43-B16D-817331720133}">
      <text>
        <r>
          <rPr>
            <sz val="10"/>
            <color rgb="FF000000"/>
            <rFont val="Tahoma"/>
            <family val="2"/>
          </rPr>
          <t>Reported rates have been used for the first lien, senior notes and second lien loans, revolving credit facility and unsecured rates have been assumed based on industry averges.
Reported rates have been mentioned in DEFM14A, Financing of the Acquisition pg 5
https://www.bamsec.com/filing/119312522190511?cik=1492633</t>
        </r>
      </text>
    </comment>
    <comment ref="J29" authorId="0" shapeId="0" xr:uid="{6D205205-C2D6-3C4C-8C5F-E345EA49B2C0}">
      <text>
        <r>
          <rPr>
            <sz val="10"/>
            <color rgb="FF000000"/>
            <rFont val="Tahoma"/>
            <family val="2"/>
          </rPr>
          <t xml:space="preserve">Fees for each loan has been assumed based on general averages. Fees for unsecured debt and second lien loans is higher. 
</t>
        </r>
        <r>
          <rPr>
            <sz val="10"/>
            <color rgb="FF000000"/>
            <rFont val="Tahoma"/>
            <family val="2"/>
          </rPr>
          <t xml:space="preserve">
</t>
        </r>
        <r>
          <rPr>
            <sz val="10"/>
            <color rgb="FF000000"/>
            <rFont val="Tahoma"/>
            <family val="2"/>
          </rPr>
          <t xml:space="preserve">https://www.bamsec.com/filing/119312522190511?cik=1492633
</t>
        </r>
      </text>
    </comment>
    <comment ref="K29" authorId="0" shapeId="0" xr:uid="{C9619FD1-602B-9445-B3F0-79296F258DEF}">
      <text>
        <r>
          <rPr>
            <sz val="10"/>
            <color rgb="FF000000"/>
            <rFont val="Tahoma"/>
            <family val="2"/>
          </rPr>
          <t xml:space="preserve">First lein and Second lien mentioned in press reports, rest based on industry averages for the particular loan tier.
</t>
        </r>
      </text>
    </comment>
    <comment ref="L29" authorId="0" shapeId="0" xr:uid="{0B2D8A03-5838-2A4A-AD90-FB7177931224}">
      <text>
        <r>
          <rPr>
            <sz val="10"/>
            <color rgb="FF000000"/>
            <rFont val="Tahoma"/>
            <family val="2"/>
          </rPr>
          <t xml:space="preserve">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B30" authorId="0" shapeId="0" xr:uid="{1B5E5F2C-AB13-1E4D-8B66-9FBC784B2B44}">
      <text>
        <r>
          <rPr>
            <sz val="10"/>
            <color rgb="FF000000"/>
            <rFont val="Tahoma"/>
            <family val="2"/>
          </rPr>
          <t xml:space="preserve">Debt commitments have been taken from 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I30" authorId="0" shapeId="0" xr:uid="{4654BEA3-BE9B-A044-B9EC-300F6E28A083}">
      <text>
        <r>
          <rPr>
            <sz val="10"/>
            <color rgb="FF000000"/>
            <rFont val="Tahoma"/>
            <family val="2"/>
          </rPr>
          <t>Reported rates have been used for the first lien, senior notes and second lien loans, revolving credit facility and unsecured rates have been assumed based on industry averges.
Reported rates have been mentioned in DEFM14A, Financing of the Acquisition pg 5
https://www.bamsec.com/filing/119312522190511?cik=1492633</t>
        </r>
      </text>
    </comment>
    <comment ref="J30" authorId="0" shapeId="0" xr:uid="{07322222-C6C5-5F4D-8BB0-EB1BD12151E2}">
      <text>
        <r>
          <rPr>
            <sz val="10"/>
            <color rgb="FF000000"/>
            <rFont val="Tahoma"/>
            <family val="2"/>
          </rPr>
          <t xml:space="preserve">Fees for each loan has been assumed based on general averages. Fees for unsecured debt and second lien loans is higher. 
</t>
        </r>
        <r>
          <rPr>
            <sz val="10"/>
            <color rgb="FF000000"/>
            <rFont val="Tahoma"/>
            <family val="2"/>
          </rPr>
          <t xml:space="preserve">
</t>
        </r>
        <r>
          <rPr>
            <sz val="10"/>
            <color rgb="FF000000"/>
            <rFont val="Tahoma"/>
            <family val="2"/>
          </rPr>
          <t xml:space="preserve">https://www.bamsec.com/filing/119312522190511?cik=1492633
</t>
        </r>
      </text>
    </comment>
    <comment ref="K30" authorId="0" shapeId="0" xr:uid="{526346CF-D5F8-464E-9C00-2EE0C5386F7C}">
      <text>
        <r>
          <rPr>
            <sz val="10"/>
            <color rgb="FF000000"/>
            <rFont val="Tahoma"/>
            <family val="2"/>
          </rPr>
          <t xml:space="preserve">First lein and Second lien mentioned in press reports, rest based on industry averages for the particular loan tier.
</t>
        </r>
      </text>
    </comment>
    <comment ref="L30" authorId="0" shapeId="0" xr:uid="{238F8BB1-88B1-1046-8AA2-3E7DE7F63583}">
      <text>
        <r>
          <rPr>
            <sz val="10"/>
            <color rgb="FF000000"/>
            <rFont val="Tahoma"/>
            <family val="2"/>
          </rPr>
          <t xml:space="preserve">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B31" authorId="0" shapeId="0" xr:uid="{51D9D24C-46B7-6740-A669-D246459EA7A3}">
      <text>
        <r>
          <rPr>
            <sz val="10"/>
            <color rgb="FF000000"/>
            <rFont val="Tahoma"/>
            <family val="2"/>
          </rPr>
          <t xml:space="preserve">Debt commitments have been taken from 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I31" authorId="0" shapeId="0" xr:uid="{27F8E1B2-31C3-994F-AE33-1A69EB8ED489}">
      <text>
        <r>
          <rPr>
            <sz val="10"/>
            <color rgb="FF000000"/>
            <rFont val="Tahoma"/>
            <family val="2"/>
          </rPr>
          <t>Reported rates have been used for the first lien, senior notes and second lien loans, revolving credit facility and unsecured rates have been assumed based on industry averges.
Reported rates have been mentioned in DEFM14A, Financing of the Acquisition pg 5
https://www.bamsec.com/filing/119312522190511?cik=1492633</t>
        </r>
      </text>
    </comment>
    <comment ref="J31" authorId="0" shapeId="0" xr:uid="{D970075E-56AA-7C44-88EE-26B3D3994C0D}">
      <text>
        <r>
          <rPr>
            <sz val="10"/>
            <color rgb="FF000000"/>
            <rFont val="Tahoma"/>
            <family val="2"/>
          </rPr>
          <t xml:space="preserve">Fees for each loan has been assumed based on general averages. Fees for unsecured debt and second lien loans is higher. 
</t>
        </r>
        <r>
          <rPr>
            <sz val="10"/>
            <color rgb="FF000000"/>
            <rFont val="Tahoma"/>
            <family val="2"/>
          </rPr>
          <t xml:space="preserve">
</t>
        </r>
        <r>
          <rPr>
            <sz val="10"/>
            <color rgb="FF000000"/>
            <rFont val="Tahoma"/>
            <family val="2"/>
          </rPr>
          <t xml:space="preserve">https://www.bamsec.com/filing/119312522190511?cik=1492633
</t>
        </r>
      </text>
    </comment>
    <comment ref="K31" authorId="0" shapeId="0" xr:uid="{26798843-F417-0042-AF07-B2420BB02403}">
      <text>
        <r>
          <rPr>
            <sz val="10"/>
            <color rgb="FF000000"/>
            <rFont val="Tahoma"/>
            <family val="2"/>
          </rPr>
          <t xml:space="preserve">First lein and Second lien mentioned in press reports, rest based on industry averages for the particular loan tier.
</t>
        </r>
      </text>
    </comment>
    <comment ref="L31" authorId="0" shapeId="0" xr:uid="{BA72178B-09AC-DF4B-BCF6-FE71CA1F735D}">
      <text>
        <r>
          <rPr>
            <sz val="10"/>
            <color rgb="FF000000"/>
            <rFont val="Tahoma"/>
            <family val="2"/>
          </rPr>
          <t xml:space="preserve">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N31" authorId="0" shapeId="0" xr:uid="{DB3394B9-0B75-6940-B33E-6D332293C9E4}">
      <text>
        <r>
          <rPr>
            <sz val="10"/>
            <color rgb="FF000000"/>
            <rFont val="Tahoma"/>
            <family val="2"/>
          </rPr>
          <t>General amount assumed, can be switched.</t>
        </r>
      </text>
    </comment>
    <comment ref="B32" authorId="0" shapeId="0" xr:uid="{A7A877F9-B693-BC44-BBBC-303A810564EE}">
      <text>
        <r>
          <rPr>
            <sz val="10"/>
            <color rgb="FF000000"/>
            <rFont val="Tahoma"/>
            <family val="2"/>
          </rPr>
          <t xml:space="preserve">Debt commitments have been taken from 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I32" authorId="0" shapeId="0" xr:uid="{4658B3D5-CA93-5645-A145-CE582DA30664}">
      <text>
        <r>
          <rPr>
            <sz val="10"/>
            <color rgb="FF000000"/>
            <rFont val="Tahoma"/>
            <family val="2"/>
          </rPr>
          <t>Reported rates have been used for the first lien, senior notes and second lien loans, revolving credit facility and unsecured rates have been assumed based on industry averges.
Reported rates have been mentioned in DEFM14A, Financing of the Acquisition pg 5
https://www.bamsec.com/filing/119312522190511?cik=1492633</t>
        </r>
      </text>
    </comment>
    <comment ref="J32" authorId="0" shapeId="0" xr:uid="{7EBAB912-EAA5-6648-AF5B-86565AFFED2A}">
      <text>
        <r>
          <rPr>
            <sz val="10"/>
            <color rgb="FF000000"/>
            <rFont val="Tahoma"/>
            <family val="2"/>
          </rPr>
          <t xml:space="preserve">Fees for each loan has been assumed based on general averages. Fees for unsecured debt and second lien loans is higher. 
</t>
        </r>
        <r>
          <rPr>
            <sz val="10"/>
            <color rgb="FF000000"/>
            <rFont val="Tahoma"/>
            <family val="2"/>
          </rPr>
          <t xml:space="preserve">
</t>
        </r>
        <r>
          <rPr>
            <sz val="10"/>
            <color rgb="FF000000"/>
            <rFont val="Tahoma"/>
            <family val="2"/>
          </rPr>
          <t xml:space="preserve">https://www.bamsec.com/filing/119312522190511?cik=1492633
</t>
        </r>
      </text>
    </comment>
    <comment ref="K32" authorId="0" shapeId="0" xr:uid="{81ACB169-3873-6847-AB6A-83CE52665F21}">
      <text>
        <r>
          <rPr>
            <sz val="10"/>
            <color rgb="FF000000"/>
            <rFont val="Tahoma"/>
            <family val="2"/>
          </rPr>
          <t xml:space="preserve">First lein and Second lien mentioned in press reports, rest based on industry averages for the particular loan tier.
</t>
        </r>
      </text>
    </comment>
    <comment ref="L32" authorId="0" shapeId="0" xr:uid="{514A9E9A-9418-D440-941E-308990597652}">
      <text>
        <r>
          <rPr>
            <sz val="10"/>
            <color rgb="FF000000"/>
            <rFont val="Tahoma"/>
            <family val="2"/>
          </rPr>
          <t xml:space="preserve">DEFM14A, Financing of the Acquisition pg 5
</t>
        </r>
        <r>
          <rPr>
            <sz val="10"/>
            <color rgb="FF000000"/>
            <rFont val="Tahoma"/>
            <family val="2"/>
          </rPr>
          <t xml:space="preserve">
</t>
        </r>
        <r>
          <rPr>
            <sz val="10"/>
            <color rgb="FF000000"/>
            <rFont val="Tahoma"/>
            <family val="2"/>
          </rPr>
          <t xml:space="preserve">https://www.bamsec.com/filing/119312522190511?cik=1492633
</t>
        </r>
      </text>
    </comment>
    <comment ref="B54" authorId="0" shapeId="0" xr:uid="{9E681FAD-65A6-2249-BE20-18FC0D4C69E3}">
      <text>
        <r>
          <rPr>
            <sz val="10"/>
            <color rgb="FF000000"/>
            <rFont val="Tahoma"/>
            <family val="2"/>
          </rPr>
          <t xml:space="preserve">Revenues projected out by management, "Management Projections" 
DEFM14A pg 72
</t>
        </r>
        <r>
          <rPr>
            <sz val="10"/>
            <color rgb="FF000000"/>
            <rFont val="Tahoma"/>
            <family val="2"/>
          </rPr>
          <t xml:space="preserve">
</t>
        </r>
        <r>
          <rPr>
            <sz val="10"/>
            <color rgb="FF000000"/>
            <rFont val="Tahoma"/>
            <family val="2"/>
          </rPr>
          <t xml:space="preserve">https://www.bamsec.com/filing/119312522190511?cik=1492633
</t>
        </r>
      </text>
    </comment>
    <comment ref="B55" authorId="0" shapeId="0" xr:uid="{C41A4ED8-4ACB-7140-9B29-BB89C068933E}">
      <text>
        <r>
          <rPr>
            <sz val="10"/>
            <color rgb="FF000000"/>
            <rFont val="Tahoma"/>
            <family val="2"/>
          </rPr>
          <t>Assumed increase in gross margins based on past trends and industry averages. growth is an average of previous growth.</t>
        </r>
      </text>
    </comment>
    <comment ref="B56" authorId="0" shapeId="0" xr:uid="{527489AC-4683-8845-AC48-B51E7DF4EAD9}">
      <text>
        <r>
          <rPr>
            <sz val="10"/>
            <color rgb="FF000000"/>
            <rFont val="Tahoma"/>
            <family val="2"/>
          </rPr>
          <t>Management projections focus on  reducing OpEx Margins, DEFM14A</t>
        </r>
      </text>
    </comment>
    <comment ref="B57" authorId="0" shapeId="0" xr:uid="{3AEF38A4-1FED-FD49-A035-F158B0EFE915}">
      <text>
        <r>
          <rPr>
            <sz val="10"/>
            <color rgb="FF000000"/>
            <rFont val="Tahoma"/>
            <family val="2"/>
          </rPr>
          <t xml:space="preserve">Assumed reduction in tax rate over five year period.
</t>
        </r>
      </text>
    </comment>
    <comment ref="B76" authorId="0" shapeId="0" xr:uid="{6D8CA66F-E000-A04C-B204-99918802D348}">
      <text>
        <r>
          <rPr>
            <sz val="10"/>
            <color rgb="FF000000"/>
            <rFont val="Tahoma"/>
            <family val="2"/>
          </rPr>
          <t xml:space="preserve">Management Projections, DEFM14A
</t>
        </r>
        <r>
          <rPr>
            <sz val="10"/>
            <color rgb="FF000000"/>
            <rFont val="Tahoma"/>
            <family val="2"/>
          </rPr>
          <t xml:space="preserve">
</t>
        </r>
        <r>
          <rPr>
            <sz val="10"/>
            <color rgb="FF000000"/>
            <rFont val="Tahoma"/>
            <family val="2"/>
          </rPr>
          <t>https://www.bamsec.com/filing/156459022007612?cik=1492633</t>
        </r>
      </text>
    </comment>
    <comment ref="B106" authorId="0" shapeId="0" xr:uid="{B5585013-4036-F146-8B65-A1669FDA0B9C}">
      <text>
        <r>
          <rPr>
            <sz val="10"/>
            <color rgb="FF000000"/>
            <rFont val="Tahoma"/>
            <family val="2"/>
          </rPr>
          <t xml:space="preserve">Management Projections, DEFM14A
</t>
        </r>
        <r>
          <rPr>
            <sz val="10"/>
            <color rgb="FF000000"/>
            <rFont val="Tahoma"/>
            <family val="2"/>
          </rPr>
          <t xml:space="preserve">
</t>
        </r>
        <r>
          <rPr>
            <sz val="10"/>
            <color rgb="FF000000"/>
            <rFont val="Tahoma"/>
            <family val="2"/>
          </rPr>
          <t>https://www.bamsec.com/filing/156459022007612?cik=1492633</t>
        </r>
      </text>
    </comment>
    <comment ref="B132" authorId="0" shapeId="0" xr:uid="{5618D19D-1B40-BF4F-BE16-9CDE24488A51}">
      <text>
        <r>
          <rPr>
            <sz val="10"/>
            <color rgb="FF000000"/>
            <rFont val="Tahoma"/>
            <family val="2"/>
          </rPr>
          <t xml:space="preserve">Management plan on increasing CapEx to increase revenue grwoth, DEFM14A
</t>
        </r>
        <r>
          <rPr>
            <sz val="10"/>
            <color rgb="FF000000"/>
            <rFont val="Tahoma"/>
            <family val="2"/>
          </rPr>
          <t xml:space="preserve">
https://www.bamsec.com/filing/156459022007612?cik=1492633
</t>
        </r>
      </text>
    </comment>
  </commentList>
</comments>
</file>

<file path=xl/sharedStrings.xml><?xml version="1.0" encoding="utf-8"?>
<sst xmlns="http://schemas.openxmlformats.org/spreadsheetml/2006/main" count="361" uniqueCount="222">
  <si>
    <t>Assumptions</t>
  </si>
  <si>
    <t>Transaction Background</t>
  </si>
  <si>
    <t xml:space="preserve">Company name </t>
  </si>
  <si>
    <t>Ticker</t>
  </si>
  <si>
    <t>LTM EBITDA</t>
  </si>
  <si>
    <t>Debt</t>
  </si>
  <si>
    <t xml:space="preserve">Cash </t>
  </si>
  <si>
    <t>Minimum Cash</t>
  </si>
  <si>
    <t>Exit Multiple</t>
  </si>
  <si>
    <t>Transaction Fianncials and Assumptions</t>
  </si>
  <si>
    <t xml:space="preserve">Valuation at Entry </t>
  </si>
  <si>
    <t>Switches</t>
  </si>
  <si>
    <t>Case</t>
  </si>
  <si>
    <t>Circuit Breaker</t>
  </si>
  <si>
    <t>LBO Nielson Holdings (NYSE: NLSN)</t>
  </si>
  <si>
    <t>Nielson Holdings</t>
  </si>
  <si>
    <t>NLSN</t>
  </si>
  <si>
    <t xml:space="preserve">Offer value/ Share </t>
  </si>
  <si>
    <t xml:space="preserve">% Premium / Discount </t>
  </si>
  <si>
    <t xml:space="preserve">Diluted Shares Outstanding </t>
  </si>
  <si>
    <t xml:space="preserve">Capital Structure </t>
  </si>
  <si>
    <t>xEBITDA</t>
  </si>
  <si>
    <t>Fees ($)</t>
  </si>
  <si>
    <t>Amortization</t>
  </si>
  <si>
    <t>Interest (%)</t>
  </si>
  <si>
    <t>Fees (%)</t>
  </si>
  <si>
    <t>Term</t>
  </si>
  <si>
    <t>Amount</t>
  </si>
  <si>
    <t>Latest Share Price</t>
  </si>
  <si>
    <t>Date of Latest Price</t>
  </si>
  <si>
    <t>First Lien Term Loan -USD Tranche</t>
  </si>
  <si>
    <t>First Lien Term Loan -EUR Tranche</t>
  </si>
  <si>
    <t>Senior Secured Notes</t>
  </si>
  <si>
    <t>Second Lien Term Loan</t>
  </si>
  <si>
    <t>Revolving Credit Facility</t>
  </si>
  <si>
    <t>Unsecured Debt</t>
  </si>
  <si>
    <t xml:space="preserve">Total </t>
  </si>
  <si>
    <t>Offer value (Equity Value)</t>
  </si>
  <si>
    <t xml:space="preserve">Debt </t>
  </si>
  <si>
    <t xml:space="preserve">Enterprise Value </t>
  </si>
  <si>
    <t>Entry Multiple</t>
  </si>
  <si>
    <t xml:space="preserve">Sources and Uses </t>
  </si>
  <si>
    <t>Uses</t>
  </si>
  <si>
    <t>Sponsor Equity</t>
  </si>
  <si>
    <t>%Capital</t>
  </si>
  <si>
    <t>Equity payment</t>
  </si>
  <si>
    <t>Debt refinancing</t>
  </si>
  <si>
    <t xml:space="preserve">Transaction fees </t>
  </si>
  <si>
    <t>Other</t>
  </si>
  <si>
    <t>Financing fees</t>
  </si>
  <si>
    <t>Total</t>
  </si>
  <si>
    <t>Financials (LTM, June 30)</t>
  </si>
  <si>
    <t xml:space="preserve">Operating Model </t>
  </si>
  <si>
    <t>2023E</t>
  </si>
  <si>
    <t>2024E</t>
  </si>
  <si>
    <t>2025E</t>
  </si>
  <si>
    <t xml:space="preserve">Revenue </t>
  </si>
  <si>
    <t>% growth</t>
  </si>
  <si>
    <t xml:space="preserve">COGS </t>
  </si>
  <si>
    <t>% of sales</t>
  </si>
  <si>
    <t>OpEx</t>
  </si>
  <si>
    <t>Gross Profit</t>
  </si>
  <si>
    <t>EBIT</t>
  </si>
  <si>
    <t>EBIT - Conservative</t>
  </si>
  <si>
    <t>EBT</t>
  </si>
  <si>
    <t>Taxes</t>
  </si>
  <si>
    <t>% tax rate</t>
  </si>
  <si>
    <t>Net Income</t>
  </si>
  <si>
    <t xml:space="preserve">Revenue Growth </t>
  </si>
  <si>
    <t>Gross Margin</t>
  </si>
  <si>
    <t>Tax Rate</t>
  </si>
  <si>
    <t>Sources</t>
  </si>
  <si>
    <t>2022E</t>
  </si>
  <si>
    <t>Opex margin</t>
  </si>
  <si>
    <t xml:space="preserve">Steps </t>
  </si>
  <si>
    <t>EBIT - Management</t>
  </si>
  <si>
    <t>OFF</t>
  </si>
  <si>
    <t>EBITDA Reconciliation</t>
  </si>
  <si>
    <t>Less: NCI</t>
  </si>
  <si>
    <t>Interest Expense</t>
  </si>
  <si>
    <t>Tax</t>
  </si>
  <si>
    <t>D&amp;A</t>
  </si>
  <si>
    <t>EBITDA</t>
  </si>
  <si>
    <t>EBITDA- Conservative</t>
  </si>
  <si>
    <t>EBITDA- Management</t>
  </si>
  <si>
    <t>  </t>
  </si>
  <si>
    <t>Cash Flow Items</t>
  </si>
  <si>
    <t>Prepaid and other current assets</t>
  </si>
  <si>
    <t>Change in NWC</t>
  </si>
  <si>
    <t>D&amp;A - Conservative</t>
  </si>
  <si>
    <t>D&amp;A- Management</t>
  </si>
  <si>
    <t>CapEx</t>
  </si>
  <si>
    <t xml:space="preserve">Net Income </t>
  </si>
  <si>
    <t>Mandatory Debt Repayments</t>
  </si>
  <si>
    <t xml:space="preserve">Levered Free Cash Flow </t>
  </si>
  <si>
    <t>Debt Schedule</t>
  </si>
  <si>
    <t>Debt Paydown</t>
  </si>
  <si>
    <t>Cash</t>
  </si>
  <si>
    <t>Beginning Balance</t>
  </si>
  <si>
    <t>Inflow/ (Outflow)</t>
  </si>
  <si>
    <t>Ending Balance</t>
  </si>
  <si>
    <t xml:space="preserve">First Lien Term Loan -USD Tranche	</t>
  </si>
  <si>
    <t>Total Debt</t>
  </si>
  <si>
    <t>Interest Payments</t>
  </si>
  <si>
    <t xml:space="preserve">Interest Income on Cash </t>
  </si>
  <si>
    <t>First Lien Term Loan - USD Tranche</t>
  </si>
  <si>
    <t>Interest rate</t>
  </si>
  <si>
    <t>First Lien Term Loan - EUR Tranche</t>
  </si>
  <si>
    <t xml:space="preserve"> </t>
  </si>
  <si>
    <t>Blended Interest Rate</t>
  </si>
  <si>
    <t>Total Interest Payments</t>
  </si>
  <si>
    <t xml:space="preserve">Interest Expense </t>
  </si>
  <si>
    <t>Interest Income</t>
  </si>
  <si>
    <t>Paydown</t>
  </si>
  <si>
    <t xml:space="preserve">IRR </t>
  </si>
  <si>
    <t>LTM EBITDA at exit</t>
  </si>
  <si>
    <t>Exit multiple</t>
  </si>
  <si>
    <t>Enterprise Value</t>
  </si>
  <si>
    <t>Net Debt</t>
  </si>
  <si>
    <t>Sponsor Equity Value</t>
  </si>
  <si>
    <t>MOIC</t>
  </si>
  <si>
    <t>IRR</t>
  </si>
  <si>
    <t>Sponsor Equity at Entry</t>
  </si>
  <si>
    <t>IRR  (for reference)</t>
  </si>
  <si>
    <t xml:space="preserve">Trade and notes receivable </t>
  </si>
  <si>
    <t>Deferred Revenues + Income tax liabilities</t>
  </si>
  <si>
    <t xml:space="preserve">Current portion of long term debt  </t>
  </si>
  <si>
    <t>----</t>
  </si>
  <si>
    <t xml:space="preserve">Long Lived Assets </t>
  </si>
  <si>
    <t>% of CapEx</t>
  </si>
  <si>
    <t>PPE</t>
  </si>
  <si>
    <t xml:space="preserve">Intangible Assets </t>
  </si>
  <si>
    <t>Purchases/ (Impairment)</t>
  </si>
  <si>
    <t>Depreciation</t>
  </si>
  <si>
    <t>Goodwill and other assets</t>
  </si>
  <si>
    <t>Liabilities</t>
  </si>
  <si>
    <t xml:space="preserve">Accounts payable </t>
  </si>
  <si>
    <t>Depreciation of PPE</t>
  </si>
  <si>
    <t>Cash Flow Statement</t>
  </si>
  <si>
    <t>Changes in NWC</t>
  </si>
  <si>
    <t>Other Long Term Assets and Liabilities</t>
  </si>
  <si>
    <t xml:space="preserve">PIK Interest </t>
  </si>
  <si>
    <t>Cash Flow from Operations</t>
  </si>
  <si>
    <t xml:space="preserve">Capital Expenditure </t>
  </si>
  <si>
    <t xml:space="preserve">Purchases of Intangible Assets </t>
  </si>
  <si>
    <t xml:space="preserve">Revolver </t>
  </si>
  <si>
    <t xml:space="preserve">Secured Term Loan - USD Tranche </t>
  </si>
  <si>
    <t xml:space="preserve">Secured Term Loan - EUR Tranche </t>
  </si>
  <si>
    <t xml:space="preserve">Cash Flow from Investing </t>
  </si>
  <si>
    <t xml:space="preserve">Mandatory Debt Repayments </t>
  </si>
  <si>
    <t xml:space="preserve">Pre Revolver Cash Flow </t>
  </si>
  <si>
    <t xml:space="preserve">Post Revolver Cash Flow </t>
  </si>
  <si>
    <t>Discretionary Payments</t>
  </si>
  <si>
    <t xml:space="preserve">Cash from Investing </t>
  </si>
  <si>
    <t>PIK</t>
  </si>
  <si>
    <t>Revolver</t>
  </si>
  <si>
    <t>Beginning Cash Balance</t>
  </si>
  <si>
    <t xml:space="preserve">Minimum Cash </t>
  </si>
  <si>
    <t xml:space="preserve">Beginning Excess Cash </t>
  </si>
  <si>
    <t xml:space="preserve">Free Cash Flow Generated </t>
  </si>
  <si>
    <t>Cash Available to Paydown/ (Draw From) Revolver</t>
  </si>
  <si>
    <t>Increase/ (Decrease)</t>
  </si>
  <si>
    <t>Maximum Availability</t>
  </si>
  <si>
    <t>CHECK</t>
  </si>
  <si>
    <t>Net Change in Cash</t>
  </si>
  <si>
    <t>Revolver Check</t>
  </si>
  <si>
    <t>Mandatory Paydown (% of Initial Amount)</t>
  </si>
  <si>
    <t>Cash Sweep</t>
  </si>
  <si>
    <t>Mandatory Paydown</t>
  </si>
  <si>
    <t>Paydown from Excess Cash Flows</t>
  </si>
  <si>
    <t>PIK Interest</t>
  </si>
  <si>
    <t>PIK Interest Rate</t>
  </si>
  <si>
    <t>Preferred equity</t>
  </si>
  <si>
    <t>Preferred Equity</t>
  </si>
  <si>
    <t xml:space="preserve">PIK Accrual </t>
  </si>
  <si>
    <t xml:space="preserve">Ending Balance </t>
  </si>
  <si>
    <t>Dividend (cash)</t>
  </si>
  <si>
    <t xml:space="preserve">Cash Sweep </t>
  </si>
  <si>
    <t>Dividends</t>
  </si>
  <si>
    <t xml:space="preserve">Pro Forma Balance Sheet </t>
  </si>
  <si>
    <t>2021A</t>
  </si>
  <si>
    <t>Use of Funds</t>
  </si>
  <si>
    <t>Sources of funds</t>
  </si>
  <si>
    <t>Pro Forma 2021</t>
  </si>
  <si>
    <t>Trande and Notes Recievable</t>
  </si>
  <si>
    <t xml:space="preserve">Accounts Payable </t>
  </si>
  <si>
    <t>PP&amp;E</t>
  </si>
  <si>
    <t xml:space="preserve">Total Assets </t>
  </si>
  <si>
    <t>Other Liabilities</t>
  </si>
  <si>
    <t>Total Liabilities</t>
  </si>
  <si>
    <t>Common Equity</t>
  </si>
  <si>
    <t>Total Equity</t>
  </si>
  <si>
    <t>Deferred Tax Liabilties + Operating Lease Liabiities</t>
  </si>
  <si>
    <t>NCI</t>
  </si>
  <si>
    <t>Accounting</t>
  </si>
  <si>
    <t>Sensitivity Tables</t>
  </si>
  <si>
    <t>Period</t>
  </si>
  <si>
    <t>t</t>
  </si>
  <si>
    <t>Revenue</t>
  </si>
  <si>
    <t>DA</t>
  </si>
  <si>
    <t>DeltaNWC</t>
  </si>
  <si>
    <t>TaxRate</t>
  </si>
  <si>
    <t>InterestExpense</t>
  </si>
  <si>
    <t>DebtRepayment</t>
  </si>
  <si>
    <t>DebtBalance</t>
  </si>
  <si>
    <t>EquityCF</t>
  </si>
  <si>
    <t>2019A</t>
  </si>
  <si>
    <t>2020A</t>
  </si>
  <si>
    <t>20205E</t>
  </si>
  <si>
    <t>UFCF</t>
  </si>
  <si>
    <t>Adj</t>
  </si>
  <si>
    <t>tranche_name</t>
  </si>
  <si>
    <t>firstlienUSD</t>
  </si>
  <si>
    <t>firstlienEUR</t>
  </si>
  <si>
    <t>seniorsecurednotes</t>
  </si>
  <si>
    <t>secondlien</t>
  </si>
  <si>
    <t>revolver</t>
  </si>
  <si>
    <t>unsecured</t>
  </si>
  <si>
    <t>principal_amount</t>
  </si>
  <si>
    <t>base_rate</t>
  </si>
  <si>
    <t>SOFR</t>
  </si>
  <si>
    <t>LIBOR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</si>
</sst>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409]#,##0.00"/>
    <numFmt numFmtId="165" formatCode="m/dd/yy;@"/>
    <numFmt numFmtId="166" formatCode="[$$-409]#,##0"/>
    <numFmt numFmtId="167" formatCode="[$$-409]#,##0_);[Red]\([$$-409]#,##0\)"/>
    <numFmt numFmtId="168" formatCode="[$$-409]#,##0_);\([$$-409]#,##0\)"/>
    <numFmt numFmtId="169" formatCode="[$$-409]#,##0.00_);\([$$-409]#,##0.00\)"/>
    <numFmt numFmtId="170" formatCode="[$$-409]#,##0.00_);[Red]\([$$-409]#,##0.00\)"/>
    <numFmt numFmtId="171" formatCode="0.0\x"/>
    <numFmt numFmtId="172" formatCode="0.00\x"/>
  </numFmts>
  <fonts count="31" x14ac:knownFonts="1">
    <font>
      <sz val="12"/>
      <color theme="1"/>
      <name val="Aptos Narrow"/>
      <family val="2"/>
      <scheme val="minor"/>
    </font>
    <font>
      <b/>
      <sz val="12"/>
      <color theme="0"/>
      <name val="Aptos Narrow (Body)"/>
    </font>
    <font>
      <b/>
      <sz val="16"/>
      <color theme="0"/>
      <name val="Aptos Display (Headings)"/>
    </font>
    <font>
      <sz val="12"/>
      <color theme="1"/>
      <name val="Aptos Narrow"/>
      <scheme val="minor"/>
    </font>
    <font>
      <b/>
      <sz val="12"/>
      <color theme="0"/>
      <name val="Aptos Narrow"/>
      <scheme val="minor"/>
    </font>
    <font>
      <sz val="10"/>
      <color rgb="FF000000"/>
      <name val="Tahoma"/>
      <family val="2"/>
    </font>
    <font>
      <b/>
      <sz val="12"/>
      <color theme="1"/>
      <name val="Aptos Narrow"/>
      <scheme val="minor"/>
    </font>
    <font>
      <b/>
      <sz val="18"/>
      <color theme="1"/>
      <name val="Aptos Narrow"/>
      <scheme val="minor"/>
    </font>
    <font>
      <b/>
      <sz val="20"/>
      <color theme="0"/>
      <name val="Aptos Narrow"/>
      <scheme val="minor"/>
    </font>
    <font>
      <b/>
      <sz val="16"/>
      <color theme="0"/>
      <name val="Aptos Narrow (Body)"/>
    </font>
    <font>
      <sz val="12"/>
      <color rgb="FF000000"/>
      <name val="Aptos Narrow"/>
      <scheme val="minor"/>
    </font>
    <font>
      <b/>
      <sz val="16"/>
      <color theme="0"/>
      <name val="Aptos Narrow"/>
      <scheme val="minor"/>
    </font>
    <font>
      <sz val="16"/>
      <color theme="1"/>
      <name val="Aptos Narrow"/>
      <scheme val="minor"/>
    </font>
    <font>
      <b/>
      <u/>
      <sz val="12"/>
      <color theme="1"/>
      <name val="Aptos Narrow"/>
      <scheme val="minor"/>
    </font>
    <font>
      <b/>
      <sz val="14"/>
      <color theme="0"/>
      <name val="Aptos Narrow (Body)"/>
    </font>
    <font>
      <b/>
      <sz val="12"/>
      <color theme="1"/>
      <name val="Aptos Narrow (Body)"/>
    </font>
    <font>
      <sz val="12"/>
      <color rgb="FF000000"/>
      <name val="Aptos Narrow"/>
      <family val="2"/>
      <scheme val="minor"/>
    </font>
    <font>
      <i/>
      <sz val="12"/>
      <color theme="1"/>
      <name val="Aptos Narrow"/>
      <scheme val="minor"/>
    </font>
    <font>
      <sz val="12"/>
      <color rgb="FFC00000"/>
      <name val="Aptos Narrow"/>
      <family val="2"/>
      <scheme val="minor"/>
    </font>
    <font>
      <sz val="12"/>
      <color rgb="FFFF0000"/>
      <name val="Aptos Narrow"/>
      <family val="2"/>
      <scheme val="minor"/>
    </font>
    <font>
      <sz val="12"/>
      <color theme="0"/>
      <name val="Aptos Narrow"/>
      <family val="2"/>
      <scheme val="minor"/>
    </font>
    <font>
      <i/>
      <sz val="12"/>
      <color rgb="FF000000"/>
      <name val="Aptos Narrow"/>
      <scheme val="minor"/>
    </font>
    <font>
      <sz val="12"/>
      <color theme="1"/>
      <name val="Aptos Narrow (Body)"/>
    </font>
    <font>
      <i/>
      <sz val="12"/>
      <color theme="1"/>
      <name val="Aptos Narrow (Body)"/>
    </font>
    <font>
      <sz val="10"/>
      <color theme="1"/>
      <name val="Times New Roman"/>
      <family val="1"/>
    </font>
    <font>
      <b/>
      <i/>
      <sz val="12"/>
      <color theme="1"/>
      <name val="Aptos Narrow"/>
      <scheme val="minor"/>
    </font>
    <font>
      <sz val="13"/>
      <color rgb="FF000000"/>
      <name val="Times New Roman"/>
      <family val="1"/>
    </font>
    <font>
      <sz val="12"/>
      <color theme="9"/>
      <name val="Aptos Narrow"/>
      <family val="2"/>
      <scheme val="minor"/>
    </font>
    <font>
      <b/>
      <sz val="12"/>
      <color rgb="FFFF0000"/>
      <name val="Aptos Narrow"/>
      <scheme val="minor"/>
    </font>
    <font>
      <sz val="10"/>
      <color rgb="FF000000"/>
      <name val="Aptos Narrow"/>
      <scheme val="minor"/>
    </font>
    <font>
      <sz val="10"/>
      <color rgb="FF000000"/>
      <name val="Tahoma"/>
      <family val="34"/>
    </font>
  </fonts>
  <fills count="8">
    <fill>
      <patternFill patternType="none"/>
    </fill>
    <fill>
      <patternFill patternType="gray125"/>
    </fill>
    <fill>
      <patternFill patternType="solid">
        <fgColor theme="9" tint="-0.249977111117893"/>
        <bgColor indexed="64"/>
      </patternFill>
    </fill>
    <fill>
      <patternFill patternType="solid">
        <fgColor theme="9" tint="-0.499984740745262"/>
        <bgColor indexed="64"/>
      </patternFill>
    </fill>
    <fill>
      <patternFill patternType="solid">
        <fgColor theme="2"/>
        <bgColor indexed="64"/>
      </patternFill>
    </fill>
    <fill>
      <patternFill patternType="solid">
        <fgColor theme="9" tint="0.59999389629810485"/>
        <bgColor indexed="64"/>
      </patternFill>
    </fill>
    <fill>
      <patternFill patternType="solid">
        <fgColor rgb="FFFFF9BF"/>
        <bgColor indexed="64"/>
      </patternFill>
    </fill>
    <fill>
      <patternFill patternType="solid">
        <fgColor rgb="FFAAE571"/>
        <bgColor indexed="64"/>
      </patternFill>
    </fill>
  </fills>
  <borders count="2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theme="2" tint="-0.499984740745262"/>
      </top>
      <bottom/>
      <diagonal/>
    </border>
    <border>
      <left/>
      <right/>
      <top/>
      <bottom style="thin">
        <color theme="2" tint="-0.499984740745262"/>
      </bottom>
      <diagonal/>
    </border>
    <border>
      <left style="medium">
        <color theme="2" tint="-0.499984740745262"/>
      </left>
      <right/>
      <top style="medium">
        <color theme="2" tint="-0.499984740745262"/>
      </top>
      <bottom/>
      <diagonal/>
    </border>
    <border>
      <left/>
      <right/>
      <top style="medium">
        <color theme="2" tint="-0.499984740745262"/>
      </top>
      <bottom/>
      <diagonal/>
    </border>
    <border>
      <left/>
      <right style="medium">
        <color theme="2" tint="-0.499984740745262"/>
      </right>
      <top style="medium">
        <color theme="2" tint="-0.499984740745262"/>
      </top>
      <bottom/>
      <diagonal/>
    </border>
    <border>
      <left style="medium">
        <color theme="2" tint="-0.499984740745262"/>
      </left>
      <right/>
      <top/>
      <bottom/>
      <diagonal/>
    </border>
    <border>
      <left/>
      <right style="medium">
        <color theme="2" tint="-0.499984740745262"/>
      </right>
      <top/>
      <bottom/>
      <diagonal/>
    </border>
    <border>
      <left style="medium">
        <color theme="2" tint="-0.499984740745262"/>
      </left>
      <right/>
      <top/>
      <bottom style="medium">
        <color theme="2" tint="-0.499984740745262"/>
      </bottom>
      <diagonal/>
    </border>
    <border>
      <left/>
      <right/>
      <top/>
      <bottom style="medium">
        <color theme="2" tint="-0.499984740745262"/>
      </bottom>
      <diagonal/>
    </border>
    <border>
      <left/>
      <right style="medium">
        <color theme="2" tint="-0.499984740745262"/>
      </right>
      <top/>
      <bottom style="medium">
        <color theme="2" tint="-0.499984740745262"/>
      </bottom>
      <diagonal/>
    </border>
  </borders>
  <cellStyleXfs count="1">
    <xf numFmtId="0" fontId="0" fillId="0" borderId="0"/>
  </cellStyleXfs>
  <cellXfs count="191">
    <xf numFmtId="0" fontId="0" fillId="0" borderId="0" xfId="0"/>
    <xf numFmtId="0" fontId="0" fillId="0" borderId="0" xfId="0" applyAlignment="1">
      <alignment horizontal="center"/>
    </xf>
    <xf numFmtId="0" fontId="3" fillId="0" borderId="0" xfId="0" applyFont="1" applyAlignment="1">
      <alignment horizontal="center"/>
    </xf>
    <xf numFmtId="0" fontId="0" fillId="0" borderId="1" xfId="0" applyBorder="1"/>
    <xf numFmtId="0" fontId="0" fillId="0" borderId="0" xfId="0" applyAlignment="1">
      <alignment horizontal="right" indent="1"/>
    </xf>
    <xf numFmtId="0" fontId="6" fillId="0" borderId="0" xfId="0" applyFont="1" applyAlignment="1">
      <alignment horizontal="center"/>
    </xf>
    <xf numFmtId="0" fontId="12" fillId="0" borderId="0" xfId="0" applyFont="1"/>
    <xf numFmtId="0" fontId="13" fillId="0" borderId="0" xfId="0" applyFont="1"/>
    <xf numFmtId="167" fontId="0" fillId="0" borderId="0" xfId="0" applyNumberFormat="1"/>
    <xf numFmtId="0" fontId="4" fillId="2" borderId="0" xfId="0" applyFont="1" applyFill="1" applyAlignment="1">
      <alignment horizontal="center"/>
    </xf>
    <xf numFmtId="168" fontId="0" fillId="0" borderId="0" xfId="0" applyNumberFormat="1" applyAlignment="1">
      <alignment horizontal="center"/>
    </xf>
    <xf numFmtId="10" fontId="0" fillId="0" borderId="0" xfId="0" applyNumberFormat="1"/>
    <xf numFmtId="9" fontId="0" fillId="0" borderId="0" xfId="0" applyNumberFormat="1"/>
    <xf numFmtId="0" fontId="6" fillId="4" borderId="2" xfId="0" applyFont="1" applyFill="1" applyBorder="1" applyAlignment="1">
      <alignment horizontal="center"/>
    </xf>
    <xf numFmtId="0" fontId="6" fillId="4" borderId="2" xfId="0" applyFont="1" applyFill="1" applyBorder="1"/>
    <xf numFmtId="167" fontId="6" fillId="4" borderId="2" xfId="0" applyNumberFormat="1" applyFont="1" applyFill="1" applyBorder="1"/>
    <xf numFmtId="0" fontId="4" fillId="0" borderId="0" xfId="0" applyFont="1" applyAlignment="1">
      <alignment horizontal="center"/>
    </xf>
    <xf numFmtId="0" fontId="15" fillId="0" borderId="0" xfId="0" applyFont="1" applyAlignment="1">
      <alignment horizontal="center"/>
    </xf>
    <xf numFmtId="0" fontId="4" fillId="0" borderId="0" xfId="0" applyFont="1"/>
    <xf numFmtId="0" fontId="0" fillId="4" borderId="3" xfId="0" applyFill="1" applyBorder="1"/>
    <xf numFmtId="167" fontId="0" fillId="0" borderId="0" xfId="0" applyNumberFormat="1" applyAlignment="1">
      <alignment horizontal="center"/>
    </xf>
    <xf numFmtId="164" fontId="0" fillId="0" borderId="0" xfId="0" applyNumberFormat="1"/>
    <xf numFmtId="166" fontId="0" fillId="0" borderId="0" xfId="0" applyNumberFormat="1"/>
    <xf numFmtId="169" fontId="0" fillId="0" borderId="0" xfId="0" applyNumberFormat="1"/>
    <xf numFmtId="168" fontId="0" fillId="0" borderId="0" xfId="0" applyNumberFormat="1"/>
    <xf numFmtId="170" fontId="0" fillId="0" borderId="0" xfId="0" applyNumberFormat="1"/>
    <xf numFmtId="166" fontId="6" fillId="4" borderId="2" xfId="0" applyNumberFormat="1" applyFont="1" applyFill="1" applyBorder="1"/>
    <xf numFmtId="0" fontId="4" fillId="2" borderId="0" xfId="0" applyFont="1" applyFill="1"/>
    <xf numFmtId="0" fontId="4" fillId="2" borderId="0" xfId="0" applyFont="1" applyFill="1" applyAlignment="1">
      <alignment horizontal="right"/>
    </xf>
    <xf numFmtId="0" fontId="16" fillId="0" borderId="0" xfId="0" applyFont="1" applyAlignment="1">
      <alignment horizontal="center"/>
    </xf>
    <xf numFmtId="10" fontId="17" fillId="0" borderId="0" xfId="0" applyNumberFormat="1" applyFont="1"/>
    <xf numFmtId="0" fontId="6" fillId="0" borderId="0" xfId="0" applyFont="1"/>
    <xf numFmtId="169" fontId="18" fillId="0" borderId="0" xfId="0" applyNumberFormat="1" applyFont="1"/>
    <xf numFmtId="169" fontId="19" fillId="0" borderId="0" xfId="0" applyNumberFormat="1" applyFont="1"/>
    <xf numFmtId="0" fontId="17" fillId="0" borderId="0" xfId="0" applyFont="1" applyAlignment="1">
      <alignment horizontal="center"/>
    </xf>
    <xf numFmtId="0" fontId="21" fillId="0" borderId="0" xfId="0" applyFont="1" applyAlignment="1">
      <alignment horizontal="center"/>
    </xf>
    <xf numFmtId="0" fontId="20" fillId="0" borderId="0" xfId="0" applyFont="1"/>
    <xf numFmtId="0" fontId="23" fillId="0" borderId="0" xfId="0" applyFont="1"/>
    <xf numFmtId="169" fontId="17" fillId="0" borderId="0" xfId="0" applyNumberFormat="1" applyFont="1"/>
    <xf numFmtId="0" fontId="0" fillId="6" borderId="2" xfId="0" applyFill="1" applyBorder="1"/>
    <xf numFmtId="10" fontId="0" fillId="6" borderId="2" xfId="0" applyNumberFormat="1" applyFill="1" applyBorder="1"/>
    <xf numFmtId="0" fontId="17" fillId="0" borderId="0" xfId="0" applyFont="1"/>
    <xf numFmtId="171" fontId="0" fillId="0" borderId="0" xfId="0" applyNumberFormat="1"/>
    <xf numFmtId="171" fontId="6" fillId="4" borderId="2" xfId="0" applyNumberFormat="1" applyFont="1" applyFill="1" applyBorder="1"/>
    <xf numFmtId="10" fontId="6" fillId="4" borderId="2" xfId="0" applyNumberFormat="1" applyFont="1" applyFill="1" applyBorder="1"/>
    <xf numFmtId="0" fontId="24" fillId="0" borderId="0" xfId="0" applyFont="1"/>
    <xf numFmtId="3" fontId="24" fillId="0" borderId="0" xfId="0" applyNumberFormat="1" applyFont="1"/>
    <xf numFmtId="0" fontId="6" fillId="6" borderId="4" xfId="0" applyFont="1" applyFill="1" applyBorder="1" applyAlignment="1">
      <alignment horizontal="left"/>
    </xf>
    <xf numFmtId="0" fontId="6" fillId="6" borderId="5" xfId="0" applyFont="1" applyFill="1" applyBorder="1" applyAlignment="1">
      <alignment horizontal="left"/>
    </xf>
    <xf numFmtId="0" fontId="0" fillId="6" borderId="5" xfId="0" applyFill="1" applyBorder="1"/>
    <xf numFmtId="169" fontId="0" fillId="6" borderId="5" xfId="0" applyNumberFormat="1" applyFill="1" applyBorder="1"/>
    <xf numFmtId="169" fontId="0" fillId="6" borderId="6" xfId="0" applyNumberFormat="1" applyFill="1" applyBorder="1"/>
    <xf numFmtId="0" fontId="17" fillId="6" borderId="7" xfId="0" applyFont="1" applyFill="1" applyBorder="1" applyAlignment="1">
      <alignment horizontal="center"/>
    </xf>
    <xf numFmtId="0" fontId="17" fillId="6" borderId="8" xfId="0" applyFont="1" applyFill="1" applyBorder="1" applyAlignment="1">
      <alignment horizontal="center"/>
    </xf>
    <xf numFmtId="0" fontId="0" fillId="6" borderId="8" xfId="0" applyFill="1" applyBorder="1"/>
    <xf numFmtId="10" fontId="17" fillId="6" borderId="8" xfId="0" applyNumberFormat="1" applyFont="1" applyFill="1" applyBorder="1"/>
    <xf numFmtId="10" fontId="0" fillId="6" borderId="8" xfId="0" applyNumberFormat="1" applyFill="1" applyBorder="1"/>
    <xf numFmtId="10" fontId="0" fillId="6" borderId="9" xfId="0" applyNumberFormat="1" applyFill="1" applyBorder="1"/>
    <xf numFmtId="0" fontId="0" fillId="6" borderId="11" xfId="0" applyFill="1" applyBorder="1"/>
    <xf numFmtId="169" fontId="0" fillId="6" borderId="11" xfId="0" applyNumberFormat="1" applyFill="1" applyBorder="1"/>
    <xf numFmtId="0" fontId="0" fillId="6" borderId="4" xfId="0" applyFill="1" applyBorder="1"/>
    <xf numFmtId="164" fontId="0" fillId="6" borderId="5" xfId="0" applyNumberFormat="1" applyFill="1" applyBorder="1"/>
    <xf numFmtId="164" fontId="0" fillId="6" borderId="6" xfId="0" applyNumberFormat="1" applyFill="1" applyBorder="1"/>
    <xf numFmtId="0" fontId="0" fillId="6" borderId="7" xfId="0" applyFill="1" applyBorder="1"/>
    <xf numFmtId="0" fontId="3" fillId="0" borderId="0" xfId="0" applyFont="1" applyAlignment="1">
      <alignment horizontal="left"/>
    </xf>
    <xf numFmtId="0" fontId="17" fillId="6" borderId="8" xfId="0" applyFont="1" applyFill="1" applyBorder="1"/>
    <xf numFmtId="10" fontId="17" fillId="6" borderId="9" xfId="0" applyNumberFormat="1" applyFont="1" applyFill="1" applyBorder="1"/>
    <xf numFmtId="0" fontId="13" fillId="6" borderId="4" xfId="0" applyFont="1" applyFill="1" applyBorder="1"/>
    <xf numFmtId="169" fontId="0" fillId="6" borderId="12" xfId="0" applyNumberFormat="1" applyFill="1" applyBorder="1"/>
    <xf numFmtId="0" fontId="6" fillId="6" borderId="4" xfId="0" applyFont="1" applyFill="1" applyBorder="1"/>
    <xf numFmtId="0" fontId="6" fillId="6" borderId="10" xfId="0" applyFont="1" applyFill="1" applyBorder="1"/>
    <xf numFmtId="0" fontId="10" fillId="6" borderId="4" xfId="0" applyFont="1" applyFill="1" applyBorder="1" applyAlignment="1">
      <alignment horizontal="left"/>
    </xf>
    <xf numFmtId="10" fontId="17" fillId="6" borderId="5" xfId="0" applyNumberFormat="1" applyFont="1" applyFill="1" applyBorder="1"/>
    <xf numFmtId="169" fontId="3" fillId="6" borderId="5" xfId="0" applyNumberFormat="1" applyFont="1" applyFill="1" applyBorder="1"/>
    <xf numFmtId="164" fontId="3" fillId="6" borderId="5" xfId="0" applyNumberFormat="1" applyFont="1" applyFill="1" applyBorder="1"/>
    <xf numFmtId="164" fontId="3" fillId="6" borderId="6" xfId="0" applyNumberFormat="1" applyFont="1" applyFill="1" applyBorder="1"/>
    <xf numFmtId="0" fontId="21" fillId="6" borderId="7" xfId="0" applyFont="1" applyFill="1" applyBorder="1" applyAlignment="1">
      <alignment horizontal="center"/>
    </xf>
    <xf numFmtId="10" fontId="19" fillId="0" borderId="0" xfId="0" applyNumberFormat="1" applyFont="1"/>
    <xf numFmtId="169" fontId="18" fillId="6" borderId="5" xfId="0" applyNumberFormat="1" applyFont="1" applyFill="1" applyBorder="1"/>
    <xf numFmtId="0" fontId="25" fillId="0" borderId="0" xfId="0" applyFont="1"/>
    <xf numFmtId="10" fontId="25" fillId="0" borderId="0" xfId="0" applyNumberFormat="1" applyFont="1"/>
    <xf numFmtId="0" fontId="25" fillId="7" borderId="10" xfId="0" applyFont="1" applyFill="1" applyBorder="1"/>
    <xf numFmtId="10" fontId="25" fillId="7" borderId="12" xfId="0" applyNumberFormat="1" applyFont="1" applyFill="1" applyBorder="1"/>
    <xf numFmtId="0" fontId="2" fillId="3" borderId="0" xfId="0" applyFont="1" applyFill="1"/>
    <xf numFmtId="0" fontId="0" fillId="3" borderId="0" xfId="0" applyFill="1"/>
    <xf numFmtId="0" fontId="1" fillId="2" borderId="0" xfId="0" applyFont="1" applyFill="1"/>
    <xf numFmtId="0" fontId="0" fillId="2" borderId="0" xfId="0" applyFill="1"/>
    <xf numFmtId="0" fontId="11" fillId="3" borderId="0" xfId="0" applyFont="1" applyFill="1"/>
    <xf numFmtId="0" fontId="7" fillId="5" borderId="10" xfId="0" applyFont="1" applyFill="1" applyBorder="1"/>
    <xf numFmtId="0" fontId="7" fillId="5" borderId="11" xfId="0" applyFont="1" applyFill="1" applyBorder="1"/>
    <xf numFmtId="0" fontId="7" fillId="5" borderId="12" xfId="0" applyFont="1" applyFill="1" applyBorder="1"/>
    <xf numFmtId="0" fontId="9" fillId="3" borderId="0" xfId="0" applyFont="1" applyFill="1" applyAlignment="1">
      <alignment vertical="center"/>
    </xf>
    <xf numFmtId="0" fontId="8" fillId="3" borderId="0" xfId="0" applyFont="1" applyFill="1" applyAlignment="1">
      <alignment vertical="center"/>
    </xf>
    <xf numFmtId="0" fontId="0" fillId="5" borderId="5" xfId="0" applyFill="1" applyBorder="1"/>
    <xf numFmtId="172" fontId="6" fillId="5" borderId="6" xfId="0" applyNumberFormat="1" applyFont="1" applyFill="1" applyBorder="1"/>
    <xf numFmtId="0" fontId="0" fillId="5" borderId="8" xfId="0" applyFill="1" applyBorder="1"/>
    <xf numFmtId="10" fontId="25" fillId="5" borderId="9" xfId="0" applyNumberFormat="1" applyFont="1" applyFill="1" applyBorder="1"/>
    <xf numFmtId="0" fontId="4" fillId="0" borderId="0" xfId="0" applyFont="1" applyAlignment="1">
      <alignment horizontal="right"/>
    </xf>
    <xf numFmtId="0" fontId="22" fillId="0" borderId="0" xfId="0" applyFont="1"/>
    <xf numFmtId="0" fontId="3" fillId="0" borderId="0" xfId="0" applyFont="1"/>
    <xf numFmtId="0" fontId="0" fillId="0" borderId="0" xfId="0" applyAlignment="1">
      <alignment horizontal="left"/>
    </xf>
    <xf numFmtId="0" fontId="3" fillId="0" borderId="0" xfId="0" applyFont="1" applyAlignment="1">
      <alignment horizontal="right"/>
    </xf>
    <xf numFmtId="10" fontId="3" fillId="0" borderId="0" xfId="0" applyNumberFormat="1" applyFont="1"/>
    <xf numFmtId="10" fontId="3" fillId="0" borderId="0" xfId="0" applyNumberFormat="1" applyFont="1" applyAlignment="1">
      <alignment horizontal="right"/>
    </xf>
    <xf numFmtId="169" fontId="3" fillId="0" borderId="0" xfId="0" applyNumberFormat="1" applyFont="1" applyAlignment="1">
      <alignment horizontal="right"/>
    </xf>
    <xf numFmtId="169" fontId="0" fillId="6" borderId="5" xfId="0" quotePrefix="1" applyNumberFormat="1" applyFill="1" applyBorder="1"/>
    <xf numFmtId="169" fontId="0" fillId="6" borderId="8" xfId="0" quotePrefix="1" applyNumberFormat="1" applyFill="1" applyBorder="1"/>
    <xf numFmtId="169" fontId="0" fillId="0" borderId="0" xfId="0" quotePrefix="1" applyNumberFormat="1"/>
    <xf numFmtId="0" fontId="26" fillId="0" borderId="0" xfId="0" applyFont="1"/>
    <xf numFmtId="169" fontId="3" fillId="0" borderId="0" xfId="0" applyNumberFormat="1" applyFont="1"/>
    <xf numFmtId="164" fontId="3" fillId="0" borderId="0" xfId="0" applyNumberFormat="1" applyFont="1"/>
    <xf numFmtId="169" fontId="6" fillId="0" borderId="0" xfId="0" applyNumberFormat="1" applyFont="1"/>
    <xf numFmtId="169" fontId="0" fillId="0" borderId="1" xfId="0" applyNumberFormat="1" applyBorder="1"/>
    <xf numFmtId="0" fontId="13" fillId="0" borderId="0" xfId="0" applyFont="1" applyAlignment="1">
      <alignment horizontal="right"/>
    </xf>
    <xf numFmtId="9" fontId="3" fillId="0" borderId="0" xfId="0" applyNumberFormat="1" applyFont="1" applyAlignment="1">
      <alignment horizontal="right"/>
    </xf>
    <xf numFmtId="0" fontId="27" fillId="0" borderId="0" xfId="0" applyFont="1"/>
    <xf numFmtId="10" fontId="6" fillId="0" borderId="0" xfId="0" applyNumberFormat="1" applyFont="1"/>
    <xf numFmtId="169" fontId="0" fillId="6" borderId="13" xfId="0" applyNumberFormat="1" applyFill="1" applyBorder="1"/>
    <xf numFmtId="169" fontId="0" fillId="6" borderId="14" xfId="0" applyNumberFormat="1" applyFill="1" applyBorder="1"/>
    <xf numFmtId="169" fontId="0" fillId="6" borderId="15" xfId="0" applyNumberFormat="1" applyFill="1" applyBorder="1"/>
    <xf numFmtId="164" fontId="0" fillId="6" borderId="8" xfId="0" applyNumberFormat="1" applyFill="1" applyBorder="1"/>
    <xf numFmtId="164" fontId="0" fillId="6" borderId="9" xfId="0" applyNumberFormat="1" applyFill="1" applyBorder="1"/>
    <xf numFmtId="0" fontId="28" fillId="0" borderId="0" xfId="0" applyFont="1"/>
    <xf numFmtId="169" fontId="28" fillId="0" borderId="0" xfId="0" applyNumberFormat="1" applyFont="1"/>
    <xf numFmtId="164" fontId="6" fillId="0" borderId="0" xfId="0" applyNumberFormat="1" applyFont="1"/>
    <xf numFmtId="167" fontId="6" fillId="0" borderId="0" xfId="0" applyNumberFormat="1" applyFont="1"/>
    <xf numFmtId="168" fontId="6" fillId="0" borderId="0" xfId="0" applyNumberFormat="1" applyFont="1"/>
    <xf numFmtId="0" fontId="0" fillId="0" borderId="16" xfId="0" applyBorder="1"/>
    <xf numFmtId="0" fontId="0" fillId="0" borderId="17" xfId="0" applyBorder="1"/>
    <xf numFmtId="169" fontId="6" fillId="0" borderId="16" xfId="0" applyNumberFormat="1" applyFont="1" applyBorder="1"/>
    <xf numFmtId="169" fontId="0" fillId="0" borderId="17" xfId="0" applyNumberFormat="1" applyBorder="1"/>
    <xf numFmtId="164" fontId="0" fillId="0" borderId="17" xfId="0" applyNumberFormat="1" applyBorder="1"/>
    <xf numFmtId="0" fontId="14" fillId="0" borderId="0" xfId="0" applyFont="1"/>
    <xf numFmtId="0" fontId="0" fillId="0" borderId="17" xfId="0" applyBorder="1" applyAlignment="1">
      <alignment horizontal="center"/>
    </xf>
    <xf numFmtId="0" fontId="6"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28" fillId="0" borderId="0" xfId="0" applyFont="1" applyAlignment="1">
      <alignment horizontal="center"/>
    </xf>
    <xf numFmtId="0" fontId="6" fillId="0" borderId="16" xfId="0" applyFont="1" applyBorder="1" applyAlignment="1">
      <alignment horizontal="center"/>
    </xf>
    <xf numFmtId="0" fontId="13" fillId="0" borderId="0" xfId="0" applyFont="1" applyAlignment="1">
      <alignment horizontal="left"/>
    </xf>
    <xf numFmtId="0" fontId="3" fillId="0" borderId="0" xfId="0" applyFont="1" applyAlignment="1">
      <alignment horizontal="center"/>
    </xf>
    <xf numFmtId="0" fontId="3" fillId="0" borderId="0" xfId="0" applyFont="1" applyAlignment="1">
      <alignment horizontal="left"/>
    </xf>
    <xf numFmtId="0" fontId="25" fillId="5" borderId="7" xfId="0" applyFont="1" applyFill="1" applyBorder="1" applyAlignment="1">
      <alignment horizontal="center"/>
    </xf>
    <xf numFmtId="0" fontId="25" fillId="5" borderId="8"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6" borderId="4" xfId="0" applyFont="1" applyFill="1" applyBorder="1" applyAlignment="1">
      <alignment horizontal="center"/>
    </xf>
    <xf numFmtId="0" fontId="6" fillId="6" borderId="5" xfId="0" applyFont="1" applyFill="1" applyBorder="1" applyAlignment="1">
      <alignment horizontal="center"/>
    </xf>
    <xf numFmtId="0" fontId="6" fillId="6" borderId="7" xfId="0" applyFont="1" applyFill="1" applyBorder="1" applyAlignment="1">
      <alignment horizontal="center"/>
    </xf>
    <xf numFmtId="0" fontId="6" fillId="6" borderId="8" xfId="0" applyFont="1" applyFill="1" applyBorder="1" applyAlignment="1">
      <alignment horizontal="center"/>
    </xf>
    <xf numFmtId="0" fontId="17" fillId="0" borderId="0" xfId="0" applyFont="1" applyAlignment="1">
      <alignment horizontal="center"/>
    </xf>
    <xf numFmtId="0" fontId="22" fillId="0" borderId="0" xfId="0" applyFont="1" applyAlignment="1">
      <alignment horizontal="left"/>
    </xf>
    <xf numFmtId="39" fontId="0" fillId="0" borderId="0" xfId="0" applyNumberFormat="1" applyAlignment="1">
      <alignment horizontal="center"/>
    </xf>
    <xf numFmtId="0" fontId="4" fillId="0" borderId="0" xfId="0" applyFont="1" applyAlignment="1">
      <alignment horizontal="center"/>
    </xf>
    <xf numFmtId="164" fontId="0" fillId="0" borderId="0" xfId="0" applyNumberFormat="1" applyAlignment="1">
      <alignment horizontal="center"/>
    </xf>
    <xf numFmtId="171" fontId="0" fillId="0" borderId="0" xfId="0" applyNumberFormat="1" applyAlignment="1">
      <alignment horizontal="center"/>
    </xf>
    <xf numFmtId="0" fontId="0" fillId="0" borderId="1" xfId="0" applyBorder="1" applyAlignment="1">
      <alignment horizontal="center"/>
    </xf>
    <xf numFmtId="0" fontId="6" fillId="4" borderId="2" xfId="0" applyFont="1" applyFill="1" applyBorder="1" applyAlignment="1">
      <alignment horizontal="center"/>
    </xf>
    <xf numFmtId="166" fontId="0" fillId="0" borderId="0" xfId="0" applyNumberFormat="1" applyAlignment="1">
      <alignment horizontal="center"/>
    </xf>
    <xf numFmtId="168" fontId="0" fillId="0" borderId="0" xfId="0" applyNumberFormat="1" applyAlignment="1">
      <alignment horizontal="center"/>
    </xf>
    <xf numFmtId="0" fontId="0" fillId="0" borderId="0" xfId="0" applyAlignment="1">
      <alignment horizontal="right" indent="1"/>
    </xf>
    <xf numFmtId="165" fontId="0" fillId="0" borderId="0" xfId="0" applyNumberFormat="1" applyAlignment="1">
      <alignment horizontal="center"/>
    </xf>
    <xf numFmtId="0" fontId="11" fillId="3" borderId="0" xfId="0" applyFont="1" applyFill="1"/>
    <xf numFmtId="0" fontId="1" fillId="2" borderId="0" xfId="0" applyFont="1" applyFill="1"/>
    <xf numFmtId="0" fontId="0" fillId="2" borderId="0" xfId="0" applyFill="1"/>
    <xf numFmtId="166" fontId="10" fillId="0" borderId="0" xfId="0" applyNumberFormat="1" applyFont="1" applyAlignment="1">
      <alignment horizontal="center"/>
    </xf>
    <xf numFmtId="168" fontId="0" fillId="0" borderId="0" xfId="0" applyNumberFormat="1" applyAlignment="1">
      <alignment horizontal="center" wrapText="1"/>
    </xf>
    <xf numFmtId="10" fontId="0" fillId="0" borderId="0" xfId="0" applyNumberFormat="1" applyAlignment="1">
      <alignment horizontal="center"/>
    </xf>
    <xf numFmtId="0" fontId="6" fillId="6" borderId="4" xfId="0" applyFont="1" applyFill="1" applyBorder="1" applyAlignment="1">
      <alignment horizontal="left"/>
    </xf>
    <xf numFmtId="0" fontId="6" fillId="6" borderId="5" xfId="0" applyFont="1" applyFill="1" applyBorder="1" applyAlignment="1">
      <alignment horizontal="left"/>
    </xf>
    <xf numFmtId="0" fontId="17" fillId="6" borderId="7" xfId="0" applyFont="1" applyFill="1" applyBorder="1" applyAlignment="1">
      <alignment horizontal="center"/>
    </xf>
    <xf numFmtId="0" fontId="17" fillId="6" borderId="8" xfId="0" applyFont="1" applyFill="1" applyBorder="1" applyAlignment="1">
      <alignment horizontal="center"/>
    </xf>
    <xf numFmtId="0" fontId="13" fillId="0" borderId="0" xfId="0" applyFont="1" applyAlignment="1">
      <alignment horizontal="center"/>
    </xf>
    <xf numFmtId="0" fontId="6" fillId="0" borderId="0" xfId="0" applyFont="1" applyAlignment="1">
      <alignment horizontal="left"/>
    </xf>
    <xf numFmtId="0" fontId="0" fillId="0" borderId="0" xfId="0" quotePrefix="1"/>
    <xf numFmtId="1" fontId="0" fillId="0" borderId="0" xfId="0" applyNumberFormat="1"/>
    <xf numFmtId="0" fontId="13" fillId="6" borderId="18" xfId="0" applyFont="1" applyFill="1" applyBorder="1" applyAlignment="1">
      <alignment horizontal="left"/>
    </xf>
    <xf numFmtId="0" fontId="13" fillId="6" borderId="19" xfId="0" applyFont="1" applyFill="1" applyBorder="1" applyAlignment="1">
      <alignment horizontal="left"/>
    </xf>
    <xf numFmtId="0" fontId="0" fillId="6" borderId="19" xfId="0" applyFill="1" applyBorder="1"/>
    <xf numFmtId="169" fontId="0" fillId="6" borderId="19" xfId="0" applyNumberFormat="1" applyFill="1" applyBorder="1"/>
    <xf numFmtId="0" fontId="0" fillId="6" borderId="20" xfId="0" applyFill="1" applyBorder="1"/>
    <xf numFmtId="0" fontId="0" fillId="6" borderId="21" xfId="0" applyFill="1" applyBorder="1" applyAlignment="1">
      <alignment horizontal="center"/>
    </xf>
    <xf numFmtId="0" fontId="0" fillId="6" borderId="0" xfId="0" applyFill="1" applyBorder="1" applyAlignment="1">
      <alignment horizontal="center"/>
    </xf>
    <xf numFmtId="0" fontId="0" fillId="6" borderId="0" xfId="0" applyFill="1" applyBorder="1"/>
    <xf numFmtId="169" fontId="0" fillId="6" borderId="0" xfId="0" applyNumberFormat="1" applyFill="1" applyBorder="1"/>
    <xf numFmtId="169" fontId="0" fillId="6" borderId="22" xfId="0" applyNumberFormat="1" applyFill="1" applyBorder="1"/>
    <xf numFmtId="0" fontId="6" fillId="6" borderId="23" xfId="0" applyFont="1" applyFill="1" applyBorder="1" applyAlignment="1">
      <alignment horizontal="center"/>
    </xf>
    <xf numFmtId="0" fontId="6" fillId="6" borderId="24" xfId="0" applyFont="1" applyFill="1" applyBorder="1" applyAlignment="1">
      <alignment horizontal="center"/>
    </xf>
    <xf numFmtId="0" fontId="0" fillId="6" borderId="24" xfId="0" applyFill="1" applyBorder="1"/>
    <xf numFmtId="169" fontId="0" fillId="6" borderId="24" xfId="0" applyNumberFormat="1" applyFill="1" applyBorder="1"/>
    <xf numFmtId="169" fontId="0" fillId="6" borderId="25" xfId="0" applyNumberFormat="1" applyFill="1" applyBorder="1"/>
  </cellXfs>
  <cellStyles count="1">
    <cellStyle name="Normal" xfId="0" builtinId="0"/>
  </cellStyles>
  <dxfs count="0"/>
  <tableStyles count="0" defaultTableStyle="TableStyleMedium2" defaultPivotStyle="PivotStyleLight16"/>
  <colors>
    <mruColors>
      <color rgb="FFFFF9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26997-87F8-0047-A58A-7DEA31264ADB}">
  <dimension ref="A1:Y352"/>
  <sheetViews>
    <sheetView tabSelected="1" topLeftCell="A267" zoomScale="113" workbookViewId="0">
      <selection activeCell="G31" sqref="G31"/>
    </sheetView>
  </sheetViews>
  <sheetFormatPr baseColWidth="10" defaultRowHeight="16" x14ac:dyDescent="0.2"/>
  <cols>
    <col min="1" max="1" width="5.83203125" customWidth="1"/>
    <col min="2" max="16" width="15.83203125" customWidth="1"/>
    <col min="17" max="25" width="10.83203125" customWidth="1"/>
  </cols>
  <sheetData>
    <row r="1" spans="2:16" ht="17" thickBot="1" x14ac:dyDescent="0.25"/>
    <row r="2" spans="2:16" ht="25" customHeight="1" thickBot="1" x14ac:dyDescent="0.35">
      <c r="B2" s="88"/>
      <c r="C2" s="89" t="s">
        <v>14</v>
      </c>
      <c r="D2" s="89"/>
      <c r="E2" s="89"/>
      <c r="F2" s="90"/>
      <c r="G2" s="3"/>
      <c r="H2" s="3"/>
      <c r="I2" s="3"/>
      <c r="J2" s="3"/>
      <c r="K2" s="3"/>
      <c r="L2" s="3"/>
      <c r="M2" s="3"/>
    </row>
    <row r="4" spans="2:16" ht="20" customHeight="1" x14ac:dyDescent="0.25">
      <c r="B4" s="91" t="s">
        <v>11</v>
      </c>
      <c r="C4" s="92"/>
      <c r="D4" s="92"/>
      <c r="E4" s="92"/>
      <c r="F4" s="92"/>
      <c r="G4" s="92"/>
      <c r="H4" s="92"/>
      <c r="I4" s="92"/>
      <c r="J4" s="92"/>
      <c r="K4" s="92"/>
      <c r="L4" s="92"/>
      <c r="M4" s="92"/>
      <c r="O4" s="132"/>
    </row>
    <row r="5" spans="2:16" ht="17" thickBot="1" x14ac:dyDescent="0.25">
      <c r="B5" s="135" t="s">
        <v>12</v>
      </c>
      <c r="C5" s="135"/>
      <c r="D5" s="1"/>
      <c r="E5" s="1">
        <v>2</v>
      </c>
      <c r="F5" s="37" t="str">
        <f>IF(E5=1, "Conservative", "Management")</f>
        <v>Management</v>
      </c>
      <c r="K5" s="79"/>
      <c r="L5" s="80"/>
      <c r="M5" s="36">
        <v>1</v>
      </c>
      <c r="P5" s="11"/>
    </row>
    <row r="6" spans="2:16" ht="17" thickBot="1" x14ac:dyDescent="0.25">
      <c r="B6" s="135" t="s">
        <v>13</v>
      </c>
      <c r="C6" s="135"/>
      <c r="D6" s="1"/>
      <c r="E6" s="1" t="s">
        <v>76</v>
      </c>
      <c r="F6" s="36"/>
      <c r="K6" s="81" t="s">
        <v>123</v>
      </c>
      <c r="L6" s="82">
        <f ca="1">M319</f>
        <v>0.25405278081555882</v>
      </c>
      <c r="M6" s="36">
        <v>2</v>
      </c>
      <c r="P6" s="11"/>
    </row>
    <row r="7" spans="2:16" x14ac:dyDescent="0.2">
      <c r="B7" s="135" t="s">
        <v>154</v>
      </c>
      <c r="C7" s="135"/>
      <c r="D7" s="1"/>
      <c r="E7" s="1">
        <v>1</v>
      </c>
      <c r="F7" s="37" t="str">
        <f>IF(E7=1, "Cash", "PIK")</f>
        <v>Cash</v>
      </c>
      <c r="K7" s="99" t="s">
        <v>165</v>
      </c>
      <c r="L7" s="116" t="str">
        <f ca="1">J223</f>
        <v>OK</v>
      </c>
      <c r="M7" s="36"/>
      <c r="P7" s="11"/>
    </row>
    <row r="9" spans="2:16" ht="20" customHeight="1" x14ac:dyDescent="0.25">
      <c r="B9" s="83" t="s">
        <v>0</v>
      </c>
      <c r="C9" s="84"/>
      <c r="D9" s="84"/>
      <c r="E9" s="84"/>
      <c r="F9" s="84"/>
      <c r="G9" s="84"/>
      <c r="H9" s="84"/>
      <c r="I9" s="84"/>
      <c r="J9" s="84"/>
      <c r="K9" s="84"/>
      <c r="L9" s="84"/>
      <c r="M9" s="84"/>
    </row>
    <row r="11" spans="2:16" x14ac:dyDescent="0.2">
      <c r="B11" s="85" t="s">
        <v>1</v>
      </c>
      <c r="C11" s="86"/>
      <c r="D11" s="86"/>
      <c r="E11" s="86"/>
      <c r="F11" s="86"/>
      <c r="I11" s="163" t="s">
        <v>10</v>
      </c>
      <c r="J11" s="164"/>
      <c r="K11" s="164"/>
      <c r="L11" s="164"/>
      <c r="M11" s="164"/>
    </row>
    <row r="12" spans="2:16" x14ac:dyDescent="0.2">
      <c r="B12" s="135" t="s">
        <v>2</v>
      </c>
      <c r="C12" s="135"/>
      <c r="D12" s="1"/>
      <c r="E12" s="135" t="s">
        <v>15</v>
      </c>
      <c r="F12" s="135"/>
      <c r="I12" s="134" t="s">
        <v>17</v>
      </c>
      <c r="J12" s="134"/>
      <c r="K12" s="5"/>
      <c r="L12" s="154">
        <v>28</v>
      </c>
      <c r="M12" s="154"/>
    </row>
    <row r="13" spans="2:16" x14ac:dyDescent="0.2">
      <c r="B13" s="135" t="s">
        <v>3</v>
      </c>
      <c r="C13" s="135"/>
      <c r="D13" s="1"/>
      <c r="E13" s="135" t="s">
        <v>16</v>
      </c>
      <c r="F13" s="135"/>
      <c r="I13" s="160" t="s">
        <v>18</v>
      </c>
      <c r="J13" s="160"/>
      <c r="K13" s="4"/>
      <c r="L13" s="167">
        <f>(L12-E14)/E14</f>
        <v>0.59908623643632197</v>
      </c>
      <c r="M13" s="167"/>
    </row>
    <row r="14" spans="2:16" x14ac:dyDescent="0.2">
      <c r="B14" s="140" t="s">
        <v>28</v>
      </c>
      <c r="C14" s="140"/>
      <c r="D14" s="2"/>
      <c r="E14" s="154">
        <v>17.510000000000002</v>
      </c>
      <c r="F14" s="154"/>
      <c r="I14" s="134" t="s">
        <v>37</v>
      </c>
      <c r="J14" s="134"/>
      <c r="K14" s="5"/>
      <c r="L14" s="154">
        <f>L15*L12</f>
        <v>10092.32</v>
      </c>
      <c r="M14" s="135"/>
    </row>
    <row r="15" spans="2:16" x14ac:dyDescent="0.2">
      <c r="B15" s="135" t="s">
        <v>29</v>
      </c>
      <c r="C15" s="135"/>
      <c r="D15" s="1"/>
      <c r="E15" s="161">
        <v>44898</v>
      </c>
      <c r="F15" s="161"/>
      <c r="I15" s="135" t="s">
        <v>19</v>
      </c>
      <c r="J15" s="135"/>
      <c r="K15" s="1"/>
      <c r="L15" s="152">
        <v>360.44</v>
      </c>
      <c r="M15" s="152"/>
    </row>
    <row r="16" spans="2:16" x14ac:dyDescent="0.2">
      <c r="E16" s="135"/>
      <c r="F16" s="135"/>
      <c r="I16" s="135"/>
      <c r="J16" s="135"/>
      <c r="K16" s="1"/>
      <c r="L16" s="135"/>
      <c r="M16" s="135"/>
    </row>
    <row r="17" spans="2:14" x14ac:dyDescent="0.2">
      <c r="B17" s="27" t="s">
        <v>9</v>
      </c>
      <c r="C17" s="27"/>
      <c r="D17" s="27"/>
      <c r="E17" s="27"/>
      <c r="F17" s="27"/>
      <c r="I17" s="135" t="s">
        <v>38</v>
      </c>
      <c r="J17" s="135"/>
      <c r="K17" s="1"/>
      <c r="L17" s="158">
        <f>E19</f>
        <v>5626</v>
      </c>
      <c r="M17" s="135"/>
    </row>
    <row r="18" spans="2:14" x14ac:dyDescent="0.2">
      <c r="B18" s="135" t="s">
        <v>4</v>
      </c>
      <c r="C18" s="135"/>
      <c r="D18" s="1"/>
      <c r="E18" s="154">
        <v>1491</v>
      </c>
      <c r="F18" s="154"/>
      <c r="I18" s="135" t="s">
        <v>6</v>
      </c>
      <c r="J18" s="135"/>
      <c r="K18" s="1"/>
      <c r="L18" s="159">
        <f>E20</f>
        <v>380</v>
      </c>
      <c r="M18" s="135"/>
    </row>
    <row r="19" spans="2:14" x14ac:dyDescent="0.2">
      <c r="B19" s="135" t="s">
        <v>5</v>
      </c>
      <c r="C19" s="135"/>
      <c r="D19" s="1"/>
      <c r="E19" s="165">
        <v>5626</v>
      </c>
      <c r="F19" s="165"/>
      <c r="I19" s="135"/>
      <c r="J19" s="135"/>
      <c r="K19" s="1"/>
      <c r="L19" s="135"/>
      <c r="M19" s="135"/>
    </row>
    <row r="20" spans="2:14" x14ac:dyDescent="0.2">
      <c r="B20" s="135" t="s">
        <v>6</v>
      </c>
      <c r="C20" s="135"/>
      <c r="D20" s="1"/>
      <c r="E20" s="166">
        <v>380</v>
      </c>
      <c r="F20" s="159"/>
      <c r="I20" s="135" t="s">
        <v>39</v>
      </c>
      <c r="J20" s="135"/>
      <c r="K20" s="1"/>
      <c r="L20" s="154">
        <f>L14+L17-L18</f>
        <v>15338.32</v>
      </c>
      <c r="M20" s="135"/>
    </row>
    <row r="21" spans="2:14" x14ac:dyDescent="0.2">
      <c r="B21" s="135" t="s">
        <v>7</v>
      </c>
      <c r="C21" s="135"/>
      <c r="D21" s="1"/>
      <c r="E21" s="154">
        <v>100</v>
      </c>
      <c r="F21" s="154"/>
      <c r="I21" s="135" t="s">
        <v>4</v>
      </c>
      <c r="J21" s="135"/>
      <c r="K21" s="1"/>
      <c r="L21" s="154">
        <f>E18</f>
        <v>1491</v>
      </c>
      <c r="M21" s="135"/>
    </row>
    <row r="22" spans="2:14" x14ac:dyDescent="0.2">
      <c r="B22" s="135" t="s">
        <v>8</v>
      </c>
      <c r="C22" s="135"/>
      <c r="D22" s="1"/>
      <c r="E22" s="155">
        <f>L22</f>
        <v>10.287270288397048</v>
      </c>
      <c r="F22" s="135"/>
      <c r="I22" s="135" t="s">
        <v>40</v>
      </c>
      <c r="J22" s="135"/>
      <c r="K22" s="1"/>
      <c r="L22" s="155">
        <f>L20/L21</f>
        <v>10.287270288397048</v>
      </c>
      <c r="M22" s="155"/>
    </row>
    <row r="24" spans="2:14" s="6" customFormat="1" ht="20" customHeight="1" x14ac:dyDescent="0.3">
      <c r="B24" s="162" t="s">
        <v>20</v>
      </c>
      <c r="C24" s="162"/>
      <c r="D24" s="162"/>
      <c r="E24" s="162"/>
      <c r="F24" s="162"/>
      <c r="G24" s="162"/>
      <c r="H24" s="162"/>
      <c r="I24" s="162"/>
      <c r="J24" s="162"/>
      <c r="K24" s="162"/>
      <c r="L24" s="162"/>
      <c r="M24" s="162"/>
    </row>
    <row r="25" spans="2:14" x14ac:dyDescent="0.2">
      <c r="B25" s="135"/>
      <c r="C25" s="135"/>
      <c r="D25" s="1"/>
      <c r="G25" s="7" t="s">
        <v>27</v>
      </c>
      <c r="H25" s="7" t="s">
        <v>21</v>
      </c>
      <c r="I25" s="7" t="s">
        <v>24</v>
      </c>
      <c r="J25" s="7" t="s">
        <v>25</v>
      </c>
      <c r="K25" s="7" t="s">
        <v>22</v>
      </c>
      <c r="L25" s="7" t="s">
        <v>26</v>
      </c>
      <c r="M25" s="7" t="s">
        <v>23</v>
      </c>
    </row>
    <row r="26" spans="2:14" x14ac:dyDescent="0.2">
      <c r="B26" s="135" t="s">
        <v>30</v>
      </c>
      <c r="C26" s="135"/>
      <c r="D26" s="1"/>
      <c r="G26" s="8">
        <v>5350</v>
      </c>
      <c r="H26" s="42">
        <f>G26/$E$18</f>
        <v>3.5881958417169684</v>
      </c>
      <c r="I26" s="11">
        <f>((P5+0.05)/94)*100</f>
        <v>5.3191489361702128E-2</v>
      </c>
      <c r="J26" s="11">
        <v>5.3199999999999997E-2</v>
      </c>
      <c r="K26">
        <v>335</v>
      </c>
      <c r="L26">
        <v>7</v>
      </c>
      <c r="M26">
        <v>7</v>
      </c>
    </row>
    <row r="27" spans="2:14" x14ac:dyDescent="0.2">
      <c r="B27" s="135" t="s">
        <v>31</v>
      </c>
      <c r="C27" s="135"/>
      <c r="D27" s="1"/>
      <c r="G27" s="8">
        <v>500</v>
      </c>
      <c r="H27" s="42">
        <f t="shared" ref="H27:H31" si="0">G27/$E$18</f>
        <v>0.33534540576794097</v>
      </c>
      <c r="I27" s="11">
        <f>P6+0.05</f>
        <v>0.05</v>
      </c>
      <c r="J27" s="11">
        <f>Q6+0.05</f>
        <v>0.05</v>
      </c>
      <c r="K27">
        <v>34</v>
      </c>
      <c r="L27">
        <v>7</v>
      </c>
      <c r="M27">
        <v>6</v>
      </c>
    </row>
    <row r="28" spans="2:14" x14ac:dyDescent="0.2">
      <c r="B28" s="135" t="s">
        <v>32</v>
      </c>
      <c r="C28" s="135"/>
      <c r="D28" s="1"/>
      <c r="G28" s="8">
        <v>2500</v>
      </c>
      <c r="H28" s="42">
        <f t="shared" si="0"/>
        <v>1.6767270288397049</v>
      </c>
      <c r="I28" s="11">
        <f>P5+0.05</f>
        <v>0.05</v>
      </c>
      <c r="J28" s="11">
        <f>Q5+0.05</f>
        <v>0.05</v>
      </c>
      <c r="K28">
        <v>50</v>
      </c>
      <c r="L28">
        <v>7.5</v>
      </c>
      <c r="M28">
        <v>0</v>
      </c>
    </row>
    <row r="29" spans="2:14" x14ac:dyDescent="0.2">
      <c r="B29" s="135" t="s">
        <v>33</v>
      </c>
      <c r="C29" s="135"/>
      <c r="D29" s="1"/>
      <c r="G29" s="8">
        <v>2150</v>
      </c>
      <c r="H29" s="42">
        <f t="shared" si="0"/>
        <v>1.4419852448021462</v>
      </c>
      <c r="I29" s="11">
        <f>P5+0.065</f>
        <v>6.5000000000000002E-2</v>
      </c>
      <c r="J29" s="11">
        <f>Q5+0.065</f>
        <v>6.5000000000000002E-2</v>
      </c>
      <c r="K29">
        <v>27</v>
      </c>
      <c r="L29">
        <v>8</v>
      </c>
      <c r="M29">
        <v>1</v>
      </c>
    </row>
    <row r="30" spans="2:14" x14ac:dyDescent="0.2">
      <c r="B30" s="135" t="s">
        <v>34</v>
      </c>
      <c r="C30" s="135"/>
      <c r="D30" s="1"/>
      <c r="G30" s="8">
        <v>650</v>
      </c>
      <c r="H30" s="42">
        <f t="shared" si="0"/>
        <v>0.43594902749832326</v>
      </c>
      <c r="I30" s="11">
        <f>P5+0.02</f>
        <v>0.02</v>
      </c>
      <c r="J30" s="11">
        <f>Q5+0.02</f>
        <v>0.02</v>
      </c>
      <c r="K30">
        <v>4</v>
      </c>
      <c r="L30">
        <v>7</v>
      </c>
      <c r="M30">
        <v>0</v>
      </c>
      <c r="N30" s="113" t="s">
        <v>154</v>
      </c>
    </row>
    <row r="31" spans="2:14" x14ac:dyDescent="0.2">
      <c r="B31" s="135" t="s">
        <v>35</v>
      </c>
      <c r="C31" s="135"/>
      <c r="D31" s="1"/>
      <c r="G31" s="8">
        <v>2000</v>
      </c>
      <c r="H31" s="42">
        <f t="shared" si="0"/>
        <v>1.3413816230717639</v>
      </c>
      <c r="I31" s="12">
        <v>0.14000000000000001</v>
      </c>
      <c r="J31" s="12">
        <v>0.14000000000000001</v>
      </c>
      <c r="K31">
        <v>40</v>
      </c>
      <c r="L31">
        <v>8</v>
      </c>
      <c r="M31">
        <v>0</v>
      </c>
      <c r="N31" s="114">
        <v>0.05</v>
      </c>
    </row>
    <row r="32" spans="2:14" x14ac:dyDescent="0.2">
      <c r="B32" s="156" t="s">
        <v>172</v>
      </c>
      <c r="C32" s="156"/>
      <c r="D32" s="1"/>
      <c r="G32" s="8">
        <v>0</v>
      </c>
      <c r="H32" s="42">
        <f t="shared" ref="H32" si="1">G32/$E$18</f>
        <v>0</v>
      </c>
      <c r="I32" s="12">
        <v>0.1</v>
      </c>
      <c r="J32" s="12">
        <v>0</v>
      </c>
      <c r="K32">
        <v>0</v>
      </c>
      <c r="L32">
        <v>5</v>
      </c>
      <c r="M32">
        <v>0</v>
      </c>
      <c r="N32" s="114"/>
    </row>
    <row r="33" spans="2:13" x14ac:dyDescent="0.2">
      <c r="B33" s="157" t="s">
        <v>36</v>
      </c>
      <c r="C33" s="157"/>
      <c r="D33" s="13"/>
      <c r="E33" s="14"/>
      <c r="F33" s="19"/>
      <c r="G33" s="15">
        <f>SUM(G26:G32)</f>
        <v>13150</v>
      </c>
      <c r="H33" s="43">
        <f>SUM(H26:H31)</f>
        <v>8.8195841716968477</v>
      </c>
      <c r="I33" s="14"/>
      <c r="J33" s="14"/>
      <c r="K33" s="14">
        <f>SUM(K26:K31)</f>
        <v>490</v>
      </c>
      <c r="L33" s="14"/>
      <c r="M33" s="14">
        <f>SUM(M26:M31)</f>
        <v>14</v>
      </c>
    </row>
    <row r="34" spans="2:13" x14ac:dyDescent="0.2">
      <c r="B34" t="s">
        <v>108</v>
      </c>
    </row>
    <row r="35" spans="2:13" ht="22" x14ac:dyDescent="0.3">
      <c r="B35" s="87" t="s">
        <v>41</v>
      </c>
      <c r="C35" s="87"/>
      <c r="D35" s="87"/>
      <c r="E35" s="87"/>
      <c r="F35" s="87"/>
      <c r="G35" s="87"/>
      <c r="H35" s="87"/>
      <c r="I35" s="87"/>
      <c r="J35" s="87"/>
      <c r="K35" s="87"/>
      <c r="L35" s="87"/>
      <c r="M35" s="87"/>
    </row>
    <row r="37" spans="2:13" x14ac:dyDescent="0.2">
      <c r="B37" s="27" t="s">
        <v>71</v>
      </c>
      <c r="C37" s="27"/>
      <c r="D37" s="27"/>
      <c r="E37" s="27"/>
      <c r="F37" s="27"/>
      <c r="G37" s="18"/>
      <c r="I37" s="27" t="s">
        <v>42</v>
      </c>
      <c r="J37" s="27"/>
      <c r="K37" s="27"/>
      <c r="L37" s="27"/>
      <c r="M37" s="27"/>
    </row>
    <row r="38" spans="2:13" x14ac:dyDescent="0.2">
      <c r="B38" s="153"/>
      <c r="C38" s="153"/>
      <c r="D38" s="17" t="s">
        <v>27</v>
      </c>
      <c r="E38" s="17" t="s">
        <v>21</v>
      </c>
      <c r="F38" s="17" t="s">
        <v>44</v>
      </c>
      <c r="I38" s="16"/>
      <c r="J38" s="16"/>
      <c r="K38" s="17" t="s">
        <v>27</v>
      </c>
      <c r="L38" s="17" t="s">
        <v>21</v>
      </c>
      <c r="M38" s="17" t="s">
        <v>44</v>
      </c>
    </row>
    <row r="39" spans="2:13" x14ac:dyDescent="0.2">
      <c r="B39" s="135" t="str">
        <f>B26</f>
        <v>First Lien Term Loan -USD Tranche</v>
      </c>
      <c r="C39" s="135"/>
      <c r="D39" s="20">
        <f>G26</f>
        <v>5350</v>
      </c>
      <c r="E39" s="42">
        <f>D39/$E$18</f>
        <v>3.5881958417169684</v>
      </c>
      <c r="F39" s="11">
        <f t="shared" ref="F39:F46" si="2">D39/$D$48</f>
        <v>0.30092832168618855</v>
      </c>
      <c r="I39" s="135" t="s">
        <v>45</v>
      </c>
      <c r="J39" s="135"/>
      <c r="K39" s="21">
        <f>L14</f>
        <v>10092.32</v>
      </c>
      <c r="L39" s="42">
        <f>K39/$E$18</f>
        <v>6.7688262910798116</v>
      </c>
      <c r="M39" s="11">
        <f>K39/$D$48</f>
        <v>0.56767568589158035</v>
      </c>
    </row>
    <row r="40" spans="2:13" x14ac:dyDescent="0.2">
      <c r="B40" s="135" t="str">
        <f>B27</f>
        <v>First Lien Term Loan -EUR Tranche</v>
      </c>
      <c r="C40" s="135"/>
      <c r="D40" s="20">
        <f>G27</f>
        <v>500</v>
      </c>
      <c r="E40" s="42">
        <f t="shared" ref="E40:E45" si="3">D40/$E$18</f>
        <v>0.33534540576794097</v>
      </c>
      <c r="F40" s="11">
        <f t="shared" si="2"/>
        <v>2.8124142213662485E-2</v>
      </c>
      <c r="I40" s="135" t="s">
        <v>46</v>
      </c>
      <c r="J40" s="135"/>
      <c r="K40" s="22">
        <f>E19</f>
        <v>5626</v>
      </c>
      <c r="L40" s="42">
        <f t="shared" ref="L40:L42" si="4">K40/$E$18</f>
        <v>3.7733065057008721</v>
      </c>
      <c r="M40" s="11">
        <f>K40/$D$48</f>
        <v>0.31645284818813024</v>
      </c>
    </row>
    <row r="41" spans="2:13" x14ac:dyDescent="0.2">
      <c r="B41" s="135" t="str">
        <f>B28</f>
        <v>Senior Secured Notes</v>
      </c>
      <c r="C41" s="135"/>
      <c r="D41" s="20">
        <f>G28</f>
        <v>2500</v>
      </c>
      <c r="E41" s="42">
        <f t="shared" si="3"/>
        <v>1.6767270288397049</v>
      </c>
      <c r="F41" s="11">
        <f t="shared" si="2"/>
        <v>0.14062071106831242</v>
      </c>
      <c r="I41" s="135" t="s">
        <v>47</v>
      </c>
      <c r="J41" s="135"/>
      <c r="K41" s="24">
        <v>320</v>
      </c>
      <c r="L41" s="42">
        <f t="shared" si="4"/>
        <v>0.21462105969148224</v>
      </c>
      <c r="M41" s="11">
        <f>K41/$D$48</f>
        <v>1.7999451016743991E-2</v>
      </c>
    </row>
    <row r="42" spans="2:13" x14ac:dyDescent="0.2">
      <c r="B42" s="135" t="str">
        <f>B29</f>
        <v>Second Lien Term Loan</v>
      </c>
      <c r="C42" s="135"/>
      <c r="D42" s="20">
        <f>G29</f>
        <v>2150</v>
      </c>
      <c r="E42" s="42">
        <f t="shared" si="3"/>
        <v>1.4419852448021462</v>
      </c>
      <c r="F42" s="11">
        <f t="shared" si="2"/>
        <v>0.12093381151874869</v>
      </c>
      <c r="I42" s="135" t="s">
        <v>49</v>
      </c>
      <c r="J42" s="135"/>
      <c r="K42" s="24">
        <f>K33</f>
        <v>490</v>
      </c>
      <c r="L42" s="42">
        <f t="shared" si="4"/>
        <v>0.32863849765258218</v>
      </c>
      <c r="M42" s="11">
        <f>K42/$D$48</f>
        <v>2.7561659369389233E-2</v>
      </c>
    </row>
    <row r="43" spans="2:13" x14ac:dyDescent="0.2">
      <c r="B43" s="135" t="str">
        <f>B30</f>
        <v>Revolving Credit Facility</v>
      </c>
      <c r="C43" s="135"/>
      <c r="D43" s="20">
        <f>G30</f>
        <v>650</v>
      </c>
      <c r="E43" s="42">
        <f>D43/$E$18</f>
        <v>0.43594902749832326</v>
      </c>
      <c r="F43" s="11">
        <f t="shared" si="2"/>
        <v>3.6561384877761227E-2</v>
      </c>
      <c r="I43" s="135" t="s">
        <v>48</v>
      </c>
      <c r="J43" s="135"/>
      <c r="K43" s="24">
        <v>1250</v>
      </c>
      <c r="L43" s="42">
        <f>K43/$E$18</f>
        <v>0.83836351441985246</v>
      </c>
      <c r="M43" s="11">
        <f>K43/$D$48</f>
        <v>7.031035553415621E-2</v>
      </c>
    </row>
    <row r="44" spans="2:13" x14ac:dyDescent="0.2">
      <c r="B44" s="135" t="str">
        <f t="shared" ref="B44" si="5">B31</f>
        <v>Unsecured Debt</v>
      </c>
      <c r="C44" s="135"/>
      <c r="D44" s="20">
        <f t="shared" ref="D44" si="6">G31</f>
        <v>2000</v>
      </c>
      <c r="E44" s="42">
        <f t="shared" si="3"/>
        <v>1.3413816230717639</v>
      </c>
      <c r="F44" s="11">
        <f t="shared" si="2"/>
        <v>0.11249656885464994</v>
      </c>
      <c r="I44" s="135"/>
      <c r="J44" s="135"/>
    </row>
    <row r="45" spans="2:13" x14ac:dyDescent="0.2">
      <c r="B45" s="135" t="s">
        <v>43</v>
      </c>
      <c r="C45" s="135"/>
      <c r="D45" s="10">
        <f>K48-(SUM(D39:D44)-D46)</f>
        <v>4628.32</v>
      </c>
      <c r="E45" s="42">
        <f t="shared" si="3"/>
        <v>3.1041716968477528</v>
      </c>
      <c r="F45" s="11">
        <f t="shared" si="2"/>
        <v>0.26033505978067667</v>
      </c>
    </row>
    <row r="46" spans="2:13" x14ac:dyDescent="0.2">
      <c r="B46" s="135" t="s">
        <v>172</v>
      </c>
      <c r="C46" s="135"/>
      <c r="D46" s="10">
        <f>G32</f>
        <v>0</v>
      </c>
      <c r="E46" s="42">
        <f t="shared" ref="E46" si="7">D46/$E$18</f>
        <v>0</v>
      </c>
      <c r="F46" s="11">
        <f t="shared" si="2"/>
        <v>0</v>
      </c>
    </row>
    <row r="47" spans="2:13" x14ac:dyDescent="0.2">
      <c r="D47" s="8"/>
      <c r="F47" s="25"/>
    </row>
    <row r="48" spans="2:13" x14ac:dyDescent="0.2">
      <c r="B48" s="157" t="s">
        <v>50</v>
      </c>
      <c r="C48" s="157"/>
      <c r="D48" s="26">
        <f>SUM(D39:D47)</f>
        <v>17778.32</v>
      </c>
      <c r="E48" s="43">
        <f>SUM(E39:E47)</f>
        <v>11.9237558685446</v>
      </c>
      <c r="F48" s="44">
        <f>SUM(F39:F45)</f>
        <v>1</v>
      </c>
      <c r="G48" s="31"/>
      <c r="H48" s="31"/>
      <c r="I48" s="157" t="s">
        <v>50</v>
      </c>
      <c r="J48" s="157"/>
      <c r="K48" s="26">
        <f>SUM(K39:K47)</f>
        <v>17778.32</v>
      </c>
      <c r="L48" s="43">
        <f>SUM(L39:L43)</f>
        <v>11.923755868544601</v>
      </c>
      <c r="M48" s="44">
        <f>SUM(M39:M43)</f>
        <v>1</v>
      </c>
    </row>
    <row r="50" spans="2:15" ht="22" x14ac:dyDescent="0.3">
      <c r="B50" s="87" t="s">
        <v>51</v>
      </c>
      <c r="C50" s="87"/>
      <c r="D50" s="87"/>
      <c r="E50" s="87"/>
      <c r="F50" s="87"/>
      <c r="G50" s="87"/>
      <c r="H50" s="87"/>
      <c r="I50" s="87"/>
      <c r="J50" s="87"/>
      <c r="K50" s="87"/>
      <c r="L50" s="87"/>
      <c r="M50" s="87"/>
    </row>
    <row r="52" spans="2:15" x14ac:dyDescent="0.2">
      <c r="B52" s="27" t="s">
        <v>0</v>
      </c>
      <c r="C52" s="27"/>
      <c r="D52" s="27"/>
      <c r="E52" s="27"/>
      <c r="F52" s="27"/>
      <c r="G52" s="27">
        <v>2019</v>
      </c>
      <c r="H52" s="27">
        <v>2020</v>
      </c>
      <c r="I52" s="27">
        <v>2021</v>
      </c>
      <c r="J52" s="28" t="s">
        <v>72</v>
      </c>
      <c r="K52" s="28" t="s">
        <v>53</v>
      </c>
      <c r="L52" s="28" t="s">
        <v>54</v>
      </c>
      <c r="M52" s="28" t="s">
        <v>55</v>
      </c>
      <c r="O52" s="9" t="s">
        <v>74</v>
      </c>
    </row>
    <row r="54" spans="2:15" x14ac:dyDescent="0.2">
      <c r="B54" s="39" t="s">
        <v>68</v>
      </c>
      <c r="C54" s="39"/>
      <c r="D54" s="39"/>
      <c r="E54" s="40"/>
      <c r="F54" s="40"/>
      <c r="G54" s="40">
        <v>0</v>
      </c>
      <c r="H54" s="40">
        <f>H61/G61-1</f>
        <v>-2.3249055507119976E-2</v>
      </c>
      <c r="I54" s="40">
        <f t="shared" ref="I54:M54" si="8">I61/H61-1</f>
        <v>4.1356739065754322E-2</v>
      </c>
      <c r="J54" s="40">
        <f t="shared" si="8"/>
        <v>5.0285714285714267E-2</v>
      </c>
      <c r="K54" s="40">
        <f>K61/J61-1</f>
        <v>7.0729053318824731E-2</v>
      </c>
      <c r="L54" s="40">
        <f t="shared" si="8"/>
        <v>7.3678861788617933E-2</v>
      </c>
      <c r="M54" s="40">
        <f t="shared" si="8"/>
        <v>6.5546616185518269E-2</v>
      </c>
      <c r="O54" s="40">
        <v>0</v>
      </c>
    </row>
    <row r="55" spans="2:15" x14ac:dyDescent="0.2">
      <c r="B55" s="39" t="s">
        <v>69</v>
      </c>
      <c r="C55" s="39"/>
      <c r="D55" s="40"/>
      <c r="E55" s="40"/>
      <c r="F55" s="40"/>
      <c r="G55" s="40">
        <f>G67/G61</f>
        <v>0.6538796861377506</v>
      </c>
      <c r="H55" s="40">
        <f t="shared" ref="H55:I55" si="9">H67/H61</f>
        <v>0.6325498363582267</v>
      </c>
      <c r="I55" s="40">
        <f t="shared" si="9"/>
        <v>0.65371428571428569</v>
      </c>
      <c r="J55" s="40">
        <f>I55+$O$55</f>
        <v>0.66391428571428568</v>
      </c>
      <c r="K55" s="40">
        <f t="shared" ref="K55:M55" si="10">J55+$O$55</f>
        <v>0.67411428571428567</v>
      </c>
      <c r="L55" s="40">
        <f t="shared" si="10"/>
        <v>0.68431428571428565</v>
      </c>
      <c r="M55" s="40">
        <f t="shared" si="10"/>
        <v>0.69451428571428564</v>
      </c>
      <c r="O55" s="40">
        <v>1.0200000000000001E-2</v>
      </c>
    </row>
    <row r="56" spans="2:15" x14ac:dyDescent="0.2">
      <c r="B56" s="39" t="s">
        <v>73</v>
      </c>
      <c r="C56" s="39"/>
      <c r="D56" s="40"/>
      <c r="E56" s="40"/>
      <c r="F56" s="40"/>
      <c r="G56" s="40">
        <f>G70/G61</f>
        <v>0.40104620749782038</v>
      </c>
      <c r="H56" s="40">
        <f t="shared" ref="H56:I56" si="11">H70/H61</f>
        <v>0.43052662897947042</v>
      </c>
      <c r="I56" s="40">
        <f t="shared" si="11"/>
        <v>0.40457142857142858</v>
      </c>
      <c r="J56" s="40">
        <f>I56-$O$56</f>
        <v>0.3832714285714286</v>
      </c>
      <c r="K56" s="40">
        <f t="shared" ref="K56:M56" si="12">J56-$O$56</f>
        <v>0.36197142857142861</v>
      </c>
      <c r="L56" s="40">
        <f t="shared" si="12"/>
        <v>0.34067142857142862</v>
      </c>
      <c r="M56" s="40">
        <f t="shared" si="12"/>
        <v>0.31937142857142864</v>
      </c>
      <c r="O56" s="40">
        <v>2.1299999999999999E-2</v>
      </c>
    </row>
    <row r="57" spans="2:15" x14ac:dyDescent="0.2">
      <c r="B57" s="39" t="s">
        <v>70</v>
      </c>
      <c r="C57" s="39"/>
      <c r="D57" s="40"/>
      <c r="E57" s="40"/>
      <c r="F57" s="40"/>
      <c r="G57" s="40">
        <v>0</v>
      </c>
      <c r="H57" s="40">
        <f>H88/H85</f>
        <v>0.41142857142857142</v>
      </c>
      <c r="I57" s="40">
        <v>0</v>
      </c>
      <c r="J57" s="40">
        <f>H57</f>
        <v>0.41142857142857142</v>
      </c>
      <c r="K57" s="40">
        <f>J57-$O$57</f>
        <v>0.40022857142857143</v>
      </c>
      <c r="L57" s="40">
        <f t="shared" ref="L57:M57" si="13">K57-$O$57</f>
        <v>0.38902857142857145</v>
      </c>
      <c r="M57" s="40">
        <f t="shared" si="13"/>
        <v>0.37782857142857146</v>
      </c>
      <c r="O57" s="40">
        <v>1.12E-2</v>
      </c>
    </row>
    <row r="59" spans="2:15" x14ac:dyDescent="0.2">
      <c r="B59" s="27" t="s">
        <v>52</v>
      </c>
      <c r="C59" s="27"/>
      <c r="D59" s="27"/>
      <c r="E59" s="27"/>
      <c r="F59" s="27"/>
      <c r="G59" s="27">
        <v>2019</v>
      </c>
      <c r="H59" s="27">
        <v>2020</v>
      </c>
      <c r="I59" s="27">
        <v>2021</v>
      </c>
      <c r="J59" s="28" t="s">
        <v>72</v>
      </c>
      <c r="K59" s="28" t="s">
        <v>53</v>
      </c>
      <c r="L59" s="28" t="s">
        <v>54</v>
      </c>
      <c r="M59" s="28" t="s">
        <v>55</v>
      </c>
    </row>
    <row r="61" spans="2:15" x14ac:dyDescent="0.2">
      <c r="B61" t="s">
        <v>56</v>
      </c>
      <c r="D61" s="23"/>
      <c r="E61" s="23"/>
      <c r="F61" s="23"/>
      <c r="G61" s="33">
        <v>3441</v>
      </c>
      <c r="H61" s="33">
        <v>3361</v>
      </c>
      <c r="I61" s="33">
        <v>3500</v>
      </c>
      <c r="J61" s="23">
        <v>3676</v>
      </c>
      <c r="K61" s="23">
        <v>3936</v>
      </c>
      <c r="L61" s="23">
        <v>4226</v>
      </c>
      <c r="M61" s="23">
        <v>4503</v>
      </c>
    </row>
    <row r="62" spans="2:15" x14ac:dyDescent="0.2">
      <c r="B62" s="34" t="s">
        <v>57</v>
      </c>
      <c r="E62" s="30"/>
      <c r="F62" s="30"/>
      <c r="H62" s="30">
        <f>H54</f>
        <v>-2.3249055507119976E-2</v>
      </c>
      <c r="I62" s="30">
        <f>I54</f>
        <v>4.1356739065754322E-2</v>
      </c>
      <c r="J62" s="30">
        <f t="shared" ref="J62:M62" si="14">J54</f>
        <v>5.0285714285714267E-2</v>
      </c>
      <c r="K62" s="30">
        <f>K54</f>
        <v>7.0729053318824731E-2</v>
      </c>
      <c r="L62" s="30">
        <f t="shared" si="14"/>
        <v>7.3678861788617933E-2</v>
      </c>
      <c r="M62" s="30">
        <f t="shared" si="14"/>
        <v>6.5546616185518269E-2</v>
      </c>
    </row>
    <row r="63" spans="2:15" x14ac:dyDescent="0.2">
      <c r="L63" s="23"/>
    </row>
    <row r="64" spans="2:15" x14ac:dyDescent="0.2">
      <c r="B64" t="s">
        <v>58</v>
      </c>
      <c r="D64" s="23"/>
      <c r="E64" s="23"/>
      <c r="F64" s="23"/>
      <c r="G64" s="33">
        <v>1191</v>
      </c>
      <c r="H64" s="33">
        <v>1235</v>
      </c>
      <c r="I64" s="33">
        <v>1212</v>
      </c>
      <c r="J64" s="23" t="str">
        <f>IF(CASE=2, "--", J61-J67)</f>
        <v>--</v>
      </c>
      <c r="K64" s="23" t="str">
        <f>IF(CASE=2, "--", K61-K67)</f>
        <v>--</v>
      </c>
      <c r="L64" s="23" t="str">
        <f>IF(CASE=2, "--", L61-L67)</f>
        <v>--</v>
      </c>
      <c r="M64" s="23" t="str">
        <f>IF(CASE=2, "--", M61-M67)</f>
        <v>--</v>
      </c>
    </row>
    <row r="65" spans="2:13" x14ac:dyDescent="0.2">
      <c r="B65" s="34" t="s">
        <v>59</v>
      </c>
      <c r="D65" s="30"/>
      <c r="E65" s="30"/>
      <c r="F65" s="30"/>
      <c r="G65" s="30">
        <f>G64/G$61</f>
        <v>0.34612031386224934</v>
      </c>
      <c r="H65" s="30">
        <f>H64/H61</f>
        <v>0.3674501636417733</v>
      </c>
      <c r="I65" s="30">
        <f t="shared" ref="I65" si="15">I64/I61</f>
        <v>0.34628571428571431</v>
      </c>
      <c r="J65" s="30" t="str">
        <f>IF(CASE=2, "--", J64/J61)</f>
        <v>--</v>
      </c>
      <c r="K65" s="30" t="str">
        <f>IF(CASE=2, "--", K64/K61)</f>
        <v>--</v>
      </c>
      <c r="L65" s="30" t="str">
        <f>IF(CASE=2, "--", L64/L61)</f>
        <v>--</v>
      </c>
      <c r="M65" s="30" t="str">
        <f>IF(CASE=2, "--", M64/M61)</f>
        <v>--</v>
      </c>
    </row>
    <row r="67" spans="2:13" x14ac:dyDescent="0.2">
      <c r="B67" t="s">
        <v>61</v>
      </c>
      <c r="D67" s="23"/>
      <c r="E67" s="23"/>
      <c r="F67" s="23"/>
      <c r="G67" s="23">
        <f>G61-G64</f>
        <v>2250</v>
      </c>
      <c r="H67" s="23">
        <f>H61-H64</f>
        <v>2126</v>
      </c>
      <c r="I67" s="23">
        <f>I61-I64</f>
        <v>2288</v>
      </c>
      <c r="J67" s="23" t="str">
        <f>IF(CASE=2, "--", J61*J55)</f>
        <v>--</v>
      </c>
      <c r="K67" s="23" t="str">
        <f>IF(CASE=2, "--", K61*K55)</f>
        <v>--</v>
      </c>
      <c r="L67" s="23" t="str">
        <f>IF(CASE=2, "--", L61*L55)</f>
        <v>--</v>
      </c>
      <c r="M67" s="23" t="str">
        <f>IF(CASE=2, "--", M61*M55)</f>
        <v>--</v>
      </c>
    </row>
    <row r="68" spans="2:13" x14ac:dyDescent="0.2">
      <c r="B68" s="34" t="s">
        <v>59</v>
      </c>
      <c r="D68" s="30"/>
      <c r="E68" s="30"/>
      <c r="F68" s="30"/>
      <c r="G68" s="30">
        <f>G55</f>
        <v>0.6538796861377506</v>
      </c>
      <c r="H68" s="30">
        <f t="shared" ref="H68:I68" si="16">H55</f>
        <v>0.6325498363582267</v>
      </c>
      <c r="I68" s="30">
        <f t="shared" si="16"/>
        <v>0.65371428571428569</v>
      </c>
      <c r="J68" s="30" t="str">
        <f>IF(CASE=2, "--", J55)</f>
        <v>--</v>
      </c>
      <c r="K68" s="30" t="str">
        <f>IF(CASE=2, "--", K55)</f>
        <v>--</v>
      </c>
      <c r="L68" s="30" t="str">
        <f>IF(CASE=2, "--", L55)</f>
        <v>--</v>
      </c>
      <c r="M68" s="30" t="str">
        <f>IF(CASE=2, "--", M55)</f>
        <v>--</v>
      </c>
    </row>
    <row r="70" spans="2:13" x14ac:dyDescent="0.2">
      <c r="B70" t="s">
        <v>60</v>
      </c>
      <c r="D70" s="23"/>
      <c r="E70" s="23"/>
      <c r="F70" s="23"/>
      <c r="G70" s="33">
        <v>1380</v>
      </c>
      <c r="H70" s="33">
        <v>1447</v>
      </c>
      <c r="I70" s="33">
        <v>1416</v>
      </c>
      <c r="J70" s="23" t="str">
        <f>IF(CASE=2, "--", J61*J56)</f>
        <v>--</v>
      </c>
      <c r="K70" s="23" t="str">
        <f>IF(CASE=2, "--", K61*K56)</f>
        <v>--</v>
      </c>
      <c r="L70" s="23" t="str">
        <f>IF(CASE=2, "--", L61*L56)</f>
        <v>--</v>
      </c>
      <c r="M70" s="23" t="str">
        <f>IF(CASE=2, "--", M61*M56)</f>
        <v>--</v>
      </c>
    </row>
    <row r="71" spans="2:13" x14ac:dyDescent="0.2">
      <c r="B71" s="35" t="s">
        <v>59</v>
      </c>
      <c r="D71" s="30"/>
      <c r="E71" s="30"/>
      <c r="F71" s="30"/>
      <c r="G71" s="30">
        <f>G56</f>
        <v>0.40104620749782038</v>
      </c>
      <c r="H71" s="30">
        <f t="shared" ref="H71:I71" si="17">H56</f>
        <v>0.43052662897947042</v>
      </c>
      <c r="I71" s="30">
        <f t="shared" si="17"/>
        <v>0.40457142857142858</v>
      </c>
      <c r="J71" s="30" t="str">
        <f>IF(CASE=2, "--", J56)</f>
        <v>--</v>
      </c>
      <c r="K71" s="30" t="str">
        <f>IF(CASE=2, "--", K56)</f>
        <v>--</v>
      </c>
      <c r="L71" s="30" t="str">
        <f>IF(CASE=2, "--", L56)</f>
        <v>--</v>
      </c>
      <c r="M71" s="30" t="str">
        <f>IF(CASE=2, "--", M56)</f>
        <v>--</v>
      </c>
    </row>
    <row r="72" spans="2:13" ht="17" thickBot="1" x14ac:dyDescent="0.25">
      <c r="B72" s="35"/>
      <c r="D72" s="30"/>
      <c r="E72" s="30"/>
      <c r="F72" s="30"/>
      <c r="G72" s="30"/>
      <c r="H72" s="30"/>
      <c r="I72" s="30"/>
      <c r="J72" s="38"/>
      <c r="K72" s="30"/>
      <c r="L72" s="30"/>
      <c r="M72" s="30"/>
    </row>
    <row r="73" spans="2:13" x14ac:dyDescent="0.2">
      <c r="B73" s="71" t="s">
        <v>62</v>
      </c>
      <c r="C73" s="49"/>
      <c r="D73" s="72"/>
      <c r="E73" s="72"/>
      <c r="F73" s="72"/>
      <c r="G73" s="73">
        <f>G67-G70</f>
        <v>870</v>
      </c>
      <c r="H73" s="73">
        <f t="shared" ref="H73:I73" si="18">H67-H70</f>
        <v>679</v>
      </c>
      <c r="I73" s="73">
        <f t="shared" si="18"/>
        <v>872</v>
      </c>
      <c r="J73" s="74">
        <f>CHOOSE(CASE, J79,J76)</f>
        <v>1099.6491428571428</v>
      </c>
      <c r="K73" s="74">
        <f>CHOOSE(CASE, K79,K76)</f>
        <v>1334.8662857142856</v>
      </c>
      <c r="L73" s="74">
        <f>CHOOSE(CASE, L79,L76)</f>
        <v>1538.8677142857143</v>
      </c>
      <c r="M73" s="75">
        <f>CHOOSE(CASE, M79,M76)</f>
        <v>1689.2682857142859</v>
      </c>
    </row>
    <row r="74" spans="2:13" ht="17" thickBot="1" x14ac:dyDescent="0.25">
      <c r="B74" s="76" t="s">
        <v>59</v>
      </c>
      <c r="C74" s="54"/>
      <c r="D74" s="55"/>
      <c r="E74" s="55"/>
      <c r="F74" s="55"/>
      <c r="G74" s="55">
        <f>G73/G61</f>
        <v>0.25283347863993028</v>
      </c>
      <c r="H74" s="55">
        <f t="shared" ref="H74:I74" si="19">H73/H61</f>
        <v>0.20202320737875631</v>
      </c>
      <c r="I74" s="55">
        <f t="shared" si="19"/>
        <v>0.24914285714285714</v>
      </c>
      <c r="J74" s="55">
        <f t="shared" ref="J74" si="20">J73/J61</f>
        <v>0.29914285714285715</v>
      </c>
      <c r="K74" s="55">
        <f t="shared" ref="K74" si="21">K73/K61</f>
        <v>0.33914285714285713</v>
      </c>
      <c r="L74" s="55">
        <f t="shared" ref="L74" si="22">L73/L61</f>
        <v>0.36414285714285716</v>
      </c>
      <c r="M74" s="66">
        <f t="shared" ref="M74" si="23">M73/M61</f>
        <v>0.37514285714285717</v>
      </c>
    </row>
    <row r="76" spans="2:13" x14ac:dyDescent="0.2">
      <c r="B76" t="s">
        <v>75</v>
      </c>
      <c r="D76" s="23"/>
      <c r="E76" s="23"/>
      <c r="F76" s="23"/>
      <c r="G76" s="23">
        <f>G67-G70</f>
        <v>870</v>
      </c>
      <c r="H76" s="23">
        <f>H67-H70</f>
        <v>679</v>
      </c>
      <c r="I76" s="23">
        <f>I67-I70</f>
        <v>872</v>
      </c>
      <c r="J76" s="23">
        <f>J77*J61</f>
        <v>1099.6491428571428</v>
      </c>
      <c r="K76" s="23">
        <f>K77*K61</f>
        <v>1334.8662857142856</v>
      </c>
      <c r="L76" s="23">
        <f>L77*L61</f>
        <v>1538.8677142857143</v>
      </c>
      <c r="M76" s="23">
        <f>M77*M61</f>
        <v>1689.2682857142859</v>
      </c>
    </row>
    <row r="77" spans="2:13" x14ac:dyDescent="0.2">
      <c r="B77" s="34" t="s">
        <v>59</v>
      </c>
      <c r="D77" s="30"/>
      <c r="E77" s="30"/>
      <c r="F77" s="30"/>
      <c r="G77" s="30">
        <f>G76/G61</f>
        <v>0.25283347863993028</v>
      </c>
      <c r="H77" s="30">
        <f>H76/H61</f>
        <v>0.20202320737875631</v>
      </c>
      <c r="I77" s="30">
        <f>I76/I61</f>
        <v>0.24914285714285714</v>
      </c>
      <c r="J77" s="30">
        <f>I77+0.05</f>
        <v>0.29914285714285715</v>
      </c>
      <c r="K77" s="30">
        <f>J77+0.04</f>
        <v>0.33914285714285713</v>
      </c>
      <c r="L77" s="30">
        <f>K77+0.025</f>
        <v>0.36414285714285716</v>
      </c>
      <c r="M77" s="30">
        <f>L77+0.011</f>
        <v>0.37514285714285717</v>
      </c>
    </row>
    <row r="78" spans="2:13" x14ac:dyDescent="0.2">
      <c r="G78" s="30"/>
      <c r="H78" s="30"/>
      <c r="I78" s="30"/>
      <c r="J78" s="30"/>
      <c r="K78" s="30"/>
      <c r="L78" s="30"/>
      <c r="M78" s="30"/>
    </row>
    <row r="79" spans="2:13" x14ac:dyDescent="0.2">
      <c r="B79" t="s">
        <v>63</v>
      </c>
      <c r="G79" s="21">
        <f>G67-G70</f>
        <v>870</v>
      </c>
      <c r="H79" s="21">
        <f>H67-H70</f>
        <v>679</v>
      </c>
      <c r="I79" s="21">
        <f>I67-I70</f>
        <v>872</v>
      </c>
      <c r="J79" s="21">
        <f ca="1">IF(CASE=1,J67-J70,IF(CASE=2,J79,J67-J70))</f>
        <v>1031.6431428571425</v>
      </c>
      <c r="K79" s="21">
        <f ca="1">IF(CASE=1,K67-K70,IF(CASE=2,K79,K67-K70))</f>
        <v>1228.5942857142854</v>
      </c>
      <c r="L79" s="21">
        <f ca="1">IF(CASE=1,L67-L70,IF(CASE=2,L79,L67-L70))</f>
        <v>1452.2347142857138</v>
      </c>
      <c r="M79" s="21">
        <f ca="1">IF(CASE=1,M67-M70,IF(CASE=2,M79,M67-M70))</f>
        <v>1689.2682857142852</v>
      </c>
    </row>
    <row r="80" spans="2:13" x14ac:dyDescent="0.2">
      <c r="B80" s="35" t="s">
        <v>59</v>
      </c>
      <c r="G80" s="30">
        <f t="shared" ref="G80:M80" si="24">G79/G61</f>
        <v>0.25283347863993028</v>
      </c>
      <c r="H80" s="30">
        <f t="shared" si="24"/>
        <v>0.20202320737875631</v>
      </c>
      <c r="I80" s="30">
        <f t="shared" si="24"/>
        <v>0.24914285714285714</v>
      </c>
      <c r="J80" s="30">
        <f t="shared" ca="1" si="24"/>
        <v>0.28064285714285703</v>
      </c>
      <c r="K80" s="30">
        <f t="shared" ca="1" si="24"/>
        <v>0.31214285714285706</v>
      </c>
      <c r="L80" s="30">
        <f t="shared" ca="1" si="24"/>
        <v>0.34364285714285703</v>
      </c>
      <c r="M80" s="30">
        <f t="shared" ca="1" si="24"/>
        <v>0.375142857142857</v>
      </c>
    </row>
    <row r="81" spans="2:13" ht="17" thickBot="1" x14ac:dyDescent="0.25"/>
    <row r="82" spans="2:13" x14ac:dyDescent="0.2">
      <c r="B82" s="60" t="s">
        <v>111</v>
      </c>
      <c r="C82" s="49"/>
      <c r="D82" s="50"/>
      <c r="E82" s="50"/>
      <c r="F82" s="50"/>
      <c r="G82" s="78">
        <v>342</v>
      </c>
      <c r="H82" s="78">
        <v>329</v>
      </c>
      <c r="I82" s="78">
        <v>285</v>
      </c>
      <c r="J82" s="50">
        <f ca="1">J305</f>
        <v>1008.4307325096865</v>
      </c>
      <c r="K82" s="50">
        <f t="shared" ref="K82:M82" ca="1" si="25">K305</f>
        <v>957.61665758947038</v>
      </c>
      <c r="L82" s="50">
        <f t="shared" ca="1" si="25"/>
        <v>896.80897322013675</v>
      </c>
      <c r="M82" s="51">
        <f t="shared" ca="1" si="25"/>
        <v>818.54120900176099</v>
      </c>
    </row>
    <row r="83" spans="2:13" ht="17" thickBot="1" x14ac:dyDescent="0.25">
      <c r="B83" s="63" t="s">
        <v>112</v>
      </c>
      <c r="C83" s="54"/>
      <c r="D83" s="54"/>
      <c r="E83" s="54"/>
      <c r="F83" s="54"/>
      <c r="G83" s="54">
        <v>0</v>
      </c>
      <c r="H83" s="54">
        <v>0</v>
      </c>
      <c r="I83" s="54">
        <v>0</v>
      </c>
      <c r="J83" s="120">
        <f ca="1">J284</f>
        <v>1.9000000000000001</v>
      </c>
      <c r="K83" s="120">
        <f t="shared" ref="K83:M83" ca="1" si="26">K284</f>
        <v>1.9000000000000001</v>
      </c>
      <c r="L83" s="120">
        <f t="shared" ca="1" si="26"/>
        <v>1.9000000000000001</v>
      </c>
      <c r="M83" s="121">
        <f t="shared" ca="1" si="26"/>
        <v>1.9000000000000001</v>
      </c>
    </row>
    <row r="85" spans="2:13" x14ac:dyDescent="0.2">
      <c r="B85" t="s">
        <v>64</v>
      </c>
      <c r="D85" s="23"/>
      <c r="E85" s="23"/>
      <c r="F85" s="23"/>
      <c r="G85" s="23">
        <f>G73-G82+G83</f>
        <v>528</v>
      </c>
      <c r="H85" s="23">
        <f>H73-H82+H83</f>
        <v>350</v>
      </c>
      <c r="I85" s="23">
        <f t="shared" ref="I85:M85" si="27">I73-I82+I83</f>
        <v>587</v>
      </c>
      <c r="J85" s="23">
        <f ca="1">J73-J82+J83</f>
        <v>93.118410347456262</v>
      </c>
      <c r="K85" s="23">
        <f t="shared" ca="1" si="27"/>
        <v>379.14962812481519</v>
      </c>
      <c r="L85" s="23">
        <f t="shared" ca="1" si="27"/>
        <v>643.95874106557756</v>
      </c>
      <c r="M85" s="23">
        <f t="shared" ca="1" si="27"/>
        <v>872.62707671252485</v>
      </c>
    </row>
    <row r="86" spans="2:13" x14ac:dyDescent="0.2">
      <c r="B86" s="35" t="s">
        <v>59</v>
      </c>
      <c r="D86" s="30"/>
      <c r="E86" s="30"/>
      <c r="F86" s="30"/>
      <c r="G86" s="30">
        <f>G85/G$61</f>
        <v>0.15344376634699217</v>
      </c>
      <c r="H86" s="30">
        <f>H85/H$61</f>
        <v>0.10413567390657542</v>
      </c>
      <c r="I86" s="30">
        <f t="shared" ref="I86" si="28">I85/I$61</f>
        <v>0.1677142857142857</v>
      </c>
      <c r="J86" s="11">
        <f ca="1">J85/J61</f>
        <v>2.5331450040113238E-2</v>
      </c>
      <c r="K86" s="11">
        <f t="shared" ref="K86:M86" ca="1" si="29">K85/K61</f>
        <v>9.6328665682117676E-2</v>
      </c>
      <c r="L86" s="11">
        <f t="shared" ca="1" si="29"/>
        <v>0.15238020375427769</v>
      </c>
      <c r="M86" s="11">
        <f t="shared" ca="1" si="29"/>
        <v>0.19378793620087162</v>
      </c>
    </row>
    <row r="88" spans="2:13" x14ac:dyDescent="0.2">
      <c r="B88" t="s">
        <v>65</v>
      </c>
      <c r="D88" s="23"/>
      <c r="E88" s="23"/>
      <c r="F88" s="23"/>
      <c r="G88" s="32">
        <v>-40</v>
      </c>
      <c r="H88" s="32">
        <v>144</v>
      </c>
      <c r="I88" s="32">
        <v>-2</v>
      </c>
      <c r="J88" s="23">
        <f ca="1">J85*J89</f>
        <v>37.712956190719787</v>
      </c>
      <c r="K88" s="23">
        <f t="shared" ref="K88:M88" ca="1" si="30">K85*K89</f>
        <v>149.23329362992726</v>
      </c>
      <c r="L88" s="23">
        <f t="shared" ca="1" si="30"/>
        <v>250.51834909568299</v>
      </c>
      <c r="M88" s="23">
        <f t="shared" ca="1" si="30"/>
        <v>329.70344178418372</v>
      </c>
    </row>
    <row r="89" spans="2:13" x14ac:dyDescent="0.2">
      <c r="B89" s="34" t="s">
        <v>66</v>
      </c>
      <c r="D89" s="30"/>
      <c r="E89" s="30"/>
      <c r="F89" s="30"/>
      <c r="G89" s="30">
        <f>G57</f>
        <v>0</v>
      </c>
      <c r="H89" s="30">
        <f>H57</f>
        <v>0.41142857142857142</v>
      </c>
      <c r="I89" s="30">
        <f>I57</f>
        <v>0</v>
      </c>
      <c r="J89" s="11">
        <v>0.40500000000000003</v>
      </c>
      <c r="K89" s="11">
        <v>0.39360000000000001</v>
      </c>
      <c r="L89" s="11">
        <f t="shared" ref="L89:M89" si="31">L57</f>
        <v>0.38902857142857145</v>
      </c>
      <c r="M89" s="11">
        <f t="shared" si="31"/>
        <v>0.37782857142857146</v>
      </c>
    </row>
    <row r="91" spans="2:13" x14ac:dyDescent="0.2">
      <c r="B91" t="s">
        <v>67</v>
      </c>
      <c r="D91" s="23"/>
      <c r="E91" s="23"/>
      <c r="F91" s="23"/>
      <c r="G91" s="23">
        <f>G85-G88</f>
        <v>568</v>
      </c>
      <c r="H91" s="23">
        <f>H85-H88</f>
        <v>206</v>
      </c>
      <c r="I91" s="23">
        <f>I85-I88</f>
        <v>589</v>
      </c>
      <c r="J91" s="23">
        <f ca="1">J85-J88</f>
        <v>55.405454156736475</v>
      </c>
      <c r="K91" s="23">
        <f t="shared" ref="K91:M91" ca="1" si="32">K85-K88</f>
        <v>229.91633449488793</v>
      </c>
      <c r="L91" s="23">
        <f t="shared" ca="1" si="32"/>
        <v>393.44039196989456</v>
      </c>
      <c r="M91" s="23">
        <f t="shared" ca="1" si="32"/>
        <v>542.92363492834113</v>
      </c>
    </row>
    <row r="92" spans="2:13" x14ac:dyDescent="0.2">
      <c r="B92" s="29" t="s">
        <v>59</v>
      </c>
      <c r="D92" s="30"/>
      <c r="E92" s="30"/>
      <c r="F92" s="30"/>
      <c r="G92" s="30">
        <f>G91/G$61</f>
        <v>0.16506829410055215</v>
      </c>
      <c r="H92" s="30">
        <f t="shared" ref="H92" si="33">H91/H$61</f>
        <v>6.1291282356441538E-2</v>
      </c>
      <c r="I92" s="30">
        <f t="shared" ref="I92:M92" si="34">I91/I$61</f>
        <v>0.16828571428571429</v>
      </c>
      <c r="J92" s="30">
        <f t="shared" ca="1" si="34"/>
        <v>1.5072212773867376E-2</v>
      </c>
      <c r="K92" s="30">
        <f ca="1">K91/K$61</f>
        <v>5.841370286963616E-2</v>
      </c>
      <c r="L92" s="30">
        <f ca="1">L91/L$61</f>
        <v>9.3099950773756407E-2</v>
      </c>
      <c r="M92" s="30">
        <f t="shared" ca="1" si="34"/>
        <v>0.12056931710600513</v>
      </c>
    </row>
    <row r="94" spans="2:13" x14ac:dyDescent="0.2">
      <c r="B94" s="172" t="s">
        <v>77</v>
      </c>
      <c r="C94" s="172"/>
    </row>
    <row r="95" spans="2:13" x14ac:dyDescent="0.2">
      <c r="B95" t="s">
        <v>67</v>
      </c>
      <c r="G95" s="23">
        <f>G91</f>
        <v>568</v>
      </c>
      <c r="H95" s="23">
        <f t="shared" ref="H95:I95" si="35">H91</f>
        <v>206</v>
      </c>
      <c r="I95" s="23">
        <f t="shared" si="35"/>
        <v>589</v>
      </c>
    </row>
    <row r="96" spans="2:13" x14ac:dyDescent="0.2">
      <c r="B96" t="s">
        <v>78</v>
      </c>
      <c r="G96" s="23">
        <v>-12</v>
      </c>
      <c r="H96" s="23">
        <v>-12</v>
      </c>
      <c r="I96" s="23">
        <v>-8</v>
      </c>
    </row>
    <row r="97" spans="2:24" x14ac:dyDescent="0.2">
      <c r="B97" t="s">
        <v>79</v>
      </c>
      <c r="G97" s="23">
        <v>342</v>
      </c>
      <c r="H97" s="23">
        <v>329</v>
      </c>
      <c r="I97" s="23">
        <v>285</v>
      </c>
    </row>
    <row r="98" spans="2:24" x14ac:dyDescent="0.2">
      <c r="B98" t="s">
        <v>80</v>
      </c>
      <c r="G98" s="23">
        <f>G88</f>
        <v>-40</v>
      </c>
      <c r="H98" s="23">
        <f t="shared" ref="H98:I98" si="36">H88</f>
        <v>144</v>
      </c>
      <c r="I98" s="23">
        <f t="shared" si="36"/>
        <v>-2</v>
      </c>
    </row>
    <row r="99" spans="2:24" ht="17" thickBot="1" x14ac:dyDescent="0.25">
      <c r="B99" t="s">
        <v>81</v>
      </c>
      <c r="G99" s="23">
        <v>465</v>
      </c>
      <c r="H99" s="23">
        <v>550</v>
      </c>
      <c r="I99" s="23">
        <v>512</v>
      </c>
    </row>
    <row r="100" spans="2:24" x14ac:dyDescent="0.2">
      <c r="B100" s="67" t="s">
        <v>82</v>
      </c>
      <c r="C100" s="49"/>
      <c r="D100" s="49"/>
      <c r="E100" s="49"/>
      <c r="F100" s="49"/>
      <c r="G100" s="50">
        <f>SUM(G95:G99)</f>
        <v>1323</v>
      </c>
      <c r="H100" s="50">
        <f t="shared" ref="H100:I100" si="37">SUM(H95:H99)</f>
        <v>1217</v>
      </c>
      <c r="I100" s="50">
        <f t="shared" si="37"/>
        <v>1376</v>
      </c>
      <c r="J100" s="61">
        <f>CHOOSE(CASE, J103,J106)</f>
        <v>1623</v>
      </c>
      <c r="K100" s="61">
        <f>CHOOSE(CASE, K103,K106)</f>
        <v>1810</v>
      </c>
      <c r="L100" s="61">
        <f>CHOOSE(CASE, L103,L106)</f>
        <v>2105</v>
      </c>
      <c r="M100" s="62">
        <f>CHOOSE(CASE, M103,M106)</f>
        <v>2321</v>
      </c>
    </row>
    <row r="101" spans="2:24" ht="17" thickBot="1" x14ac:dyDescent="0.25">
      <c r="B101" s="52" t="s">
        <v>59</v>
      </c>
      <c r="C101" s="54"/>
      <c r="D101" s="54"/>
      <c r="E101" s="54"/>
      <c r="F101" s="54"/>
      <c r="G101" s="56">
        <f>G100/G61</f>
        <v>0.38448125544899736</v>
      </c>
      <c r="H101" s="56">
        <f t="shared" ref="H101:I101" si="38">H100/H61</f>
        <v>0.36209461469800652</v>
      </c>
      <c r="I101" s="56">
        <f t="shared" si="38"/>
        <v>0.39314285714285713</v>
      </c>
      <c r="J101" s="56">
        <f>J100/J61</f>
        <v>0.44151251360174104</v>
      </c>
      <c r="K101" s="56">
        <f t="shared" ref="K101" si="39">K100/K61</f>
        <v>0.45985772357723576</v>
      </c>
      <c r="L101" s="56">
        <f t="shared" ref="L101" si="40">L100/L61</f>
        <v>0.49810695693327023</v>
      </c>
      <c r="M101" s="57">
        <f t="shared" ref="M101" si="41">M100/M61</f>
        <v>0.51543415500777257</v>
      </c>
    </row>
    <row r="103" spans="2:24" x14ac:dyDescent="0.2">
      <c r="B103" t="s">
        <v>83</v>
      </c>
      <c r="G103" s="23">
        <v>1323</v>
      </c>
      <c r="H103" s="23">
        <v>1217</v>
      </c>
      <c r="I103" s="23">
        <v>1376</v>
      </c>
      <c r="J103" s="21">
        <f>J155+J73</f>
        <v>1623</v>
      </c>
      <c r="K103" s="21">
        <f>K155+K73</f>
        <v>1810</v>
      </c>
      <c r="L103" s="21">
        <f>L155+L73</f>
        <v>2105</v>
      </c>
      <c r="M103" s="21">
        <f>M155+M73</f>
        <v>2321</v>
      </c>
    </row>
    <row r="104" spans="2:24" x14ac:dyDescent="0.2">
      <c r="B104" s="34" t="s">
        <v>59</v>
      </c>
      <c r="G104" s="11">
        <v>0.38448125544899736</v>
      </c>
      <c r="H104" s="11">
        <v>0.38448125544899736</v>
      </c>
      <c r="I104" s="11">
        <v>0.38448125544899736</v>
      </c>
      <c r="J104" s="11">
        <f>J103/J61</f>
        <v>0.44151251360174104</v>
      </c>
      <c r="K104" s="11">
        <f t="shared" ref="K104:M104" si="42">K103/K61</f>
        <v>0.45985772357723576</v>
      </c>
      <c r="L104" s="11">
        <f t="shared" si="42"/>
        <v>0.49810695693327023</v>
      </c>
      <c r="M104" s="11">
        <f t="shared" si="42"/>
        <v>0.51543415500777257</v>
      </c>
    </row>
    <row r="106" spans="2:24" x14ac:dyDescent="0.2">
      <c r="B106" t="s">
        <v>84</v>
      </c>
      <c r="G106" s="23">
        <v>1323</v>
      </c>
      <c r="H106" s="23">
        <f>H103</f>
        <v>1217</v>
      </c>
      <c r="I106" s="23">
        <f>I103</f>
        <v>1376</v>
      </c>
      <c r="J106" s="23">
        <v>1623</v>
      </c>
      <c r="K106" s="23">
        <v>1810</v>
      </c>
      <c r="L106" s="23">
        <v>2105</v>
      </c>
      <c r="M106" s="23">
        <v>2321</v>
      </c>
      <c r="N106" s="45"/>
      <c r="O106" s="46"/>
      <c r="P106" s="45"/>
      <c r="Q106" s="45" t="s">
        <v>85</v>
      </c>
      <c r="R106" s="45"/>
      <c r="S106" s="46"/>
      <c r="T106" s="45"/>
      <c r="U106" s="45" t="s">
        <v>85</v>
      </c>
      <c r="V106" s="45"/>
      <c r="W106" s="46"/>
      <c r="X106" s="45"/>
    </row>
    <row r="107" spans="2:24" x14ac:dyDescent="0.2">
      <c r="B107" s="34" t="s">
        <v>59</v>
      </c>
      <c r="G107" s="11">
        <v>0.38448125544899736</v>
      </c>
      <c r="H107" s="11">
        <f>H104</f>
        <v>0.38448125544899736</v>
      </c>
      <c r="I107" s="11">
        <f>I104</f>
        <v>0.38448125544899736</v>
      </c>
      <c r="J107" s="11">
        <f>J106/J61</f>
        <v>0.44151251360174104</v>
      </c>
      <c r="K107" s="11">
        <f t="shared" ref="K107:M107" si="43">K106/K61</f>
        <v>0.45985772357723576</v>
      </c>
      <c r="L107" s="11">
        <f t="shared" si="43"/>
        <v>0.49810695693327023</v>
      </c>
      <c r="M107" s="11">
        <f t="shared" si="43"/>
        <v>0.51543415500777257</v>
      </c>
    </row>
    <row r="109" spans="2:24" x14ac:dyDescent="0.2">
      <c r="B109" s="27" t="s">
        <v>86</v>
      </c>
      <c r="C109" s="27"/>
      <c r="D109" s="27"/>
      <c r="E109" s="27"/>
      <c r="F109" s="27"/>
      <c r="G109" s="27">
        <v>2019</v>
      </c>
      <c r="H109" s="27">
        <v>2020</v>
      </c>
      <c r="I109" s="27">
        <v>2021</v>
      </c>
      <c r="J109" s="28" t="s">
        <v>72</v>
      </c>
      <c r="K109" s="28" t="s">
        <v>53</v>
      </c>
      <c r="L109" s="28" t="s">
        <v>54</v>
      </c>
      <c r="M109" s="28" t="s">
        <v>55</v>
      </c>
    </row>
    <row r="110" spans="2:24" x14ac:dyDescent="0.2">
      <c r="B110" s="98" t="s">
        <v>124</v>
      </c>
      <c r="C110" s="99"/>
      <c r="D110" s="99"/>
      <c r="E110" s="99"/>
      <c r="F110" s="99"/>
      <c r="G110" s="99">
        <v>540</v>
      </c>
      <c r="H110" s="99">
        <v>465</v>
      </c>
      <c r="I110" s="99">
        <v>517</v>
      </c>
      <c r="J110" s="104">
        <f>J111*J61</f>
        <v>542.81910270459514</v>
      </c>
      <c r="K110" s="104">
        <f t="shared" ref="K110:M110" si="44">K111*K61</f>
        <v>581.21218396226504</v>
      </c>
      <c r="L110" s="104">
        <f t="shared" si="44"/>
        <v>624.0352361342816</v>
      </c>
      <c r="M110" s="104">
        <f t="shared" si="44"/>
        <v>664.93863424341453</v>
      </c>
    </row>
    <row r="111" spans="2:24" x14ac:dyDescent="0.2">
      <c r="B111" s="34" t="s">
        <v>59</v>
      </c>
      <c r="C111" s="99"/>
      <c r="D111" s="99"/>
      <c r="E111" s="99"/>
      <c r="F111" s="99"/>
      <c r="G111" s="102">
        <f>G110/G61</f>
        <v>0.15693112467306017</v>
      </c>
      <c r="H111" s="102">
        <f t="shared" ref="H111:I111" si="45">H110/H61</f>
        <v>0.13835168104730736</v>
      </c>
      <c r="I111" s="102">
        <f t="shared" si="45"/>
        <v>0.14771428571428571</v>
      </c>
      <c r="J111" s="103">
        <f>AVERAGE(G111:I111)</f>
        <v>0.14766569714488442</v>
      </c>
      <c r="K111" s="103">
        <v>0.14766569714488442</v>
      </c>
      <c r="L111" s="103">
        <v>0.14766569714488442</v>
      </c>
      <c r="M111" s="103">
        <v>0.14766569714488442</v>
      </c>
    </row>
    <row r="112" spans="2:24" x14ac:dyDescent="0.2">
      <c r="B112" s="99"/>
      <c r="C112" s="99"/>
      <c r="D112" s="99"/>
      <c r="E112" s="99"/>
      <c r="F112" s="99"/>
      <c r="G112" s="99"/>
      <c r="H112" s="99"/>
      <c r="I112" s="99"/>
      <c r="J112" s="101"/>
      <c r="K112" s="101"/>
      <c r="L112" s="101"/>
      <c r="M112" s="101"/>
    </row>
    <row r="113" spans="1:13" x14ac:dyDescent="0.2">
      <c r="B113" s="98" t="s">
        <v>87</v>
      </c>
      <c r="C113" s="99"/>
      <c r="D113" s="99"/>
      <c r="E113" s="99"/>
      <c r="F113" s="99"/>
      <c r="G113" s="99">
        <v>295</v>
      </c>
      <c r="H113" s="99">
        <v>195</v>
      </c>
      <c r="I113" s="99">
        <v>243</v>
      </c>
      <c r="J113" s="104">
        <f>J114*J61</f>
        <v>261.21399966830705</v>
      </c>
      <c r="K113" s="104">
        <f t="shared" ref="K113:M113" si="46">K114*K61</f>
        <v>279.68941857847022</v>
      </c>
      <c r="L113" s="104">
        <f t="shared" si="46"/>
        <v>300.29661659365223</v>
      </c>
      <c r="M113" s="104">
        <f t="shared" si="46"/>
        <v>319.98004366332606</v>
      </c>
    </row>
    <row r="114" spans="1:13" x14ac:dyDescent="0.2">
      <c r="B114" s="34" t="s">
        <v>59</v>
      </c>
      <c r="C114" s="99"/>
      <c r="D114" s="99"/>
      <c r="E114" s="99"/>
      <c r="F114" s="99"/>
      <c r="G114" s="102">
        <f>G113/G61</f>
        <v>8.5730892182505083E-2</v>
      </c>
      <c r="H114" s="102">
        <f t="shared" ref="H114:I114" si="47">H113/H61</f>
        <v>5.8018446890806305E-2</v>
      </c>
      <c r="I114" s="102">
        <f t="shared" si="47"/>
        <v>6.9428571428571423E-2</v>
      </c>
      <c r="J114" s="103">
        <f>AVERAGE(G114:I114)</f>
        <v>7.1059303500627599E-2</v>
      </c>
      <c r="K114" s="103">
        <v>7.1059303500627599E-2</v>
      </c>
      <c r="L114" s="103">
        <v>7.1059303500627599E-2</v>
      </c>
      <c r="M114" s="103">
        <v>7.1059303500627599E-2</v>
      </c>
    </row>
    <row r="115" spans="1:13" x14ac:dyDescent="0.2">
      <c r="B115" s="34"/>
      <c r="C115" s="99"/>
      <c r="D115" s="99"/>
      <c r="E115" s="99"/>
      <c r="F115" s="99"/>
      <c r="G115" s="99"/>
      <c r="H115" s="99"/>
      <c r="I115" s="99"/>
      <c r="J115" s="101"/>
      <c r="K115" s="101"/>
      <c r="L115" s="101"/>
      <c r="M115" s="101"/>
    </row>
    <row r="116" spans="1:13" x14ac:dyDescent="0.2">
      <c r="B116" s="64" t="s">
        <v>136</v>
      </c>
      <c r="C116" s="64"/>
      <c r="D116" s="64"/>
      <c r="E116" s="99"/>
      <c r="F116" s="99"/>
      <c r="G116" s="99">
        <v>565</v>
      </c>
      <c r="H116" s="99">
        <v>499</v>
      </c>
      <c r="I116" s="99">
        <v>478</v>
      </c>
      <c r="J116" s="104">
        <f>J117*J61</f>
        <v>550.46335646399586</v>
      </c>
      <c r="K116" s="104">
        <f t="shared" ref="K116:M116" si="48">K117*K61</f>
        <v>589.39710855339706</v>
      </c>
      <c r="L116" s="104">
        <f t="shared" si="48"/>
        <v>632.82321665311383</v>
      </c>
      <c r="M116" s="104">
        <f t="shared" si="48"/>
        <v>674.30263714836053</v>
      </c>
    </row>
    <row r="117" spans="1:13" x14ac:dyDescent="0.2">
      <c r="B117" s="34" t="s">
        <v>59</v>
      </c>
      <c r="C117" s="99"/>
      <c r="D117" s="99"/>
      <c r="E117" s="99"/>
      <c r="F117" s="99"/>
      <c r="G117" s="102">
        <f>G116/G61</f>
        <v>0.16419645451903517</v>
      </c>
      <c r="H117" s="102">
        <f t="shared" ref="H117:I117" si="49">H116/H61</f>
        <v>0.14846771794108896</v>
      </c>
      <c r="I117" s="102">
        <f t="shared" si="49"/>
        <v>0.13657142857142857</v>
      </c>
      <c r="J117" s="103">
        <f>AVERAGE(G117:I117)</f>
        <v>0.14974520034385089</v>
      </c>
      <c r="K117" s="103">
        <v>0.14974520034385089</v>
      </c>
      <c r="L117" s="103">
        <v>0.14974520034385089</v>
      </c>
      <c r="M117" s="103">
        <v>0.14974520034385089</v>
      </c>
    </row>
    <row r="118" spans="1:13" x14ac:dyDescent="0.2">
      <c r="B118" s="34"/>
      <c r="C118" s="99"/>
      <c r="D118" s="99"/>
      <c r="E118" s="99"/>
      <c r="F118" s="99"/>
      <c r="G118" s="99"/>
      <c r="H118" s="99"/>
      <c r="I118" s="99"/>
      <c r="J118" s="101"/>
      <c r="K118" s="101"/>
      <c r="L118" s="101"/>
      <c r="M118" s="101"/>
    </row>
    <row r="119" spans="1:13" x14ac:dyDescent="0.2">
      <c r="B119" s="64" t="s">
        <v>125</v>
      </c>
      <c r="C119" s="64"/>
      <c r="D119" s="64"/>
      <c r="E119" s="99"/>
      <c r="F119" s="99"/>
      <c r="G119" s="99">
        <v>261</v>
      </c>
      <c r="H119" s="99">
        <v>150</v>
      </c>
      <c r="I119" s="99">
        <v>144</v>
      </c>
      <c r="J119" s="104">
        <f>J120*J61</f>
        <v>198.04140635954857</v>
      </c>
      <c r="K119" s="104">
        <f t="shared" ref="K119:M119" si="50">K120*K61</f>
        <v>212.04868754928813</v>
      </c>
      <c r="L119" s="104">
        <f t="shared" si="50"/>
        <v>227.67219349168994</v>
      </c>
      <c r="M119" s="104">
        <f t="shared" si="50"/>
        <v>242.59533537460479</v>
      </c>
    </row>
    <row r="120" spans="1:13" x14ac:dyDescent="0.2">
      <c r="A120" s="99"/>
      <c r="B120" s="34" t="s">
        <v>59</v>
      </c>
      <c r="C120" s="99"/>
      <c r="D120" s="99"/>
      <c r="E120" s="99"/>
      <c r="F120" s="99"/>
      <c r="G120" s="102">
        <f>G119/G61</f>
        <v>7.5850043591979083E-2</v>
      </c>
      <c r="H120" s="102">
        <f t="shared" ref="H120:I120" si="51">H119/H61</f>
        <v>4.4629574531389465E-2</v>
      </c>
      <c r="I120" s="102">
        <f t="shared" si="51"/>
        <v>4.1142857142857141E-2</v>
      </c>
      <c r="J120" s="103">
        <f>AVERAGE(G120:I120)</f>
        <v>5.3874158422075234E-2</v>
      </c>
      <c r="K120" s="103">
        <v>5.3874158422075234E-2</v>
      </c>
      <c r="L120" s="103">
        <v>5.3874158422075234E-2</v>
      </c>
      <c r="M120" s="103">
        <v>5.3874158422075234E-2</v>
      </c>
    </row>
    <row r="121" spans="1:13" x14ac:dyDescent="0.2">
      <c r="B121" s="34"/>
      <c r="C121" s="99"/>
      <c r="D121" s="99"/>
      <c r="E121" s="99"/>
      <c r="F121" s="99"/>
      <c r="G121" s="99"/>
      <c r="H121" s="99"/>
      <c r="I121" s="99"/>
      <c r="J121" s="101"/>
      <c r="K121" s="101"/>
      <c r="L121" s="101"/>
      <c r="M121" s="101"/>
    </row>
    <row r="122" spans="1:13" x14ac:dyDescent="0.2">
      <c r="A122" s="100"/>
      <c r="B122" s="136" t="s">
        <v>126</v>
      </c>
      <c r="C122" s="136"/>
      <c r="D122" s="101"/>
      <c r="E122" s="99"/>
      <c r="F122" s="99"/>
      <c r="G122" s="99">
        <v>46</v>
      </c>
      <c r="H122" s="99">
        <v>276</v>
      </c>
      <c r="I122" s="99">
        <v>35</v>
      </c>
      <c r="J122" s="104">
        <f>J123*J61</f>
        <v>129.25627667459764</v>
      </c>
      <c r="K122" s="104">
        <f t="shared" ref="K122:M122" si="52">K123*K61</f>
        <v>138.39845075930802</v>
      </c>
      <c r="L122" s="104">
        <f t="shared" si="52"/>
        <v>148.59549108456193</v>
      </c>
      <c r="M122" s="104">
        <f t="shared" si="52"/>
        <v>158.3354227055803</v>
      </c>
    </row>
    <row r="123" spans="1:13" x14ac:dyDescent="0.2">
      <c r="B123" s="34" t="s">
        <v>59</v>
      </c>
      <c r="C123" s="99"/>
      <c r="D123" s="99"/>
      <c r="E123" s="99"/>
      <c r="F123" s="99"/>
      <c r="G123" s="102">
        <f>G122/G61</f>
        <v>1.3368206916594013E-2</v>
      </c>
      <c r="H123" s="102">
        <f t="shared" ref="H123:I123" si="53">H122/H61</f>
        <v>8.2118417137756625E-2</v>
      </c>
      <c r="I123" s="102">
        <f t="shared" si="53"/>
        <v>0.01</v>
      </c>
      <c r="J123" s="103">
        <f>AVERAGE(G123:I123)</f>
        <v>3.5162208018116876E-2</v>
      </c>
      <c r="K123" s="103">
        <v>3.5162208018116876E-2</v>
      </c>
      <c r="L123" s="103">
        <v>3.5162208018116876E-2</v>
      </c>
      <c r="M123" s="103">
        <v>3.5162208018116876E-2</v>
      </c>
    </row>
    <row r="124" spans="1:13" ht="17" thickBot="1" x14ac:dyDescent="0.25">
      <c r="B124" s="34"/>
      <c r="C124" s="99"/>
      <c r="D124" s="99"/>
      <c r="E124" s="99"/>
      <c r="F124" s="99"/>
      <c r="G124" s="102"/>
      <c r="H124" s="102"/>
      <c r="I124" s="102"/>
      <c r="J124" s="103"/>
      <c r="K124" s="103"/>
      <c r="L124" s="103"/>
      <c r="M124" s="103"/>
    </row>
    <row r="125" spans="1:13" x14ac:dyDescent="0.2">
      <c r="B125" s="168" t="s">
        <v>88</v>
      </c>
      <c r="C125" s="169"/>
      <c r="D125" s="49"/>
      <c r="E125" s="49"/>
      <c r="F125" s="49"/>
      <c r="G125" s="50">
        <f>SUM(G110,G113)-SUM(G116,G119,G122)</f>
        <v>-37</v>
      </c>
      <c r="H125" s="50">
        <f>SUM(H110,H113)-SUM(H116,H119,H122)</f>
        <v>-265</v>
      </c>
      <c r="I125" s="50">
        <f t="shared" ref="H125:L125" si="54">SUM(I110,I113)-SUM(I116,I119,I122)</f>
        <v>103</v>
      </c>
      <c r="J125" s="50">
        <f>SUM(J110,J113)-SUM(J116,J119,J122)</f>
        <v>-73.727937125239805</v>
      </c>
      <c r="K125" s="50">
        <f t="shared" si="54"/>
        <v>-78.942644321258058</v>
      </c>
      <c r="L125" s="50">
        <f t="shared" si="54"/>
        <v>-84.759048501431835</v>
      </c>
      <c r="M125" s="50">
        <f>SUM(M110,M113)-SUM(M116,M119,M122)</f>
        <v>-90.314717321805119</v>
      </c>
    </row>
    <row r="126" spans="1:13" ht="17" thickBot="1" x14ac:dyDescent="0.25">
      <c r="B126" s="170" t="s">
        <v>59</v>
      </c>
      <c r="C126" s="171"/>
      <c r="D126" s="54"/>
      <c r="E126" s="54"/>
      <c r="F126" s="54"/>
      <c r="G126" s="55">
        <f>G125/G61</f>
        <v>-1.0752688172043012E-2</v>
      </c>
      <c r="H126" s="55">
        <f t="shared" ref="H126:M126" si="55">H125/H61</f>
        <v>-7.8845581672121398E-2</v>
      </c>
      <c r="I126" s="55">
        <f t="shared" si="55"/>
        <v>2.9428571428571429E-2</v>
      </c>
      <c r="J126" s="55">
        <f t="shared" si="55"/>
        <v>-2.0056566138530959E-2</v>
      </c>
      <c r="K126" s="55">
        <f t="shared" si="55"/>
        <v>-2.0056566138531011E-2</v>
      </c>
      <c r="L126" s="55">
        <f t="shared" si="55"/>
        <v>-2.0056566138530959E-2</v>
      </c>
      <c r="M126" s="55">
        <f t="shared" si="55"/>
        <v>-2.0056566138531007E-2</v>
      </c>
    </row>
    <row r="127" spans="1:13" ht="17" thickBot="1" x14ac:dyDescent="0.25">
      <c r="B127" s="18"/>
      <c r="C127" s="18"/>
      <c r="D127" s="18"/>
      <c r="E127" s="18"/>
      <c r="F127" s="18"/>
      <c r="G127" s="18"/>
      <c r="H127" s="18"/>
      <c r="I127" s="18"/>
      <c r="J127" s="97"/>
      <c r="K127" s="97"/>
      <c r="L127" s="97"/>
      <c r="M127" s="97"/>
    </row>
    <row r="128" spans="1:13" s="31" customFormat="1" x14ac:dyDescent="0.2">
      <c r="B128" s="168" t="s">
        <v>88</v>
      </c>
      <c r="C128" s="169"/>
      <c r="D128" s="49"/>
      <c r="E128" s="49"/>
      <c r="F128" s="49"/>
      <c r="G128" s="105" t="s">
        <v>127</v>
      </c>
      <c r="H128" s="50">
        <f>H125-G125</f>
        <v>-228</v>
      </c>
      <c r="I128" s="50">
        <f t="shared" ref="H128:M128" si="56">I125-H125</f>
        <v>368</v>
      </c>
      <c r="J128" s="50">
        <f>J125-I125</f>
        <v>-176.72793712523981</v>
      </c>
      <c r="K128" s="50">
        <f t="shared" si="56"/>
        <v>-5.2147071960182529</v>
      </c>
      <c r="L128" s="50">
        <f t="shared" si="56"/>
        <v>-5.8164041801737767</v>
      </c>
      <c r="M128" s="50">
        <f t="shared" si="56"/>
        <v>-5.5556688203732847</v>
      </c>
    </row>
    <row r="129" spans="2:13" ht="17" thickBot="1" x14ac:dyDescent="0.25">
      <c r="B129" s="170" t="s">
        <v>59</v>
      </c>
      <c r="C129" s="171"/>
      <c r="D129" s="54"/>
      <c r="E129" s="54"/>
      <c r="F129" s="54"/>
      <c r="G129" s="106" t="s">
        <v>127</v>
      </c>
      <c r="H129" s="55">
        <f>H128/H61</f>
        <v>-6.7836953287711985E-2</v>
      </c>
      <c r="I129" s="55">
        <f>I128/I61</f>
        <v>0.10514285714285715</v>
      </c>
      <c r="J129" s="56">
        <f>AVERAGE(G129:I129)</f>
        <v>1.8652951927572582E-2</v>
      </c>
      <c r="K129" s="56">
        <v>1.25904093545061E-2</v>
      </c>
      <c r="L129" s="56">
        <v>1.2590409354506065E-2</v>
      </c>
      <c r="M129" s="57">
        <v>1.2590409354506065E-2</v>
      </c>
    </row>
    <row r="130" spans="2:13" x14ac:dyDescent="0.2">
      <c r="B130" s="34"/>
      <c r="C130" s="34"/>
      <c r="G130" s="107"/>
      <c r="H130" s="30"/>
      <c r="I130" s="30"/>
      <c r="J130" s="11"/>
      <c r="K130" s="11"/>
      <c r="L130" s="11"/>
      <c r="M130" s="11"/>
    </row>
    <row r="131" spans="2:13" x14ac:dyDescent="0.2">
      <c r="B131" s="27" t="s">
        <v>128</v>
      </c>
      <c r="C131" s="27"/>
      <c r="D131" s="27"/>
      <c r="E131" s="27"/>
      <c r="F131" s="27"/>
      <c r="G131" s="27">
        <v>2019</v>
      </c>
      <c r="H131" s="27">
        <v>2020</v>
      </c>
      <c r="I131" s="27">
        <v>2021</v>
      </c>
      <c r="J131" s="28" t="s">
        <v>72</v>
      </c>
      <c r="K131" s="28" t="s">
        <v>53</v>
      </c>
      <c r="L131" s="28" t="s">
        <v>54</v>
      </c>
      <c r="M131" s="28" t="s">
        <v>55</v>
      </c>
    </row>
    <row r="132" spans="2:13" x14ac:dyDescent="0.2">
      <c r="B132" s="151" t="s">
        <v>91</v>
      </c>
      <c r="C132" s="151"/>
      <c r="D132" s="99"/>
      <c r="E132" s="99"/>
      <c r="F132" s="99"/>
      <c r="G132" s="109">
        <v>328</v>
      </c>
      <c r="H132" s="109">
        <v>305</v>
      </c>
      <c r="I132" s="109">
        <v>316</v>
      </c>
      <c r="J132" s="104">
        <f>J133*J61</f>
        <v>338.62533106091695</v>
      </c>
      <c r="K132" s="104">
        <f t="shared" ref="K132:M132" si="57">K133*K61</f>
        <v>374.31360000000001</v>
      </c>
      <c r="L132" s="104">
        <f t="shared" si="57"/>
        <v>418.37400000000002</v>
      </c>
      <c r="M132" s="104">
        <f t="shared" si="57"/>
        <v>472.815</v>
      </c>
    </row>
    <row r="133" spans="2:13" x14ac:dyDescent="0.2">
      <c r="B133" s="150" t="s">
        <v>59</v>
      </c>
      <c r="C133" s="150"/>
      <c r="D133" s="99"/>
      <c r="E133" s="99"/>
      <c r="F133" s="99"/>
      <c r="G133" s="30">
        <f>G132/G61</f>
        <v>9.5321127579192089E-2</v>
      </c>
      <c r="H133" s="30">
        <f t="shared" ref="H133" si="58">H132/H61</f>
        <v>9.0746801547158584E-2</v>
      </c>
      <c r="I133" s="30">
        <f>I132/I61</f>
        <v>9.0285714285714289E-2</v>
      </c>
      <c r="J133" s="103">
        <f>AVERAGE(G133:I133)</f>
        <v>9.2117881137354987E-2</v>
      </c>
      <c r="K133" s="103">
        <v>9.5100000000000004E-2</v>
      </c>
      <c r="L133" s="103">
        <v>9.9000000000000005E-2</v>
      </c>
      <c r="M133" s="103">
        <v>0.105</v>
      </c>
    </row>
    <row r="134" spans="2:13" x14ac:dyDescent="0.2">
      <c r="B134" s="99"/>
      <c r="C134" s="99"/>
      <c r="D134" s="99"/>
      <c r="E134" s="99"/>
      <c r="F134" s="99"/>
      <c r="G134" s="99"/>
      <c r="H134" s="99"/>
      <c r="I134" s="99"/>
      <c r="J134" s="101"/>
      <c r="K134" s="101"/>
      <c r="L134" s="101"/>
      <c r="M134" s="101"/>
    </row>
    <row r="135" spans="2:13" x14ac:dyDescent="0.2">
      <c r="B135" s="151" t="s">
        <v>137</v>
      </c>
      <c r="C135" s="151"/>
      <c r="D135" s="99"/>
      <c r="E135" s="99"/>
      <c r="F135" s="99"/>
      <c r="G135" s="109">
        <v>280</v>
      </c>
      <c r="H135" s="109">
        <v>300</v>
      </c>
      <c r="I135" s="109">
        <v>313</v>
      </c>
      <c r="J135" s="104">
        <f>J137*J132</f>
        <v>304.76279795482526</v>
      </c>
      <c r="K135" s="104">
        <f t="shared" ref="K135:L135" si="59">K137*K132</f>
        <v>336.88224000000002</v>
      </c>
      <c r="L135" s="104">
        <f t="shared" si="59"/>
        <v>376.53660000000002</v>
      </c>
      <c r="M135" s="104">
        <f>M137*M132</f>
        <v>425.5335</v>
      </c>
    </row>
    <row r="136" spans="2:13" x14ac:dyDescent="0.2">
      <c r="B136" s="150" t="s">
        <v>59</v>
      </c>
      <c r="C136" s="150"/>
      <c r="D136" s="99"/>
      <c r="E136" s="99"/>
      <c r="F136" s="99"/>
      <c r="G136" s="30">
        <f>G135/G61</f>
        <v>8.1371694274920081E-2</v>
      </c>
      <c r="H136" s="30">
        <f t="shared" ref="H136:I136" si="60">H135/H61</f>
        <v>8.9259149062778931E-2</v>
      </c>
      <c r="I136" s="30">
        <f t="shared" si="60"/>
        <v>8.9428571428571427E-2</v>
      </c>
      <c r="J136" s="103">
        <f>AVERAGE(G136:I136)</f>
        <v>8.6686471588756808E-2</v>
      </c>
      <c r="K136" s="103">
        <v>8.6686471588756808E-2</v>
      </c>
      <c r="L136" s="103">
        <v>8.6686471588756808E-2</v>
      </c>
      <c r="M136" s="103">
        <v>8.6686471588756808E-2</v>
      </c>
    </row>
    <row r="137" spans="2:13" x14ac:dyDescent="0.2">
      <c r="B137" s="150" t="s">
        <v>129</v>
      </c>
      <c r="C137" s="150"/>
      <c r="D137" s="99"/>
      <c r="E137" s="99"/>
      <c r="F137" s="99"/>
      <c r="G137" s="102">
        <f>G135/G132</f>
        <v>0.85365853658536583</v>
      </c>
      <c r="H137" s="102">
        <f t="shared" ref="H137:I137" si="61">H135/H132</f>
        <v>0.98360655737704916</v>
      </c>
      <c r="I137" s="102">
        <f t="shared" si="61"/>
        <v>0.990506329113924</v>
      </c>
      <c r="J137" s="103">
        <v>0.9</v>
      </c>
      <c r="K137" s="103">
        <v>0.9</v>
      </c>
      <c r="L137" s="103">
        <v>0.9</v>
      </c>
      <c r="M137" s="103">
        <v>0.9</v>
      </c>
    </row>
    <row r="138" spans="2:13" x14ac:dyDescent="0.2">
      <c r="B138" s="34"/>
      <c r="C138" s="99"/>
      <c r="D138" s="99"/>
      <c r="E138" s="99"/>
      <c r="F138" s="99"/>
      <c r="G138" s="102"/>
      <c r="H138" s="102"/>
      <c r="I138" s="102"/>
      <c r="J138" s="103"/>
      <c r="K138" s="103"/>
      <c r="L138" s="103"/>
      <c r="M138" s="103"/>
    </row>
    <row r="139" spans="2:13" x14ac:dyDescent="0.2">
      <c r="B139" s="141" t="s">
        <v>130</v>
      </c>
      <c r="C139" s="141"/>
      <c r="D139" s="99"/>
      <c r="E139" s="99"/>
      <c r="F139" s="99"/>
      <c r="G139" s="109"/>
      <c r="H139" s="109"/>
      <c r="I139" s="109"/>
      <c r="J139" s="103"/>
      <c r="K139" s="103"/>
      <c r="L139" s="103"/>
      <c r="M139" s="103"/>
    </row>
    <row r="140" spans="2:13" x14ac:dyDescent="0.2">
      <c r="B140" s="135" t="s">
        <v>98</v>
      </c>
      <c r="C140" s="135"/>
      <c r="D140" s="99"/>
      <c r="E140" s="99"/>
      <c r="F140" s="99"/>
      <c r="G140" s="109">
        <f>G143+G142-G141</f>
        <v>217</v>
      </c>
      <c r="H140" s="109">
        <f>G143</f>
        <v>265</v>
      </c>
      <c r="I140" s="109">
        <f>H143</f>
        <v>270</v>
      </c>
      <c r="J140" s="104">
        <f>I143</f>
        <v>273</v>
      </c>
      <c r="K140" s="104">
        <f t="shared" ref="K140:M140" si="62">J143</f>
        <v>331.62533106091695</v>
      </c>
      <c r="L140" s="104">
        <f t="shared" si="62"/>
        <v>415.93893106091696</v>
      </c>
      <c r="M140" s="104">
        <f t="shared" si="62"/>
        <v>534.31293106091698</v>
      </c>
    </row>
    <row r="141" spans="2:13" x14ac:dyDescent="0.2">
      <c r="B141" s="135" t="s">
        <v>91</v>
      </c>
      <c r="C141" s="135"/>
      <c r="D141" s="99"/>
      <c r="E141" s="99"/>
      <c r="F141" s="99"/>
      <c r="G141" s="109">
        <f>G132</f>
        <v>328</v>
      </c>
      <c r="H141" s="109">
        <f>H132</f>
        <v>305</v>
      </c>
      <c r="I141" s="109">
        <f>I132</f>
        <v>316</v>
      </c>
      <c r="J141" s="109">
        <f t="shared" ref="J141" si="63">J132</f>
        <v>338.62533106091695</v>
      </c>
      <c r="K141" s="109">
        <f t="shared" ref="K141:M141" si="64">K132</f>
        <v>374.31360000000001</v>
      </c>
      <c r="L141" s="109">
        <f t="shared" si="64"/>
        <v>418.37400000000002</v>
      </c>
      <c r="M141" s="109">
        <f t="shared" si="64"/>
        <v>472.815</v>
      </c>
    </row>
    <row r="142" spans="2:13" x14ac:dyDescent="0.2">
      <c r="B142" s="135" t="s">
        <v>133</v>
      </c>
      <c r="C142" s="135"/>
      <c r="D142" s="99"/>
      <c r="E142" s="99"/>
      <c r="F142" s="99"/>
      <c r="G142" s="109">
        <f>G135</f>
        <v>280</v>
      </c>
      <c r="H142" s="109">
        <f>H135</f>
        <v>300</v>
      </c>
      <c r="I142" s="109">
        <f>I135</f>
        <v>313</v>
      </c>
      <c r="J142" s="109">
        <v>280</v>
      </c>
      <c r="K142" s="109">
        <v>290</v>
      </c>
      <c r="L142" s="109">
        <v>300</v>
      </c>
      <c r="M142" s="109">
        <v>310</v>
      </c>
    </row>
    <row r="143" spans="2:13" x14ac:dyDescent="0.2">
      <c r="B143" s="134" t="s">
        <v>100</v>
      </c>
      <c r="C143" s="134"/>
      <c r="D143" s="99"/>
      <c r="E143" s="99"/>
      <c r="F143" s="99"/>
      <c r="G143" s="109">
        <v>265</v>
      </c>
      <c r="H143" s="109">
        <f>H140+H141-H142</f>
        <v>270</v>
      </c>
      <c r="I143" s="109">
        <f>I140+I141-I142</f>
        <v>273</v>
      </c>
      <c r="J143" s="104">
        <f>J140-J142+J141</f>
        <v>331.62533106091695</v>
      </c>
      <c r="K143" s="104">
        <f>K140-K142+K141</f>
        <v>415.93893106091696</v>
      </c>
      <c r="L143" s="104">
        <f t="shared" ref="L143:M143" si="65">L140-L142+L141</f>
        <v>534.31293106091698</v>
      </c>
      <c r="M143" s="104">
        <f t="shared" si="65"/>
        <v>697.12793106091704</v>
      </c>
    </row>
    <row r="144" spans="2:13" x14ac:dyDescent="0.2">
      <c r="B144" s="34"/>
      <c r="C144" s="99"/>
      <c r="D144" s="99"/>
      <c r="E144" s="99"/>
      <c r="F144" s="99"/>
      <c r="G144" s="102"/>
      <c r="H144" s="109"/>
      <c r="I144" s="102"/>
      <c r="J144" s="103"/>
      <c r="K144" s="103"/>
      <c r="L144" s="103"/>
      <c r="M144" s="103"/>
    </row>
    <row r="145" spans="2:13" ht="17" x14ac:dyDescent="0.2">
      <c r="B145" s="141" t="s">
        <v>131</v>
      </c>
      <c r="C145" s="141"/>
      <c r="D145" s="99"/>
      <c r="E145" s="99"/>
      <c r="F145" s="99"/>
      <c r="G145" s="102"/>
      <c r="H145" s="108"/>
      <c r="I145" s="102"/>
      <c r="J145" s="103"/>
      <c r="K145" s="103"/>
      <c r="L145" s="103"/>
      <c r="M145" s="103"/>
    </row>
    <row r="146" spans="2:13" x14ac:dyDescent="0.2">
      <c r="B146" s="135" t="s">
        <v>98</v>
      </c>
      <c r="C146" s="135"/>
      <c r="D146" s="99"/>
      <c r="E146" s="99"/>
      <c r="F146" s="99"/>
      <c r="G146" s="109">
        <f>G149+G148-G147</f>
        <v>5237</v>
      </c>
      <c r="H146" s="109">
        <f>G149</f>
        <v>4881</v>
      </c>
      <c r="I146" s="109">
        <f>H149</f>
        <v>3663</v>
      </c>
      <c r="J146" s="104">
        <f>I149</f>
        <v>3462</v>
      </c>
      <c r="K146" s="104">
        <f t="shared" ref="K146:M146" si="66">J149</f>
        <v>3462</v>
      </c>
      <c r="L146" s="104">
        <f t="shared" si="66"/>
        <v>3340</v>
      </c>
      <c r="M146" s="104">
        <f t="shared" si="66"/>
        <v>3235</v>
      </c>
    </row>
    <row r="147" spans="2:13" x14ac:dyDescent="0.2">
      <c r="B147" s="135" t="s">
        <v>132</v>
      </c>
      <c r="C147" s="135"/>
      <c r="D147" s="99"/>
      <c r="E147" s="99"/>
      <c r="F147" s="99"/>
      <c r="G147" s="109">
        <v>0</v>
      </c>
      <c r="H147" s="109">
        <f>H149+H148-H146</f>
        <v>-774</v>
      </c>
      <c r="I147" s="109">
        <f>I149+I148-I146</f>
        <v>211</v>
      </c>
      <c r="J147" s="109">
        <f t="shared" ref="J147:M147" si="67">J149+J148-J146</f>
        <v>200</v>
      </c>
      <c r="K147" s="109">
        <f>K149+K148-K146</f>
        <v>90</v>
      </c>
      <c r="L147" s="109">
        <f t="shared" si="67"/>
        <v>129</v>
      </c>
      <c r="M147" s="109">
        <f t="shared" si="67"/>
        <v>110</v>
      </c>
    </row>
    <row r="148" spans="2:13" x14ac:dyDescent="0.2">
      <c r="B148" s="140" t="s">
        <v>23</v>
      </c>
      <c r="C148" s="134"/>
      <c r="D148" s="99"/>
      <c r="E148" s="99"/>
      <c r="F148" s="99"/>
      <c r="G148" s="109">
        <v>356</v>
      </c>
      <c r="H148" s="109">
        <v>444</v>
      </c>
      <c r="I148" s="109">
        <v>412</v>
      </c>
      <c r="J148" s="104">
        <v>200</v>
      </c>
      <c r="K148" s="104">
        <v>212</v>
      </c>
      <c r="L148" s="104">
        <v>234</v>
      </c>
      <c r="M148" s="104">
        <v>155</v>
      </c>
    </row>
    <row r="149" spans="2:13" x14ac:dyDescent="0.2">
      <c r="B149" s="134" t="s">
        <v>100</v>
      </c>
      <c r="C149" s="134"/>
      <c r="D149" s="99"/>
      <c r="E149" s="99"/>
      <c r="F149" s="99"/>
      <c r="G149" s="109">
        <v>4881</v>
      </c>
      <c r="H149" s="109">
        <v>3663</v>
      </c>
      <c r="I149" s="109">
        <v>3462</v>
      </c>
      <c r="J149" s="109">
        <v>3462</v>
      </c>
      <c r="K149" s="109">
        <v>3340</v>
      </c>
      <c r="L149" s="109">
        <v>3235</v>
      </c>
      <c r="M149" s="109">
        <v>3190</v>
      </c>
    </row>
    <row r="150" spans="2:13" x14ac:dyDescent="0.2">
      <c r="B150" s="5"/>
      <c r="C150" s="5"/>
      <c r="D150" s="99"/>
      <c r="E150" s="99"/>
      <c r="F150" s="99"/>
      <c r="G150" s="109"/>
      <c r="H150" s="109"/>
      <c r="I150" s="109"/>
      <c r="J150" s="109"/>
      <c r="K150" s="109"/>
      <c r="L150" s="109"/>
      <c r="M150" s="109"/>
    </row>
    <row r="151" spans="2:13" x14ac:dyDescent="0.2">
      <c r="B151" s="140" t="s">
        <v>134</v>
      </c>
      <c r="C151" s="134"/>
      <c r="D151" s="99"/>
      <c r="E151" s="99"/>
      <c r="F151" s="99"/>
      <c r="G151" s="109">
        <v>10874</v>
      </c>
      <c r="H151" s="109">
        <v>9343</v>
      </c>
      <c r="I151" s="109">
        <v>5801</v>
      </c>
      <c r="J151" s="109">
        <v>5801</v>
      </c>
      <c r="K151" s="109">
        <v>5801</v>
      </c>
      <c r="L151" s="109">
        <v>5801</v>
      </c>
      <c r="M151" s="109">
        <v>5801</v>
      </c>
    </row>
    <row r="152" spans="2:13" x14ac:dyDescent="0.2">
      <c r="B152" s="2"/>
      <c r="C152" s="5"/>
      <c r="D152" s="99"/>
      <c r="E152" s="99"/>
      <c r="F152" s="99"/>
      <c r="G152" s="109"/>
      <c r="H152" s="109"/>
      <c r="I152" s="109"/>
      <c r="J152" s="109"/>
      <c r="K152" s="109"/>
      <c r="L152" s="109"/>
      <c r="M152" s="109"/>
    </row>
    <row r="153" spans="2:13" x14ac:dyDescent="0.2">
      <c r="B153" s="140" t="s">
        <v>135</v>
      </c>
      <c r="C153" s="134"/>
      <c r="D153" s="99"/>
      <c r="E153" s="99"/>
      <c r="F153" s="99"/>
      <c r="G153" s="110">
        <f>370+613</f>
        <v>983</v>
      </c>
      <c r="H153" s="110">
        <f>140+429</f>
        <v>569</v>
      </c>
      <c r="I153" s="110">
        <f>126+389</f>
        <v>515</v>
      </c>
      <c r="J153" s="110">
        <f t="shared" ref="J153:M153" si="68">126+389</f>
        <v>515</v>
      </c>
      <c r="K153" s="110">
        <f t="shared" si="68"/>
        <v>515</v>
      </c>
      <c r="L153" s="110">
        <f t="shared" si="68"/>
        <v>515</v>
      </c>
      <c r="M153" s="110">
        <f t="shared" si="68"/>
        <v>515</v>
      </c>
    </row>
    <row r="154" spans="2:13" ht="17" thickBot="1" x14ac:dyDescent="0.25"/>
    <row r="155" spans="2:13" x14ac:dyDescent="0.2">
      <c r="B155" s="69" t="s">
        <v>81</v>
      </c>
      <c r="C155" s="49"/>
      <c r="D155" s="49"/>
      <c r="E155" s="49"/>
      <c r="F155" s="49"/>
      <c r="G155" s="50">
        <v>465</v>
      </c>
      <c r="H155" s="50">
        <v>550</v>
      </c>
      <c r="I155" s="50">
        <f>CHOOSE(CASE,I158,I161)</f>
        <v>512</v>
      </c>
      <c r="J155" s="50">
        <f>CHOOSE(CASE,J158,J161)</f>
        <v>523.35085714285719</v>
      </c>
      <c r="K155" s="50">
        <f>CHOOSE(CASE,K158,K161)</f>
        <v>475.1337142857144</v>
      </c>
      <c r="L155" s="50">
        <f>CHOOSE(CASE,L158,L161)</f>
        <v>566.13228571428567</v>
      </c>
      <c r="M155" s="51">
        <f>CHOOSE(CASE,M158,M161)</f>
        <v>631.73171428571413</v>
      </c>
    </row>
    <row r="156" spans="2:13" ht="17" thickBot="1" x14ac:dyDescent="0.25">
      <c r="B156" s="52" t="s">
        <v>59</v>
      </c>
      <c r="C156" s="54"/>
      <c r="D156" s="54"/>
      <c r="E156" s="54"/>
      <c r="F156" s="54"/>
      <c r="G156" s="56">
        <v>0.13513513513513514</v>
      </c>
      <c r="H156" s="56">
        <v>0.16364177328176138</v>
      </c>
      <c r="I156" s="56">
        <f>CHOOSE(CASE, I159,I162)</f>
        <v>0.1462857142857143</v>
      </c>
      <c r="J156" s="56">
        <f>CHOOSE(CASE, J159,J162)</f>
        <v>0.14236965645888389</v>
      </c>
      <c r="K156" s="56">
        <f>CHOOSE(CASE, K159,K162)</f>
        <v>0.12071486643437866</v>
      </c>
      <c r="L156" s="56">
        <f>CHOOSE(CASE, L159,L162)</f>
        <v>0.13396409979041307</v>
      </c>
      <c r="M156" s="57">
        <f>CHOOSE(CASE, M159,M162)</f>
        <v>0.14029129786491543</v>
      </c>
    </row>
    <row r="158" spans="2:13" x14ac:dyDescent="0.2">
      <c r="B158" s="141" t="s">
        <v>89</v>
      </c>
      <c r="C158" s="141"/>
      <c r="G158" s="23">
        <f>G99</f>
        <v>465</v>
      </c>
      <c r="H158" s="23">
        <f>H99</f>
        <v>550</v>
      </c>
      <c r="I158" s="23">
        <f>I99</f>
        <v>512</v>
      </c>
      <c r="J158" s="23">
        <f>J135+J148</f>
        <v>504.76279795482526</v>
      </c>
      <c r="K158" s="23">
        <f>K135+K148</f>
        <v>548.88224000000002</v>
      </c>
      <c r="L158" s="23">
        <f t="shared" ref="L158" si="69">L135+L148</f>
        <v>610.53660000000002</v>
      </c>
      <c r="M158" s="23">
        <f>M135+M148</f>
        <v>580.5335</v>
      </c>
    </row>
    <row r="159" spans="2:13" x14ac:dyDescent="0.2">
      <c r="B159" s="150" t="s">
        <v>59</v>
      </c>
      <c r="C159" s="150"/>
      <c r="D159" s="41"/>
      <c r="E159" s="41"/>
      <c r="F159" s="41"/>
      <c r="G159" s="30">
        <f>G158/G61</f>
        <v>0.13513513513513514</v>
      </c>
      <c r="H159" s="30">
        <f>H158/H61</f>
        <v>0.16364177328176138</v>
      </c>
      <c r="I159" s="30">
        <f>I158/I61</f>
        <v>0.1462857142857143</v>
      </c>
      <c r="J159" s="30">
        <f>J158/J61</f>
        <v>0.1373130571150232</v>
      </c>
      <c r="K159" s="30">
        <f t="shared" ref="K159:M159" si="70">K158/K61</f>
        <v>0.13945178861788618</v>
      </c>
      <c r="L159" s="30">
        <f t="shared" si="70"/>
        <v>0.14447150970184572</v>
      </c>
      <c r="M159" s="30">
        <f t="shared" si="70"/>
        <v>0.12892149677992448</v>
      </c>
    </row>
    <row r="161" spans="2:13" x14ac:dyDescent="0.2">
      <c r="B161" s="141" t="s">
        <v>90</v>
      </c>
      <c r="C161" s="141"/>
      <c r="G161" s="23">
        <v>465</v>
      </c>
      <c r="H161" s="23">
        <v>550</v>
      </c>
      <c r="I161" s="23">
        <v>512</v>
      </c>
      <c r="J161" s="23">
        <f>J106-J76</f>
        <v>523.35085714285719</v>
      </c>
      <c r="K161" s="23">
        <f>K106-K76</f>
        <v>475.1337142857144</v>
      </c>
      <c r="L161" s="23">
        <f>L106-L76</f>
        <v>566.13228571428567</v>
      </c>
      <c r="M161" s="23">
        <f>M106-M76</f>
        <v>631.73171428571413</v>
      </c>
    </row>
    <row r="162" spans="2:13" x14ac:dyDescent="0.2">
      <c r="B162" s="150" t="s">
        <v>59</v>
      </c>
      <c r="C162" s="150"/>
      <c r="D162" s="41"/>
      <c r="E162" s="41"/>
      <c r="F162" s="41"/>
      <c r="G162" s="30">
        <v>0.135135135135135</v>
      </c>
      <c r="H162" s="30">
        <v>0.16364177328176099</v>
      </c>
      <c r="I162" s="30">
        <v>0.1462857142857143</v>
      </c>
      <c r="J162" s="30">
        <f>J161/J61</f>
        <v>0.14236965645888389</v>
      </c>
      <c r="K162" s="30">
        <f>K161/K61</f>
        <v>0.12071486643437866</v>
      </c>
      <c r="L162" s="30">
        <f>L161/L61</f>
        <v>0.13396409979041307</v>
      </c>
      <c r="M162" s="30">
        <f>M161/M61</f>
        <v>0.14029129786491543</v>
      </c>
    </row>
    <row r="163" spans="2:13" ht="17" thickBot="1" x14ac:dyDescent="0.25"/>
    <row r="164" spans="2:13" x14ac:dyDescent="0.2">
      <c r="B164" s="47" t="s">
        <v>91</v>
      </c>
      <c r="C164" s="48"/>
      <c r="D164" s="49"/>
      <c r="E164" s="49"/>
      <c r="F164" s="49"/>
      <c r="G164" s="50">
        <f>G132</f>
        <v>328</v>
      </c>
      <c r="H164" s="50">
        <f t="shared" ref="H164:M164" si="71">H132</f>
        <v>305</v>
      </c>
      <c r="I164" s="50">
        <f t="shared" si="71"/>
        <v>316</v>
      </c>
      <c r="J164" s="50">
        <f t="shared" si="71"/>
        <v>338.62533106091695</v>
      </c>
      <c r="K164" s="50">
        <f t="shared" si="71"/>
        <v>374.31360000000001</v>
      </c>
      <c r="L164" s="50">
        <f t="shared" si="71"/>
        <v>418.37400000000002</v>
      </c>
      <c r="M164" s="50">
        <f t="shared" si="71"/>
        <v>472.815</v>
      </c>
    </row>
    <row r="165" spans="2:13" ht="17" thickBot="1" x14ac:dyDescent="0.25">
      <c r="B165" s="52" t="s">
        <v>59</v>
      </c>
      <c r="C165" s="53"/>
      <c r="D165" s="65"/>
      <c r="E165" s="65"/>
      <c r="F165" s="65"/>
      <c r="G165" s="55">
        <f>G164/G61</f>
        <v>9.5321127579192089E-2</v>
      </c>
      <c r="H165" s="55">
        <f>H164/H61</f>
        <v>9.0746801547158584E-2</v>
      </c>
      <c r="I165" s="55">
        <f>I164/I61</f>
        <v>9.0285714285714289E-2</v>
      </c>
      <c r="J165" s="55">
        <f>AVERAGE(G165:I165)</f>
        <v>9.2117881137354987E-2</v>
      </c>
      <c r="K165" s="55">
        <f>K133</f>
        <v>9.5100000000000004E-2</v>
      </c>
      <c r="L165" s="55">
        <f t="shared" ref="L165:M165" si="72">L133</f>
        <v>9.9000000000000005E-2</v>
      </c>
      <c r="M165" s="55">
        <f t="shared" si="72"/>
        <v>0.105</v>
      </c>
    </row>
    <row r="167" spans="2:13" x14ac:dyDescent="0.2">
      <c r="B167" s="27" t="s">
        <v>138</v>
      </c>
      <c r="C167" s="27"/>
      <c r="D167" s="27"/>
      <c r="E167" s="27"/>
      <c r="F167" s="27"/>
      <c r="G167" s="27">
        <v>2019</v>
      </c>
      <c r="H167" s="27">
        <v>2020</v>
      </c>
      <c r="I167" s="27">
        <v>2021</v>
      </c>
      <c r="J167" s="28" t="s">
        <v>72</v>
      </c>
      <c r="K167" s="28" t="s">
        <v>53</v>
      </c>
      <c r="L167" s="28" t="s">
        <v>54</v>
      </c>
      <c r="M167" s="28" t="s">
        <v>55</v>
      </c>
    </row>
    <row r="169" spans="2:13" x14ac:dyDescent="0.2">
      <c r="B169" t="s">
        <v>67</v>
      </c>
      <c r="J169" s="23">
        <f ca="1">J91</f>
        <v>55.405454156736475</v>
      </c>
      <c r="K169" s="23">
        <f t="shared" ref="K169:M169" ca="1" si="73">K91</f>
        <v>229.91633449488793</v>
      </c>
      <c r="L169" s="23">
        <f t="shared" ca="1" si="73"/>
        <v>393.44039196989456</v>
      </c>
      <c r="M169" s="23">
        <f t="shared" ca="1" si="73"/>
        <v>542.92363492834113</v>
      </c>
    </row>
    <row r="170" spans="2:13" x14ac:dyDescent="0.2">
      <c r="B170" t="s">
        <v>81</v>
      </c>
      <c r="J170" s="23">
        <f>J155</f>
        <v>523.35085714285719</v>
      </c>
      <c r="K170" s="23">
        <f t="shared" ref="K170:M170" si="74">K155</f>
        <v>475.1337142857144</v>
      </c>
      <c r="L170" s="23">
        <f t="shared" si="74"/>
        <v>566.13228571428567</v>
      </c>
      <c r="M170" s="23">
        <f t="shared" si="74"/>
        <v>631.73171428571413</v>
      </c>
    </row>
    <row r="171" spans="2:13" x14ac:dyDescent="0.2">
      <c r="B171" t="s">
        <v>139</v>
      </c>
      <c r="J171" s="23">
        <f>J128</f>
        <v>-176.72793712523981</v>
      </c>
      <c r="K171" s="23">
        <f t="shared" ref="K171:M171" si="75">K128</f>
        <v>-5.2147071960182529</v>
      </c>
      <c r="L171" s="23">
        <f t="shared" si="75"/>
        <v>-5.8164041801737767</v>
      </c>
      <c r="M171" s="23">
        <f t="shared" si="75"/>
        <v>-5.5556688203732847</v>
      </c>
    </row>
    <row r="172" spans="2:13" ht="17" thickBot="1" x14ac:dyDescent="0.25">
      <c r="B172" t="s">
        <v>140</v>
      </c>
      <c r="J172" s="23">
        <f>(J151-I151)-(I153-J153)</f>
        <v>0</v>
      </c>
      <c r="K172" s="23">
        <f t="shared" ref="K172:M172" si="76">(K151-J151)-(J153-K153)</f>
        <v>0</v>
      </c>
      <c r="L172" s="23">
        <f t="shared" si="76"/>
        <v>0</v>
      </c>
      <c r="M172" s="23">
        <f t="shared" si="76"/>
        <v>0</v>
      </c>
    </row>
    <row r="173" spans="2:13" ht="17" thickBot="1" x14ac:dyDescent="0.25">
      <c r="B173" s="3" t="s">
        <v>141</v>
      </c>
      <c r="C173" s="3"/>
      <c r="D173" s="3"/>
      <c r="E173" s="3"/>
      <c r="F173" s="3"/>
      <c r="G173" s="3"/>
      <c r="H173" s="3"/>
      <c r="I173" s="3"/>
      <c r="J173" s="117">
        <f>J264</f>
        <v>0</v>
      </c>
      <c r="K173" s="118">
        <f t="shared" ref="K173:M173" si="77">K264</f>
        <v>0</v>
      </c>
      <c r="L173" s="118">
        <f t="shared" si="77"/>
        <v>0</v>
      </c>
      <c r="M173" s="119">
        <f t="shared" si="77"/>
        <v>0</v>
      </c>
    </row>
    <row r="174" spans="2:13" x14ac:dyDescent="0.2">
      <c r="B174" s="31" t="s">
        <v>142</v>
      </c>
      <c r="J174" s="111">
        <f ca="1">J169+J170-J171-J172+J173</f>
        <v>755.48424842483348</v>
      </c>
      <c r="K174" s="111">
        <f t="shared" ref="K174:M174" ca="1" si="78">K169+K170-K171-K172+K173</f>
        <v>710.26475597662056</v>
      </c>
      <c r="L174" s="111">
        <f t="shared" ca="1" si="78"/>
        <v>965.38908186435401</v>
      </c>
      <c r="M174" s="111">
        <f t="shared" ca="1" si="78"/>
        <v>1180.2110180344284</v>
      </c>
    </row>
    <row r="176" spans="2:13" x14ac:dyDescent="0.2">
      <c r="B176" t="s">
        <v>143</v>
      </c>
      <c r="J176" s="23">
        <f>J164</f>
        <v>338.62533106091695</v>
      </c>
      <c r="K176" s="23">
        <f>K164</f>
        <v>374.31360000000001</v>
      </c>
      <c r="L176" s="23">
        <f t="shared" ref="L176:M176" si="79">L164</f>
        <v>418.37400000000002</v>
      </c>
      <c r="M176" s="23">
        <f t="shared" si="79"/>
        <v>472.815</v>
      </c>
    </row>
    <row r="177" spans="2:13" x14ac:dyDescent="0.2">
      <c r="B177" s="3" t="s">
        <v>144</v>
      </c>
      <c r="C177" s="3"/>
      <c r="D177" s="3"/>
      <c r="E177" s="3"/>
      <c r="F177" s="3"/>
      <c r="G177" s="3"/>
      <c r="H177" s="3"/>
      <c r="I177" s="3"/>
      <c r="J177" s="112">
        <f>J147</f>
        <v>200</v>
      </c>
      <c r="K177" s="112">
        <f>K147</f>
        <v>90</v>
      </c>
      <c r="L177" s="112">
        <f t="shared" ref="L177:M177" si="80">L147</f>
        <v>129</v>
      </c>
      <c r="M177" s="112">
        <f t="shared" si="80"/>
        <v>110</v>
      </c>
    </row>
    <row r="178" spans="2:13" x14ac:dyDescent="0.2">
      <c r="B178" s="31" t="s">
        <v>148</v>
      </c>
      <c r="J178" s="111">
        <f>SUM(J176:J177)</f>
        <v>538.62533106091701</v>
      </c>
      <c r="K178" s="111">
        <f t="shared" ref="K178:M178" si="81">SUM(K176:K177)</f>
        <v>464.31360000000001</v>
      </c>
      <c r="L178" s="111">
        <f t="shared" si="81"/>
        <v>547.37400000000002</v>
      </c>
      <c r="M178" s="111">
        <f t="shared" si="81"/>
        <v>582.81500000000005</v>
      </c>
    </row>
    <row r="180" spans="2:13" x14ac:dyDescent="0.2">
      <c r="B180" t="s">
        <v>178</v>
      </c>
      <c r="J180" s="23">
        <f>J274</f>
        <v>0</v>
      </c>
      <c r="K180" s="23">
        <f t="shared" ref="K180:M180" si="82">K274</f>
        <v>0</v>
      </c>
      <c r="L180" s="23">
        <f t="shared" si="82"/>
        <v>0</v>
      </c>
      <c r="M180" s="23">
        <f t="shared" si="82"/>
        <v>0</v>
      </c>
    </row>
    <row r="181" spans="2:13" x14ac:dyDescent="0.2">
      <c r="B181" t="s">
        <v>149</v>
      </c>
      <c r="J181" s="23">
        <f>J227+J236+J245+J254+J263</f>
        <v>0</v>
      </c>
      <c r="K181" s="23">
        <f t="shared" ref="K181:M181" ca="1" si="83">K227+K236+K245+K254+K263</f>
        <v>0</v>
      </c>
      <c r="L181" s="23">
        <f t="shared" ca="1" si="83"/>
        <v>0</v>
      </c>
      <c r="M181" s="23">
        <f t="shared" ca="1" si="83"/>
        <v>0</v>
      </c>
    </row>
    <row r="182" spans="2:13" x14ac:dyDescent="0.2">
      <c r="B182" s="31" t="s">
        <v>150</v>
      </c>
      <c r="J182" s="23">
        <f ca="1">J174-J178-J180</f>
        <v>216.85891736391648</v>
      </c>
      <c r="K182" s="23">
        <f t="shared" ref="K182:M182" ca="1" si="84">K174-K178-K180</f>
        <v>245.95115597662056</v>
      </c>
      <c r="L182" s="23">
        <f t="shared" ca="1" si="84"/>
        <v>418.01508186435399</v>
      </c>
      <c r="M182" s="23">
        <f t="shared" ca="1" si="84"/>
        <v>597.39601803442838</v>
      </c>
    </row>
    <row r="184" spans="2:13" x14ac:dyDescent="0.2">
      <c r="B184" t="s">
        <v>145</v>
      </c>
      <c r="J184" s="23">
        <f ca="1">J220</f>
        <v>0</v>
      </c>
      <c r="K184" s="23">
        <f t="shared" ref="K184:M184" ca="1" si="85">K221</f>
        <v>0</v>
      </c>
      <c r="L184" s="23">
        <f t="shared" ca="1" si="85"/>
        <v>0</v>
      </c>
      <c r="M184" s="23">
        <f t="shared" ca="1" si="85"/>
        <v>0</v>
      </c>
    </row>
    <row r="185" spans="2:13" x14ac:dyDescent="0.2">
      <c r="B185" s="31" t="s">
        <v>151</v>
      </c>
      <c r="J185" s="23">
        <f ca="1">J182+J184</f>
        <v>216.85891736391648</v>
      </c>
      <c r="K185" s="23">
        <f t="shared" ref="K185:M185" ca="1" si="86">K182+K184</f>
        <v>245.95115597662056</v>
      </c>
      <c r="L185" s="23">
        <f t="shared" ca="1" si="86"/>
        <v>418.01508186435399</v>
      </c>
      <c r="M185" s="23">
        <f t="shared" ca="1" si="86"/>
        <v>597.39601803442838</v>
      </c>
    </row>
    <row r="187" spans="2:13" x14ac:dyDescent="0.2">
      <c r="B187" s="7" t="s">
        <v>152</v>
      </c>
    </row>
    <row r="188" spans="2:13" x14ac:dyDescent="0.2">
      <c r="B188" t="s">
        <v>146</v>
      </c>
      <c r="J188" s="23">
        <f ca="1">J228</f>
        <v>496.85891736391648</v>
      </c>
      <c r="K188" s="23">
        <f t="shared" ref="K188:M188" ca="1" si="87">K228</f>
        <v>525.95115597662061</v>
      </c>
      <c r="L188" s="23">
        <f t="shared" ca="1" si="87"/>
        <v>698.01508186435399</v>
      </c>
      <c r="M188" s="23">
        <f t="shared" ca="1" si="87"/>
        <v>877.39601803442838</v>
      </c>
    </row>
    <row r="189" spans="2:13" x14ac:dyDescent="0.2">
      <c r="B189" t="s">
        <v>147</v>
      </c>
      <c r="J189" s="23">
        <f ca="1">J237</f>
        <v>0</v>
      </c>
      <c r="K189" s="23">
        <f t="shared" ref="K189:M189" ca="1" si="88">K237</f>
        <v>0</v>
      </c>
      <c r="L189" s="23">
        <f t="shared" ca="1" si="88"/>
        <v>0</v>
      </c>
      <c r="M189" s="23">
        <f t="shared" ca="1" si="88"/>
        <v>0</v>
      </c>
    </row>
    <row r="190" spans="2:13" x14ac:dyDescent="0.2">
      <c r="B190" t="s">
        <v>177</v>
      </c>
      <c r="J190" s="23">
        <f ca="1">J232+J241+J250+J259+J268</f>
        <v>496.85891736391648</v>
      </c>
      <c r="K190" s="23">
        <f t="shared" ref="K190:M190" ca="1" si="89">K232+K241+K250+K259+K268</f>
        <v>525.95115597662061</v>
      </c>
      <c r="L190" s="23">
        <f t="shared" ca="1" si="89"/>
        <v>698.01508186435399</v>
      </c>
      <c r="M190" s="23">
        <f t="shared" ca="1" si="89"/>
        <v>877.39601803442838</v>
      </c>
    </row>
    <row r="191" spans="2:13" x14ac:dyDescent="0.2">
      <c r="B191" s="31" t="s">
        <v>153</v>
      </c>
      <c r="J191" s="23">
        <f ca="1">J188+J189-J190</f>
        <v>0</v>
      </c>
      <c r="K191" s="23">
        <f t="shared" ref="K191:L191" ca="1" si="90">K188+K189-K190</f>
        <v>0</v>
      </c>
      <c r="L191" s="23">
        <f t="shared" ca="1" si="90"/>
        <v>0</v>
      </c>
      <c r="M191" s="23">
        <f ca="1">M188+M189-M190</f>
        <v>0</v>
      </c>
    </row>
    <row r="192" spans="2:13" x14ac:dyDescent="0.2">
      <c r="B192" s="31"/>
    </row>
    <row r="193" spans="2:13" x14ac:dyDescent="0.2">
      <c r="B193" s="173" t="s">
        <v>164</v>
      </c>
      <c r="C193" s="173"/>
      <c r="J193" s="23">
        <f ca="1">J191</f>
        <v>0</v>
      </c>
      <c r="K193" s="23">
        <f t="shared" ref="K193:M193" ca="1" si="91">K191</f>
        <v>0</v>
      </c>
      <c r="L193" s="23">
        <f t="shared" ca="1" si="91"/>
        <v>0</v>
      </c>
      <c r="M193" s="23">
        <f t="shared" ca="1" si="91"/>
        <v>0</v>
      </c>
    </row>
    <row r="195" spans="2:13" x14ac:dyDescent="0.2">
      <c r="B195" t="s">
        <v>143</v>
      </c>
    </row>
    <row r="196" spans="2:13" x14ac:dyDescent="0.2">
      <c r="B196" t="s">
        <v>92</v>
      </c>
      <c r="G196" s="23">
        <f t="shared" ref="G196:M196" si="92">G91</f>
        <v>568</v>
      </c>
      <c r="H196" s="23">
        <f t="shared" si="92"/>
        <v>206</v>
      </c>
      <c r="I196" s="23">
        <f t="shared" si="92"/>
        <v>589</v>
      </c>
      <c r="J196" s="23">
        <f ca="1">J91</f>
        <v>55.405454156736475</v>
      </c>
      <c r="K196" s="23">
        <f t="shared" ca="1" si="92"/>
        <v>229.91633449488793</v>
      </c>
      <c r="L196" s="23">
        <f t="shared" ca="1" si="92"/>
        <v>393.44039196989456</v>
      </c>
      <c r="M196" s="23">
        <f t="shared" ca="1" si="92"/>
        <v>542.92363492834113</v>
      </c>
    </row>
    <row r="197" spans="2:13" x14ac:dyDescent="0.2">
      <c r="B197" t="s">
        <v>81</v>
      </c>
      <c r="G197" s="23">
        <f>G155</f>
        <v>465</v>
      </c>
      <c r="H197" s="23">
        <f t="shared" ref="H197:M197" si="93">H155</f>
        <v>550</v>
      </c>
      <c r="I197" s="23">
        <f t="shared" si="93"/>
        <v>512</v>
      </c>
      <c r="J197" s="23">
        <f t="shared" si="93"/>
        <v>523.35085714285719</v>
      </c>
      <c r="K197" s="23">
        <f t="shared" si="93"/>
        <v>475.1337142857144</v>
      </c>
      <c r="L197" s="23">
        <f t="shared" si="93"/>
        <v>566.13228571428567</v>
      </c>
      <c r="M197" s="23">
        <f t="shared" si="93"/>
        <v>631.73171428571413</v>
      </c>
    </row>
    <row r="198" spans="2:13" x14ac:dyDescent="0.2">
      <c r="B198" t="s">
        <v>91</v>
      </c>
      <c r="G198" s="23">
        <f t="shared" ref="G198:M198" si="94">G164</f>
        <v>328</v>
      </c>
      <c r="H198" s="23">
        <f t="shared" si="94"/>
        <v>305</v>
      </c>
      <c r="I198" s="23">
        <f t="shared" si="94"/>
        <v>316</v>
      </c>
      <c r="J198" s="23">
        <f t="shared" si="94"/>
        <v>338.62533106091695</v>
      </c>
      <c r="K198" s="23">
        <f t="shared" si="94"/>
        <v>374.31360000000001</v>
      </c>
      <c r="L198" s="23">
        <f t="shared" si="94"/>
        <v>418.37400000000002</v>
      </c>
      <c r="M198" s="23">
        <f t="shared" si="94"/>
        <v>472.815</v>
      </c>
    </row>
    <row r="199" spans="2:13" x14ac:dyDescent="0.2">
      <c r="B199" t="s">
        <v>88</v>
      </c>
      <c r="G199" s="23" t="str">
        <f t="shared" ref="G199:M199" si="95">G128</f>
        <v>----</v>
      </c>
      <c r="H199" s="23">
        <f t="shared" si="95"/>
        <v>-228</v>
      </c>
      <c r="I199" s="23">
        <f t="shared" si="95"/>
        <v>368</v>
      </c>
      <c r="J199" s="23">
        <f t="shared" si="95"/>
        <v>-176.72793712523981</v>
      </c>
      <c r="K199" s="23">
        <f t="shared" si="95"/>
        <v>-5.2147071960182529</v>
      </c>
      <c r="L199" s="23">
        <f t="shared" si="95"/>
        <v>-5.8164041801737767</v>
      </c>
      <c r="M199" s="23">
        <f t="shared" si="95"/>
        <v>-5.5556688203732847</v>
      </c>
    </row>
    <row r="200" spans="2:13" ht="17" thickBot="1" x14ac:dyDescent="0.25">
      <c r="B200" t="s">
        <v>93</v>
      </c>
      <c r="G200">
        <v>0</v>
      </c>
      <c r="H200">
        <v>0</v>
      </c>
      <c r="I200">
        <v>0</v>
      </c>
      <c r="J200">
        <v>0</v>
      </c>
      <c r="K200">
        <v>0</v>
      </c>
      <c r="L200">
        <v>0</v>
      </c>
      <c r="M200">
        <v>0</v>
      </c>
    </row>
    <row r="201" spans="2:13" ht="17" thickBot="1" x14ac:dyDescent="0.25">
      <c r="B201" s="70" t="s">
        <v>94</v>
      </c>
      <c r="C201" s="58"/>
      <c r="D201" s="58"/>
      <c r="E201" s="58"/>
      <c r="F201" s="58"/>
      <c r="G201" s="59">
        <f>G196+G197-G198-G200</f>
        <v>705</v>
      </c>
      <c r="H201" s="59">
        <f t="shared" ref="H201:M201" si="96">H196+H197-H198-H199-H200</f>
        <v>679</v>
      </c>
      <c r="I201" s="59">
        <f t="shared" si="96"/>
        <v>417</v>
      </c>
      <c r="J201" s="59">
        <f t="shared" ca="1" si="96"/>
        <v>416.85891736391653</v>
      </c>
      <c r="K201" s="59">
        <f t="shared" ca="1" si="96"/>
        <v>335.95115597662056</v>
      </c>
      <c r="L201" s="59">
        <f t="shared" ca="1" si="96"/>
        <v>547.01508186435399</v>
      </c>
      <c r="M201" s="68">
        <f t="shared" ca="1" si="96"/>
        <v>707.39601803442838</v>
      </c>
    </row>
    <row r="203" spans="2:13" ht="22" x14ac:dyDescent="0.3">
      <c r="B203" s="87" t="s">
        <v>95</v>
      </c>
      <c r="C203" s="87"/>
      <c r="D203" s="87"/>
      <c r="E203" s="87"/>
      <c r="F203" s="87"/>
      <c r="G203" s="87"/>
      <c r="H203" s="87"/>
      <c r="I203" s="87"/>
      <c r="J203" s="87"/>
      <c r="K203" s="87"/>
      <c r="L203" s="87"/>
      <c r="M203" s="87"/>
    </row>
    <row r="205" spans="2:13" x14ac:dyDescent="0.2">
      <c r="B205" s="27" t="s">
        <v>96</v>
      </c>
      <c r="C205" s="27"/>
      <c r="D205" s="27"/>
      <c r="E205" s="27"/>
      <c r="F205" s="27"/>
      <c r="G205" s="27">
        <v>2019</v>
      </c>
      <c r="H205" s="27">
        <v>2020</v>
      </c>
      <c r="I205" s="27">
        <v>2021</v>
      </c>
      <c r="J205" s="28" t="s">
        <v>72</v>
      </c>
      <c r="K205" s="28" t="s">
        <v>53</v>
      </c>
      <c r="L205" s="28" t="s">
        <v>54</v>
      </c>
      <c r="M205" s="28" t="s">
        <v>55</v>
      </c>
    </row>
    <row r="207" spans="2:13" x14ac:dyDescent="0.2">
      <c r="B207" s="139" t="s">
        <v>97</v>
      </c>
      <c r="C207" s="139"/>
    </row>
    <row r="208" spans="2:13" x14ac:dyDescent="0.2">
      <c r="B208" s="135" t="s">
        <v>98</v>
      </c>
      <c r="C208" s="135"/>
      <c r="J208" s="23">
        <f>I210</f>
        <v>380</v>
      </c>
      <c r="K208" s="23">
        <f ca="1">J210</f>
        <v>380</v>
      </c>
      <c r="L208" s="23">
        <f t="shared" ref="L208:M208" ca="1" si="97">K210</f>
        <v>380</v>
      </c>
      <c r="M208" s="23">
        <f t="shared" ca="1" si="97"/>
        <v>380</v>
      </c>
    </row>
    <row r="209" spans="2:13" x14ac:dyDescent="0.2">
      <c r="B209" s="135" t="s">
        <v>99</v>
      </c>
      <c r="C209" s="135"/>
      <c r="J209" s="23">
        <f ca="1">J193</f>
        <v>0</v>
      </c>
      <c r="K209" s="23">
        <f t="shared" ref="K209:M209" ca="1" si="98">K193</f>
        <v>0</v>
      </c>
      <c r="L209" s="23">
        <f t="shared" ca="1" si="98"/>
        <v>0</v>
      </c>
      <c r="M209" s="23">
        <f t="shared" ca="1" si="98"/>
        <v>0</v>
      </c>
    </row>
    <row r="210" spans="2:13" x14ac:dyDescent="0.2">
      <c r="B210" s="134" t="s">
        <v>100</v>
      </c>
      <c r="C210" s="134"/>
      <c r="I210" s="23">
        <f>E20</f>
        <v>380</v>
      </c>
      <c r="J210" s="23">
        <f ca="1">SUM(J208:J209)</f>
        <v>380</v>
      </c>
      <c r="K210" s="23">
        <f t="shared" ref="K210:M210" ca="1" si="99">SUM(K208:K209)</f>
        <v>380</v>
      </c>
      <c r="L210" s="23">
        <f t="shared" ca="1" si="99"/>
        <v>380</v>
      </c>
      <c r="M210" s="23">
        <f t="shared" ca="1" si="99"/>
        <v>380</v>
      </c>
    </row>
    <row r="211" spans="2:13" x14ac:dyDescent="0.2">
      <c r="B211" s="5"/>
      <c r="C211" s="5"/>
      <c r="I211" s="23"/>
      <c r="J211" s="23"/>
      <c r="K211" s="23"/>
      <c r="L211" s="23"/>
      <c r="M211" s="23"/>
    </row>
    <row r="212" spans="2:13" x14ac:dyDescent="0.2">
      <c r="B212" s="139" t="s">
        <v>155</v>
      </c>
      <c r="C212" s="139"/>
    </row>
    <row r="213" spans="2:13" x14ac:dyDescent="0.2">
      <c r="B213" s="135" t="s">
        <v>156</v>
      </c>
      <c r="C213" s="135"/>
      <c r="J213" s="23">
        <f>J208</f>
        <v>380</v>
      </c>
      <c r="K213" s="23">
        <f ca="1">K208</f>
        <v>380</v>
      </c>
      <c r="L213" s="23">
        <f t="shared" ref="L213:M213" ca="1" si="100">L208</f>
        <v>380</v>
      </c>
      <c r="M213" s="23">
        <f t="shared" ca="1" si="100"/>
        <v>380</v>
      </c>
    </row>
    <row r="214" spans="2:13" x14ac:dyDescent="0.2">
      <c r="B214" s="135" t="s">
        <v>157</v>
      </c>
      <c r="C214" s="135"/>
      <c r="J214" s="23">
        <f>$E$21</f>
        <v>100</v>
      </c>
      <c r="K214" s="23">
        <f t="shared" ref="K214:M214" si="101">$E$21</f>
        <v>100</v>
      </c>
      <c r="L214" s="23">
        <f t="shared" si="101"/>
        <v>100</v>
      </c>
      <c r="M214" s="23">
        <f t="shared" si="101"/>
        <v>100</v>
      </c>
    </row>
    <row r="215" spans="2:13" x14ac:dyDescent="0.2">
      <c r="B215" s="140" t="s">
        <v>158</v>
      </c>
      <c r="C215" s="140"/>
      <c r="I215" s="23"/>
      <c r="J215" s="23">
        <f>J213-J214</f>
        <v>280</v>
      </c>
      <c r="K215" s="23">
        <f t="shared" ref="K215:M215" ca="1" si="102">K213-K214</f>
        <v>280</v>
      </c>
      <c r="L215" s="23">
        <f t="shared" ca="1" si="102"/>
        <v>280</v>
      </c>
      <c r="M215" s="23">
        <f t="shared" ca="1" si="102"/>
        <v>280</v>
      </c>
    </row>
    <row r="216" spans="2:13" x14ac:dyDescent="0.2">
      <c r="B216" s="140" t="s">
        <v>159</v>
      </c>
      <c r="C216" s="140"/>
      <c r="I216" s="23"/>
      <c r="J216" s="23">
        <f ca="1">J182</f>
        <v>216.85891736391648</v>
      </c>
      <c r="K216" s="23">
        <f t="shared" ref="K216:M216" ca="1" si="103">K182</f>
        <v>245.95115597662056</v>
      </c>
      <c r="L216" s="23">
        <f t="shared" ca="1" si="103"/>
        <v>418.01508186435399</v>
      </c>
      <c r="M216" s="23">
        <f t="shared" ca="1" si="103"/>
        <v>597.39601803442838</v>
      </c>
    </row>
    <row r="217" spans="2:13" x14ac:dyDescent="0.2">
      <c r="B217" s="134" t="s">
        <v>160</v>
      </c>
      <c r="C217" s="134"/>
      <c r="D217" s="134"/>
      <c r="I217" s="23"/>
      <c r="J217" s="111">
        <f ca="1">J215+J216</f>
        <v>496.85891736391648</v>
      </c>
      <c r="K217" s="111">
        <f t="shared" ref="K217:M217" ca="1" si="104">K215+K216</f>
        <v>525.95115597662061</v>
      </c>
      <c r="L217" s="111">
        <f t="shared" ca="1" si="104"/>
        <v>698.01508186435399</v>
      </c>
      <c r="M217" s="111">
        <f t="shared" ca="1" si="104"/>
        <v>877.39601803442838</v>
      </c>
    </row>
    <row r="218" spans="2:13" x14ac:dyDescent="0.2">
      <c r="B218" s="140"/>
      <c r="C218" s="140"/>
      <c r="I218" s="23"/>
      <c r="J218" s="23"/>
      <c r="K218" s="23"/>
      <c r="L218" s="23"/>
      <c r="M218" s="23"/>
    </row>
    <row r="219" spans="2:13" x14ac:dyDescent="0.2">
      <c r="B219" s="140" t="s">
        <v>98</v>
      </c>
      <c r="C219" s="140"/>
      <c r="I219" s="23"/>
      <c r="J219" s="23">
        <v>0</v>
      </c>
      <c r="K219" s="23">
        <f ca="1">J221</f>
        <v>0</v>
      </c>
      <c r="L219" s="23">
        <f t="shared" ref="L219:M219" ca="1" si="105">K221</f>
        <v>0</v>
      </c>
      <c r="M219" s="23">
        <f t="shared" ca="1" si="105"/>
        <v>0</v>
      </c>
    </row>
    <row r="220" spans="2:13" x14ac:dyDescent="0.2">
      <c r="B220" s="140" t="s">
        <v>161</v>
      </c>
      <c r="C220" s="140"/>
      <c r="I220" s="23"/>
      <c r="J220" s="23">
        <f ca="1">MIN(J219,J217)</f>
        <v>0</v>
      </c>
      <c r="K220" s="23">
        <f ca="1">MIN(K219,K217)</f>
        <v>0</v>
      </c>
      <c r="L220" s="23">
        <f t="shared" ref="L220" ca="1" si="106">MIN(L219,L217)</f>
        <v>0</v>
      </c>
      <c r="M220" s="23">
        <f t="shared" ref="M220" ca="1" si="107">MIN(M219,M217)</f>
        <v>0</v>
      </c>
    </row>
    <row r="221" spans="2:13" x14ac:dyDescent="0.2">
      <c r="B221" s="134" t="s">
        <v>100</v>
      </c>
      <c r="C221" s="134"/>
      <c r="I221" s="23"/>
      <c r="J221" s="111">
        <f ca="1">J219-J220</f>
        <v>0</v>
      </c>
      <c r="K221" s="111">
        <f t="shared" ref="K221:M221" ca="1" si="108">K219-K220</f>
        <v>0</v>
      </c>
      <c r="L221" s="111">
        <f t="shared" ca="1" si="108"/>
        <v>0</v>
      </c>
      <c r="M221" s="111">
        <f t="shared" ca="1" si="108"/>
        <v>0</v>
      </c>
    </row>
    <row r="222" spans="2:13" x14ac:dyDescent="0.2">
      <c r="B222" s="140" t="s">
        <v>162</v>
      </c>
      <c r="C222" s="140"/>
      <c r="I222" s="23"/>
      <c r="J222" s="23">
        <v>650</v>
      </c>
      <c r="K222" s="23">
        <v>650</v>
      </c>
      <c r="L222" s="23">
        <v>650</v>
      </c>
      <c r="M222" s="23">
        <v>650</v>
      </c>
    </row>
    <row r="223" spans="2:13" x14ac:dyDescent="0.2">
      <c r="B223" s="150" t="s">
        <v>163</v>
      </c>
      <c r="C223" s="150"/>
      <c r="J223" s="115" t="str">
        <f ca="1">IF(J221&gt;J222,"OVERDRAWN","OK")</f>
        <v>OK</v>
      </c>
      <c r="K223" s="115" t="str">
        <f t="shared" ref="K223" ca="1" si="109">IF(K221&gt;K222,"OVERDRAWN","OK")</f>
        <v>OK</v>
      </c>
      <c r="L223" s="115" t="str">
        <f t="shared" ref="L223" ca="1" si="110">IF(L221&gt;L222,"OVERDRAWN","OK")</f>
        <v>OK</v>
      </c>
      <c r="M223" s="115" t="str">
        <f t="shared" ref="M223" ca="1" si="111">IF(M221&gt;M222,"OVERDRAWN","OK")</f>
        <v>OK</v>
      </c>
    </row>
    <row r="224" spans="2:13" x14ac:dyDescent="0.2">
      <c r="B224" s="135"/>
      <c r="C224" s="135"/>
    </row>
    <row r="225" spans="2:13" x14ac:dyDescent="0.2">
      <c r="B225" s="139" t="s">
        <v>101</v>
      </c>
      <c r="C225" s="139"/>
    </row>
    <row r="226" spans="2:13" x14ac:dyDescent="0.2">
      <c r="B226" s="135" t="s">
        <v>98</v>
      </c>
      <c r="C226" s="135"/>
      <c r="J226" s="23">
        <f>I229</f>
        <v>5350</v>
      </c>
      <c r="K226" s="23">
        <f t="shared" ref="K226:M226" ca="1" si="112">J229</f>
        <v>4853.1410826360834</v>
      </c>
      <c r="L226" s="23">
        <f t="shared" ca="1" si="112"/>
        <v>4327.1899266594628</v>
      </c>
      <c r="M226" s="23">
        <f t="shared" ca="1" si="112"/>
        <v>3629.1748447951086</v>
      </c>
    </row>
    <row r="227" spans="2:13" x14ac:dyDescent="0.2">
      <c r="B227" s="135" t="s">
        <v>168</v>
      </c>
      <c r="C227" s="135"/>
      <c r="J227" s="23">
        <f>MIN(J226*J231, J226)</f>
        <v>0</v>
      </c>
      <c r="K227" s="23">
        <f t="shared" ref="K227:M227" ca="1" si="113">MIN(K226*K231, K226)</f>
        <v>0</v>
      </c>
      <c r="L227" s="23">
        <f t="shared" ca="1" si="113"/>
        <v>0</v>
      </c>
      <c r="M227" s="23">
        <f t="shared" ca="1" si="113"/>
        <v>0</v>
      </c>
    </row>
    <row r="228" spans="2:13" x14ac:dyDescent="0.2">
      <c r="B228" s="135" t="s">
        <v>169</v>
      </c>
      <c r="C228" s="135"/>
      <c r="J228" s="23">
        <f ca="1">MIN(J232,J226-J227)</f>
        <v>496.85891736391648</v>
      </c>
      <c r="K228" s="23">
        <f t="shared" ref="K228:M228" ca="1" si="114">MIN(K232,K226-K227)</f>
        <v>525.95115597662061</v>
      </c>
      <c r="L228" s="23">
        <f t="shared" ca="1" si="114"/>
        <v>698.01508186435399</v>
      </c>
      <c r="M228" s="23">
        <f t="shared" ca="1" si="114"/>
        <v>877.39601803442838</v>
      </c>
    </row>
    <row r="229" spans="2:13" x14ac:dyDescent="0.2">
      <c r="B229" s="134" t="s">
        <v>100</v>
      </c>
      <c r="C229" s="134"/>
      <c r="I229" s="23">
        <f>G26</f>
        <v>5350</v>
      </c>
      <c r="J229" s="23">
        <f ca="1">J226-J228-J227</f>
        <v>4853.1410826360834</v>
      </c>
      <c r="K229" s="23">
        <f t="shared" ref="K229:M229" ca="1" si="115">K226-K228-K227</f>
        <v>4327.1899266594628</v>
      </c>
      <c r="L229" s="23">
        <f t="shared" ca="1" si="115"/>
        <v>3629.1748447951086</v>
      </c>
      <c r="M229" s="23">
        <f t="shared" ca="1" si="115"/>
        <v>2751.7788267606802</v>
      </c>
    </row>
    <row r="230" spans="2:13" x14ac:dyDescent="0.2">
      <c r="B230" s="140"/>
      <c r="C230" s="140"/>
      <c r="I230" s="23"/>
      <c r="J230" s="23"/>
      <c r="K230" s="23"/>
      <c r="L230" s="23"/>
      <c r="M230" s="23"/>
    </row>
    <row r="231" spans="2:13" x14ac:dyDescent="0.2">
      <c r="B231" s="140" t="s">
        <v>166</v>
      </c>
      <c r="C231" s="140"/>
      <c r="I231" s="23"/>
      <c r="J231" s="40">
        <v>0</v>
      </c>
      <c r="K231" s="40">
        <v>0</v>
      </c>
      <c r="L231" s="40">
        <v>0</v>
      </c>
      <c r="M231" s="40">
        <v>0</v>
      </c>
    </row>
    <row r="232" spans="2:13" x14ac:dyDescent="0.2">
      <c r="B232" s="140" t="s">
        <v>167</v>
      </c>
      <c r="C232" s="140"/>
      <c r="I232" s="40">
        <v>1</v>
      </c>
      <c r="J232" s="23">
        <f ca="1">(J217+J220)*$I$232</f>
        <v>496.85891736391648</v>
      </c>
      <c r="K232" s="23">
        <f ca="1">(K217+K220)*$I$232</f>
        <v>525.95115597662061</v>
      </c>
      <c r="L232" s="23">
        <f ca="1">(L217+L220)*$I$232</f>
        <v>698.01508186435399</v>
      </c>
      <c r="M232" s="23">
        <f ca="1">(M217+M220)*$I$232</f>
        <v>877.39601803442838</v>
      </c>
    </row>
    <row r="233" spans="2:13" x14ac:dyDescent="0.2">
      <c r="B233" s="135"/>
      <c r="C233" s="135"/>
      <c r="J233" t="s">
        <v>108</v>
      </c>
    </row>
    <row r="234" spans="2:13" x14ac:dyDescent="0.2">
      <c r="B234" s="139" t="s">
        <v>31</v>
      </c>
      <c r="C234" s="139"/>
      <c r="K234" s="8"/>
      <c r="L234" s="31"/>
    </row>
    <row r="235" spans="2:13" x14ac:dyDescent="0.2">
      <c r="B235" s="135" t="s">
        <v>98</v>
      </c>
      <c r="C235" s="135"/>
      <c r="J235" s="23">
        <f>I238</f>
        <v>500</v>
      </c>
      <c r="K235" s="23">
        <f t="shared" ref="K235:M235" ca="1" si="116">J238</f>
        <v>500</v>
      </c>
      <c r="L235" s="23">
        <f t="shared" ca="1" si="116"/>
        <v>500</v>
      </c>
      <c r="M235" s="23">
        <f t="shared" ca="1" si="116"/>
        <v>500</v>
      </c>
    </row>
    <row r="236" spans="2:13" x14ac:dyDescent="0.2">
      <c r="B236" s="135" t="s">
        <v>168</v>
      </c>
      <c r="C236" s="135"/>
      <c r="J236" s="23">
        <f>MIN(J235*J240, J235)</f>
        <v>0</v>
      </c>
      <c r="K236" s="23">
        <f t="shared" ref="K236:M236" ca="1" si="117">MIN(K235*K240, K235)</f>
        <v>0</v>
      </c>
      <c r="L236" s="23">
        <f t="shared" ca="1" si="117"/>
        <v>0</v>
      </c>
      <c r="M236" s="23">
        <f t="shared" ca="1" si="117"/>
        <v>0</v>
      </c>
    </row>
    <row r="237" spans="2:13" x14ac:dyDescent="0.2">
      <c r="B237" s="135" t="s">
        <v>169</v>
      </c>
      <c r="C237" s="135"/>
      <c r="J237" s="23">
        <f ca="1">MIN(J241,J235-J236)</f>
        <v>0</v>
      </c>
      <c r="K237" s="23">
        <f t="shared" ref="K237:L237" ca="1" si="118">MIN(K241,K235-K236)</f>
        <v>0</v>
      </c>
      <c r="L237" s="23">
        <f t="shared" ca="1" si="118"/>
        <v>0</v>
      </c>
      <c r="M237" s="23">
        <f ca="1">MIN(M241,M235-M236)</f>
        <v>0</v>
      </c>
    </row>
    <row r="238" spans="2:13" x14ac:dyDescent="0.2">
      <c r="B238" s="134" t="s">
        <v>100</v>
      </c>
      <c r="C238" s="134"/>
      <c r="I238" s="23">
        <f>G27</f>
        <v>500</v>
      </c>
      <c r="J238" s="23">
        <f ca="1">J235-J237-J236</f>
        <v>500</v>
      </c>
      <c r="K238" s="23">
        <f t="shared" ref="K238:M238" ca="1" si="119">K235-K237-K236</f>
        <v>500</v>
      </c>
      <c r="L238" s="23">
        <f t="shared" ca="1" si="119"/>
        <v>500</v>
      </c>
      <c r="M238" s="23">
        <f t="shared" ca="1" si="119"/>
        <v>500</v>
      </c>
    </row>
    <row r="239" spans="2:13" x14ac:dyDescent="0.2">
      <c r="B239" s="5"/>
      <c r="C239" s="5"/>
      <c r="I239" s="23"/>
      <c r="J239" s="23"/>
      <c r="K239" s="23"/>
      <c r="L239" s="23"/>
      <c r="M239" s="23"/>
    </row>
    <row r="240" spans="2:13" x14ac:dyDescent="0.2">
      <c r="B240" s="140" t="s">
        <v>166</v>
      </c>
      <c r="C240" s="140"/>
      <c r="I240" s="23"/>
      <c r="J240" s="40">
        <v>0</v>
      </c>
      <c r="K240" s="40">
        <v>0</v>
      </c>
      <c r="L240" s="40">
        <v>0</v>
      </c>
      <c r="M240" s="40">
        <v>0</v>
      </c>
    </row>
    <row r="241" spans="2:13" x14ac:dyDescent="0.2">
      <c r="B241" s="140" t="s">
        <v>167</v>
      </c>
      <c r="C241" s="140"/>
      <c r="I241" s="40">
        <v>1</v>
      </c>
      <c r="J241" s="23">
        <f ca="1">$I$241*(J217+J220-J228)</f>
        <v>0</v>
      </c>
      <c r="K241" s="23">
        <f t="shared" ref="K241:M241" ca="1" si="120">$I$241*(K217+K220-K228)</f>
        <v>0</v>
      </c>
      <c r="L241" s="23">
        <f t="shared" ca="1" si="120"/>
        <v>0</v>
      </c>
      <c r="M241" s="23">
        <f t="shared" ca="1" si="120"/>
        <v>0</v>
      </c>
    </row>
    <row r="242" spans="2:13" x14ac:dyDescent="0.2">
      <c r="B242" s="135"/>
      <c r="C242" s="135"/>
      <c r="K242" s="8"/>
      <c r="L242" s="31"/>
    </row>
    <row r="243" spans="2:13" x14ac:dyDescent="0.2">
      <c r="B243" s="139" t="s">
        <v>32</v>
      </c>
      <c r="C243" s="139"/>
      <c r="K243" s="8"/>
      <c r="L243" s="31"/>
    </row>
    <row r="244" spans="2:13" x14ac:dyDescent="0.2">
      <c r="B244" s="135" t="s">
        <v>98</v>
      </c>
      <c r="C244" s="135"/>
      <c r="J244" s="23">
        <f>I247</f>
        <v>2500</v>
      </c>
      <c r="K244" s="23">
        <f t="shared" ref="K244:M244" ca="1" si="121">J247</f>
        <v>2500</v>
      </c>
      <c r="L244" s="23">
        <f t="shared" ca="1" si="121"/>
        <v>2500</v>
      </c>
      <c r="M244" s="23">
        <f t="shared" ca="1" si="121"/>
        <v>2500</v>
      </c>
    </row>
    <row r="245" spans="2:13" x14ac:dyDescent="0.2">
      <c r="B245" s="135" t="s">
        <v>168</v>
      </c>
      <c r="C245" s="135"/>
      <c r="J245" s="23">
        <f>MIN(J244*J249, J244)</f>
        <v>0</v>
      </c>
      <c r="K245" s="23">
        <f t="shared" ref="K245" ca="1" si="122">MIN(K244*K249, K244)</f>
        <v>0</v>
      </c>
      <c r="L245" s="23">
        <f t="shared" ref="L245" ca="1" si="123">MIN(L244*L249, L244)</f>
        <v>0</v>
      </c>
      <c r="M245" s="23">
        <f t="shared" ref="M245" ca="1" si="124">MIN(M244*M249, M244)</f>
        <v>0</v>
      </c>
    </row>
    <row r="246" spans="2:13" x14ac:dyDescent="0.2">
      <c r="B246" s="135" t="s">
        <v>169</v>
      </c>
      <c r="C246" s="135"/>
      <c r="J246" s="23">
        <f ca="1">MIN(J250,J244-J245)</f>
        <v>0</v>
      </c>
      <c r="K246" s="23">
        <f t="shared" ref="K246" ca="1" si="125">MIN(K250,K244-K245)</f>
        <v>0</v>
      </c>
      <c r="L246" s="23">
        <f t="shared" ref="L246" ca="1" si="126">MIN(L250,L244-L245)</f>
        <v>0</v>
      </c>
      <c r="M246" s="23">
        <f t="shared" ref="M246" ca="1" si="127">MIN(M250,M244-M245)</f>
        <v>0</v>
      </c>
    </row>
    <row r="247" spans="2:13" x14ac:dyDescent="0.2">
      <c r="B247" s="134" t="s">
        <v>100</v>
      </c>
      <c r="C247" s="134"/>
      <c r="I247" s="23">
        <f>G28</f>
        <v>2500</v>
      </c>
      <c r="J247" s="23">
        <f ca="1">J244-J246-J245</f>
        <v>2500</v>
      </c>
      <c r="K247" s="23">
        <f t="shared" ref="K247:M247" ca="1" si="128">K244-K246-K245</f>
        <v>2500</v>
      </c>
      <c r="L247" s="23">
        <f t="shared" ca="1" si="128"/>
        <v>2500</v>
      </c>
      <c r="M247" s="23">
        <f t="shared" ca="1" si="128"/>
        <v>2500</v>
      </c>
    </row>
    <row r="248" spans="2:13" x14ac:dyDescent="0.2">
      <c r="B248" s="5"/>
      <c r="C248" s="5"/>
      <c r="I248" s="23"/>
      <c r="J248" s="23"/>
      <c r="K248" s="23"/>
      <c r="L248" s="23"/>
      <c r="M248" s="23"/>
    </row>
    <row r="249" spans="2:13" x14ac:dyDescent="0.2">
      <c r="B249" s="140" t="s">
        <v>166</v>
      </c>
      <c r="C249" s="140"/>
      <c r="I249" s="23"/>
      <c r="J249" s="40">
        <v>0</v>
      </c>
      <c r="K249" s="40">
        <v>0</v>
      </c>
      <c r="L249" s="40">
        <v>0</v>
      </c>
      <c r="M249" s="40">
        <v>0</v>
      </c>
    </row>
    <row r="250" spans="2:13" x14ac:dyDescent="0.2">
      <c r="B250" s="140" t="s">
        <v>167</v>
      </c>
      <c r="C250" s="140"/>
      <c r="I250" s="40">
        <v>1</v>
      </c>
      <c r="J250" s="23">
        <f ca="1">$I$250*(J217+J220-J228-J237)</f>
        <v>0</v>
      </c>
      <c r="K250" s="23">
        <f t="shared" ref="K250:M250" ca="1" si="129">$I$250*(K217+K220-K228-K237)</f>
        <v>0</v>
      </c>
      <c r="L250" s="23">
        <f t="shared" ca="1" si="129"/>
        <v>0</v>
      </c>
      <c r="M250" s="23">
        <f t="shared" ca="1" si="129"/>
        <v>0</v>
      </c>
    </row>
    <row r="251" spans="2:13" x14ac:dyDescent="0.2">
      <c r="B251" s="135"/>
      <c r="C251" s="135"/>
    </row>
    <row r="252" spans="2:13" x14ac:dyDescent="0.2">
      <c r="B252" s="139" t="s">
        <v>33</v>
      </c>
      <c r="C252" s="139"/>
    </row>
    <row r="253" spans="2:13" x14ac:dyDescent="0.2">
      <c r="B253" s="135" t="s">
        <v>98</v>
      </c>
      <c r="C253" s="135"/>
      <c r="J253" s="23">
        <f>I256</f>
        <v>2150</v>
      </c>
      <c r="K253" s="23">
        <f t="shared" ref="K253:M253" ca="1" si="130">J256</f>
        <v>2150</v>
      </c>
      <c r="L253" s="23">
        <f t="shared" ca="1" si="130"/>
        <v>2150</v>
      </c>
      <c r="M253" s="23">
        <f t="shared" ca="1" si="130"/>
        <v>2150</v>
      </c>
    </row>
    <row r="254" spans="2:13" x14ac:dyDescent="0.2">
      <c r="B254" s="135" t="s">
        <v>168</v>
      </c>
      <c r="C254" s="135"/>
      <c r="J254" s="23">
        <f>MIN(J253*J258, J253)</f>
        <v>0</v>
      </c>
      <c r="K254" s="23">
        <f t="shared" ref="K254" ca="1" si="131">MIN(K253*K258, K253)</f>
        <v>0</v>
      </c>
      <c r="L254" s="23">
        <f t="shared" ref="L254" ca="1" si="132">MIN(L253*L258, L253)</f>
        <v>0</v>
      </c>
      <c r="M254" s="23">
        <f t="shared" ref="M254" ca="1" si="133">MIN(M253*M258, M253)</f>
        <v>0</v>
      </c>
    </row>
    <row r="255" spans="2:13" x14ac:dyDescent="0.2">
      <c r="B255" s="135" t="s">
        <v>169</v>
      </c>
      <c r="C255" s="135"/>
      <c r="J255" s="23">
        <f ca="1">MIN(J259,J253-J254)</f>
        <v>0</v>
      </c>
      <c r="K255" s="23">
        <f t="shared" ref="K255" ca="1" si="134">MIN(K259,K253-K254)</f>
        <v>0</v>
      </c>
      <c r="L255" s="23">
        <f t="shared" ref="L255" ca="1" si="135">MIN(L259,L253-L254)</f>
        <v>0</v>
      </c>
      <c r="M255" s="23">
        <f t="shared" ref="M255" ca="1" si="136">MIN(M259,M253-M254)</f>
        <v>0</v>
      </c>
    </row>
    <row r="256" spans="2:13" x14ac:dyDescent="0.2">
      <c r="B256" s="134" t="s">
        <v>100</v>
      </c>
      <c r="C256" s="134"/>
      <c r="I256" s="23">
        <f>G29</f>
        <v>2150</v>
      </c>
      <c r="J256" s="23">
        <f ca="1">J253-J255</f>
        <v>2150</v>
      </c>
      <c r="K256" s="23">
        <f t="shared" ref="K256:M256" ca="1" si="137">K253-K255</f>
        <v>2150</v>
      </c>
      <c r="L256" s="23">
        <f t="shared" ca="1" si="137"/>
        <v>2150</v>
      </c>
      <c r="M256" s="23">
        <f t="shared" ca="1" si="137"/>
        <v>2150</v>
      </c>
    </row>
    <row r="257" spans="2:13" x14ac:dyDescent="0.2">
      <c r="B257" s="5"/>
      <c r="C257" s="5"/>
      <c r="I257" s="23"/>
      <c r="J257" s="23"/>
      <c r="K257" s="23"/>
      <c r="L257" s="23"/>
      <c r="M257" s="23"/>
    </row>
    <row r="258" spans="2:13" x14ac:dyDescent="0.2">
      <c r="B258" s="140" t="s">
        <v>166</v>
      </c>
      <c r="C258" s="140"/>
      <c r="I258" s="23"/>
      <c r="J258" s="40">
        <v>0</v>
      </c>
      <c r="K258" s="40">
        <v>0</v>
      </c>
      <c r="L258" s="40">
        <v>0</v>
      </c>
      <c r="M258" s="40">
        <v>0</v>
      </c>
    </row>
    <row r="259" spans="2:13" x14ac:dyDescent="0.2">
      <c r="B259" s="140" t="s">
        <v>167</v>
      </c>
      <c r="C259" s="140"/>
      <c r="I259" s="40">
        <v>1</v>
      </c>
      <c r="J259" s="23">
        <f ca="1">$I$259*(J217+J220-J228-J237-J246)</f>
        <v>0</v>
      </c>
      <c r="K259" s="23">
        <f t="shared" ref="K259:M259" ca="1" si="138">$I$259*(K217+K220-K228-K237-K246)</f>
        <v>0</v>
      </c>
      <c r="L259" s="23">
        <f t="shared" ca="1" si="138"/>
        <v>0</v>
      </c>
      <c r="M259" s="23">
        <f t="shared" ca="1" si="138"/>
        <v>0</v>
      </c>
    </row>
    <row r="260" spans="2:13" x14ac:dyDescent="0.2">
      <c r="B260" s="135"/>
      <c r="C260" s="135"/>
    </row>
    <row r="261" spans="2:13" x14ac:dyDescent="0.2">
      <c r="B261" s="139" t="s">
        <v>35</v>
      </c>
      <c r="C261" s="139"/>
    </row>
    <row r="262" spans="2:13" x14ac:dyDescent="0.2">
      <c r="B262" s="135" t="s">
        <v>98</v>
      </c>
      <c r="C262" s="135"/>
      <c r="J262" s="23">
        <f>I265</f>
        <v>2000</v>
      </c>
      <c r="K262" s="23">
        <f t="shared" ref="K262:M262" si="139">J265</f>
        <v>2000</v>
      </c>
      <c r="L262" s="23">
        <f t="shared" si="139"/>
        <v>2000</v>
      </c>
      <c r="M262" s="23">
        <f t="shared" si="139"/>
        <v>2000</v>
      </c>
    </row>
    <row r="263" spans="2:13" x14ac:dyDescent="0.2">
      <c r="B263" s="135" t="s">
        <v>168</v>
      </c>
      <c r="C263" s="135"/>
      <c r="J263" s="23">
        <f>MIN(J262*J267, J262)</f>
        <v>0</v>
      </c>
      <c r="K263" s="23">
        <f t="shared" ref="K263:M263" si="140">MIN(K262*K267, K262)</f>
        <v>0</v>
      </c>
      <c r="L263" s="23">
        <f t="shared" si="140"/>
        <v>0</v>
      </c>
      <c r="M263" s="23">
        <f t="shared" si="140"/>
        <v>0</v>
      </c>
    </row>
    <row r="264" spans="2:13" x14ac:dyDescent="0.2">
      <c r="B264" s="135" t="s">
        <v>170</v>
      </c>
      <c r="C264" s="135"/>
      <c r="J264" s="23">
        <f>IF($E$7=2, J262*$N$31,0)</f>
        <v>0</v>
      </c>
      <c r="K264" s="23">
        <f>IF($E$7=2, K262*$N$31,0)</f>
        <v>0</v>
      </c>
      <c r="L264" s="23">
        <f>IF($E$7=2, L262*$N$31,0)</f>
        <v>0</v>
      </c>
      <c r="M264" s="23">
        <f>IF($E$7=2, M262*$N$31,0)</f>
        <v>0</v>
      </c>
    </row>
    <row r="265" spans="2:13" x14ac:dyDescent="0.2">
      <c r="B265" s="134" t="s">
        <v>100</v>
      </c>
      <c r="C265" s="134"/>
      <c r="I265" s="23">
        <f>G31</f>
        <v>2000</v>
      </c>
      <c r="J265" s="23">
        <f>J262+J264-J263</f>
        <v>2000</v>
      </c>
      <c r="K265" s="23">
        <f t="shared" ref="K265:M265" si="141">K262+K264-K263</f>
        <v>2000</v>
      </c>
      <c r="L265" s="23">
        <f t="shared" si="141"/>
        <v>2000</v>
      </c>
      <c r="M265" s="23">
        <f t="shared" si="141"/>
        <v>2000</v>
      </c>
    </row>
    <row r="266" spans="2:13" x14ac:dyDescent="0.2">
      <c r="B266" s="5"/>
      <c r="C266" s="5"/>
      <c r="I266" s="23"/>
      <c r="J266" s="23"/>
      <c r="K266" s="23"/>
      <c r="L266" s="23"/>
      <c r="M266" s="23"/>
    </row>
    <row r="267" spans="2:13" x14ac:dyDescent="0.2">
      <c r="B267" s="141" t="s">
        <v>166</v>
      </c>
      <c r="C267" s="141"/>
      <c r="D267" s="141"/>
      <c r="I267" s="23"/>
      <c r="J267" s="40">
        <v>0</v>
      </c>
      <c r="K267" s="40">
        <v>0</v>
      </c>
      <c r="L267" s="40">
        <v>0</v>
      </c>
      <c r="M267" s="40">
        <v>0</v>
      </c>
    </row>
    <row r="268" spans="2:13" x14ac:dyDescent="0.2">
      <c r="B268" s="140" t="s">
        <v>167</v>
      </c>
      <c r="C268" s="140"/>
      <c r="I268" s="40">
        <v>1</v>
      </c>
      <c r="J268" s="23">
        <f ca="1">$I$268*(J217+J220-J228-J237-J246-J255)</f>
        <v>0</v>
      </c>
      <c r="K268" s="23">
        <f t="shared" ref="K268:M268" ca="1" si="142">$I$268*(K217+K220-K228-K237-K246-K255)</f>
        <v>0</v>
      </c>
      <c r="L268" s="23">
        <f t="shared" ca="1" si="142"/>
        <v>0</v>
      </c>
      <c r="M268" s="23">
        <f t="shared" ca="1" si="142"/>
        <v>0</v>
      </c>
    </row>
    <row r="269" spans="2:13" x14ac:dyDescent="0.2">
      <c r="B269" s="2"/>
      <c r="C269" s="2"/>
      <c r="I269" s="11"/>
      <c r="J269" s="23"/>
      <c r="K269" s="23"/>
      <c r="L269" s="23"/>
      <c r="M269" s="23"/>
    </row>
    <row r="270" spans="2:13" x14ac:dyDescent="0.2">
      <c r="B270" s="139" t="s">
        <v>173</v>
      </c>
      <c r="C270" s="139"/>
    </row>
    <row r="271" spans="2:13" x14ac:dyDescent="0.2">
      <c r="B271" s="135" t="s">
        <v>98</v>
      </c>
      <c r="C271" s="135"/>
      <c r="J271" s="23">
        <f>I273</f>
        <v>0</v>
      </c>
      <c r="K271" s="23">
        <f t="shared" ref="K271:M271" si="143">J273</f>
        <v>0</v>
      </c>
      <c r="L271" s="23">
        <f t="shared" si="143"/>
        <v>0</v>
      </c>
      <c r="M271" s="23">
        <f t="shared" si="143"/>
        <v>0</v>
      </c>
    </row>
    <row r="272" spans="2:13" x14ac:dyDescent="0.2">
      <c r="B272" s="135" t="s">
        <v>174</v>
      </c>
      <c r="C272" s="135"/>
      <c r="J272" s="23">
        <f>IF($E$7=2, J271*$N$31,0)</f>
        <v>0</v>
      </c>
      <c r="K272" s="23">
        <f t="shared" ref="K272:M272" si="144">IF($E$7=2, K271*$N$31,0)</f>
        <v>0</v>
      </c>
      <c r="L272" s="23">
        <f t="shared" si="144"/>
        <v>0</v>
      </c>
      <c r="M272" s="23">
        <f t="shared" si="144"/>
        <v>0</v>
      </c>
    </row>
    <row r="273" spans="2:13" x14ac:dyDescent="0.2">
      <c r="B273" s="134" t="s">
        <v>175</v>
      </c>
      <c r="C273" s="134"/>
      <c r="I273" s="23">
        <f>G32</f>
        <v>0</v>
      </c>
      <c r="J273" s="23">
        <f>J271+J272</f>
        <v>0</v>
      </c>
      <c r="K273" s="23">
        <f t="shared" ref="K273:M273" si="145">K271+K272</f>
        <v>0</v>
      </c>
      <c r="L273" s="23">
        <f t="shared" si="145"/>
        <v>0</v>
      </c>
      <c r="M273" s="23">
        <f t="shared" si="145"/>
        <v>0</v>
      </c>
    </row>
    <row r="274" spans="2:13" x14ac:dyDescent="0.2">
      <c r="B274" s="140" t="s">
        <v>176</v>
      </c>
      <c r="C274" s="140"/>
      <c r="I274" s="23"/>
      <c r="J274" s="23">
        <f>IF($E$7=1, J273*$N$31,0)</f>
        <v>0</v>
      </c>
      <c r="K274" s="23">
        <f t="shared" ref="K274:M274" si="146">IF($E$7=1, K273*$N$31,0)</f>
        <v>0</v>
      </c>
      <c r="L274" s="23">
        <f t="shared" si="146"/>
        <v>0</v>
      </c>
      <c r="M274" s="23">
        <f t="shared" si="146"/>
        <v>0</v>
      </c>
    </row>
    <row r="275" spans="2:13" x14ac:dyDescent="0.2">
      <c r="B275" s="5"/>
      <c r="C275" s="5"/>
      <c r="I275" s="23"/>
      <c r="J275" s="23"/>
      <c r="K275" s="23"/>
      <c r="L275" s="23"/>
      <c r="M275" s="23"/>
    </row>
    <row r="276" spans="2:13" ht="17" thickBot="1" x14ac:dyDescent="0.25">
      <c r="B276" s="2"/>
      <c r="C276" s="2"/>
      <c r="I276" s="11"/>
      <c r="J276" s="23"/>
      <c r="K276" s="23"/>
      <c r="L276" s="23"/>
      <c r="M276" s="23"/>
    </row>
    <row r="277" spans="2:13" x14ac:dyDescent="0.2">
      <c r="B277" s="176" t="s">
        <v>102</v>
      </c>
      <c r="C277" s="177"/>
      <c r="D277" s="178"/>
      <c r="E277" s="178"/>
      <c r="F277" s="178"/>
      <c r="G277" s="178"/>
      <c r="H277" s="178"/>
      <c r="I277" s="179"/>
      <c r="J277" s="178"/>
      <c r="K277" s="178"/>
      <c r="L277" s="178"/>
      <c r="M277" s="180"/>
    </row>
    <row r="278" spans="2:13" x14ac:dyDescent="0.2">
      <c r="B278" s="181" t="s">
        <v>98</v>
      </c>
      <c r="C278" s="182"/>
      <c r="D278" s="183"/>
      <c r="E278" s="183"/>
      <c r="F278" s="183"/>
      <c r="G278" s="183"/>
      <c r="H278" s="183"/>
      <c r="I278" s="184"/>
      <c r="J278" s="184">
        <f>I280</f>
        <v>12500</v>
      </c>
      <c r="K278" s="184">
        <f ca="1">J280</f>
        <v>12003.141082636084</v>
      </c>
      <c r="L278" s="184">
        <f t="shared" ref="L278:M278" ca="1" si="147">K280</f>
        <v>11477.189926659463</v>
      </c>
      <c r="M278" s="185">
        <f t="shared" ca="1" si="147"/>
        <v>10779.174844795109</v>
      </c>
    </row>
    <row r="279" spans="2:13" x14ac:dyDescent="0.2">
      <c r="B279" s="181" t="s">
        <v>113</v>
      </c>
      <c r="C279" s="182"/>
      <c r="D279" s="183"/>
      <c r="E279" s="183"/>
      <c r="F279" s="183"/>
      <c r="G279" s="183"/>
      <c r="H279" s="183"/>
      <c r="I279" s="183"/>
      <c r="J279" s="184">
        <f ca="1">J228+J227+J237+J236+J246+J245+J255+J254+J263</f>
        <v>496.85891736391648</v>
      </c>
      <c r="K279" s="184">
        <f ca="1">K228+K227+K237+K236+K246+K245+K255+K254+K263</f>
        <v>525.95115597662061</v>
      </c>
      <c r="L279" s="184">
        <f ca="1">L228+L227+L237+L236+L246+L245+L255+L254+L263</f>
        <v>698.01508186435399</v>
      </c>
      <c r="M279" s="185">
        <f ca="1">M228+M227+M237+M236+M246+M245+M255+M254+M263</f>
        <v>877.39601803442838</v>
      </c>
    </row>
    <row r="280" spans="2:13" ht="17" thickBot="1" x14ac:dyDescent="0.25">
      <c r="B280" s="186" t="s">
        <v>100</v>
      </c>
      <c r="C280" s="187"/>
      <c r="D280" s="188"/>
      <c r="E280" s="188"/>
      <c r="F280" s="188"/>
      <c r="G280" s="188"/>
      <c r="H280" s="188"/>
      <c r="I280" s="189">
        <f>I265+I256+I247+I238+I229</f>
        <v>12500</v>
      </c>
      <c r="J280" s="189">
        <f ca="1">J265+J256+J247+J238+J229</f>
        <v>12003.141082636084</v>
      </c>
      <c r="K280" s="189">
        <f ca="1">K265+K256+K247+K238+K229</f>
        <v>11477.189926659463</v>
      </c>
      <c r="L280" s="189">
        <f ca="1">L265+L256+L247+L238+L229</f>
        <v>10779.174844795109</v>
      </c>
      <c r="M280" s="190">
        <f ca="1">M265+M256+M247+M238+M229</f>
        <v>9901.7788267606811</v>
      </c>
    </row>
    <row r="281" spans="2:13" x14ac:dyDescent="0.2">
      <c r="B281" s="135"/>
      <c r="C281" s="135"/>
    </row>
    <row r="282" spans="2:13" x14ac:dyDescent="0.2">
      <c r="B282" s="27" t="s">
        <v>103</v>
      </c>
      <c r="C282" s="27"/>
      <c r="D282" s="27"/>
      <c r="E282" s="27"/>
      <c r="F282" s="27"/>
      <c r="G282" s="27">
        <v>2019</v>
      </c>
      <c r="H282" s="27">
        <v>2020</v>
      </c>
      <c r="I282" s="27">
        <v>2021</v>
      </c>
      <c r="J282" s="28" t="s">
        <v>72</v>
      </c>
      <c r="K282" s="28" t="s">
        <v>53</v>
      </c>
      <c r="L282" s="28" t="s">
        <v>54</v>
      </c>
      <c r="M282" s="28" t="s">
        <v>55</v>
      </c>
    </row>
    <row r="283" spans="2:13" x14ac:dyDescent="0.2">
      <c r="B283" s="135"/>
      <c r="C283" s="135"/>
    </row>
    <row r="284" spans="2:13" x14ac:dyDescent="0.2">
      <c r="B284" s="135" t="s">
        <v>97</v>
      </c>
      <c r="C284" s="135"/>
      <c r="I284" s="23">
        <v>0</v>
      </c>
      <c r="J284" s="23">
        <f ca="1">IF(CIRC="OFF", AVERAGE(J208,J210)*J285,0)</f>
        <v>1.9000000000000001</v>
      </c>
      <c r="K284" s="23">
        <f ca="1">IF(CIRC="OFF", AVERAGE(K208,K210)*K285,0)</f>
        <v>1.9000000000000001</v>
      </c>
      <c r="L284" s="23">
        <f ca="1">IF(CIRC="OFF", AVERAGE(L208,L210)*L285,0)</f>
        <v>1.9000000000000001</v>
      </c>
      <c r="M284" s="23">
        <f ca="1">IF(CIRC="OFF", AVERAGE(M208,M210)*M285,0)</f>
        <v>1.9000000000000001</v>
      </c>
    </row>
    <row r="285" spans="2:13" x14ac:dyDescent="0.2">
      <c r="B285" s="135" t="s">
        <v>104</v>
      </c>
      <c r="C285" s="135"/>
      <c r="I285" s="77">
        <v>5.0000000000000001E-3</v>
      </c>
      <c r="J285" s="77">
        <v>5.0000000000000001E-3</v>
      </c>
      <c r="K285" s="77">
        <v>5.0000000000000001E-3</v>
      </c>
      <c r="L285" s="77">
        <v>5.0000000000000001E-3</v>
      </c>
      <c r="M285" s="77">
        <v>5.0000000000000001E-3</v>
      </c>
    </row>
    <row r="286" spans="2:13" x14ac:dyDescent="0.2">
      <c r="B286" s="135"/>
      <c r="C286" s="135"/>
      <c r="G286" s="11"/>
    </row>
    <row r="287" spans="2:13" x14ac:dyDescent="0.2">
      <c r="B287" s="135" t="s">
        <v>105</v>
      </c>
      <c r="C287" s="135"/>
      <c r="G287" s="11"/>
      <c r="I287" t="s">
        <v>108</v>
      </c>
      <c r="J287" s="21">
        <f ca="1">IF(CIRC="OFF",J288*AVERAGE(J226,J229), 0)</f>
        <v>506.90073250968646</v>
      </c>
      <c r="K287" s="21">
        <f ca="1">IF(CIRC="OFF",K288*AVERAGE(K226,K229), 0)</f>
        <v>456.08665758947041</v>
      </c>
      <c r="L287" s="21">
        <f ca="1">IF(CIRC="OFF",L288*AVERAGE(L226,L229), 0)</f>
        <v>395.27897322013678</v>
      </c>
      <c r="M287" s="21">
        <f ca="1">IF(CIRC="OFF",M288*AVERAGE(M226,M229), 0)</f>
        <v>317.01120900176107</v>
      </c>
    </row>
    <row r="288" spans="2:13" x14ac:dyDescent="0.2">
      <c r="B288" s="135" t="s">
        <v>106</v>
      </c>
      <c r="C288" s="135"/>
      <c r="G288" s="11"/>
      <c r="I288" s="11">
        <v>9.9361702127659601E-2</v>
      </c>
      <c r="J288" s="11">
        <v>9.9361702127659601E-2</v>
      </c>
      <c r="K288" s="11">
        <v>9.9361702127659601E-2</v>
      </c>
      <c r="L288" s="11">
        <v>9.9361702127659601E-2</v>
      </c>
      <c r="M288" s="11">
        <v>9.9361702127659601E-2</v>
      </c>
    </row>
    <row r="289" spans="2:13" x14ac:dyDescent="0.2">
      <c r="B289" s="135"/>
      <c r="C289" s="135"/>
      <c r="G289" s="11"/>
    </row>
    <row r="290" spans="2:13" x14ac:dyDescent="0.2">
      <c r="B290" s="135" t="s">
        <v>107</v>
      </c>
      <c r="C290" s="135"/>
      <c r="G290" s="11"/>
      <c r="J290" s="21">
        <f ca="1">IF(CIRC="OFF",J291*AVERAGE(J235,J238), 0)</f>
        <v>34.97</v>
      </c>
      <c r="K290" s="21">
        <f ca="1">IF(CIRC="OFF",K291*AVERAGE(K235,K238), 0)</f>
        <v>34.97</v>
      </c>
      <c r="L290" s="21">
        <f ca="1">IF(CIRC="OFF",L291*AVERAGE(L235,L238), 0)</f>
        <v>34.97</v>
      </c>
      <c r="M290" s="21">
        <f ca="1">IF(CIRC="OFF",M291*AVERAGE(M235,M238), 0)</f>
        <v>34.97</v>
      </c>
    </row>
    <row r="291" spans="2:13" x14ac:dyDescent="0.2">
      <c r="B291" s="135" t="s">
        <v>106</v>
      </c>
      <c r="C291" s="135"/>
      <c r="G291" s="12"/>
      <c r="I291" s="11">
        <v>6.9940000000000002E-2</v>
      </c>
      <c r="J291" s="11">
        <v>6.9940000000000002E-2</v>
      </c>
      <c r="K291" s="11">
        <v>6.9940000000000002E-2</v>
      </c>
      <c r="L291" s="11">
        <v>6.9940000000000002E-2</v>
      </c>
      <c r="M291" s="11">
        <v>6.9940000000000002E-2</v>
      </c>
    </row>
    <row r="292" spans="2:13" x14ac:dyDescent="0.2">
      <c r="B292" s="135"/>
      <c r="C292" s="135"/>
    </row>
    <row r="293" spans="2:13" x14ac:dyDescent="0.2">
      <c r="B293" s="135" t="s">
        <v>32</v>
      </c>
      <c r="C293" s="135"/>
      <c r="J293" s="23">
        <f ca="1">IF(CIRC="OFF", J294*AVERAGE(J244,J247),0)</f>
        <v>233.50000000000003</v>
      </c>
      <c r="K293" s="23">
        <f ca="1">IF(CIRC="OFF", K294*AVERAGE(K244,K247),0)</f>
        <v>233.50000000000003</v>
      </c>
      <c r="L293" s="23">
        <f ca="1">IF(CIRC="OFF", L294*AVERAGE(L244,L247),0)</f>
        <v>233.50000000000003</v>
      </c>
      <c r="M293" s="23">
        <f ca="1">IF(CIRC="OFF", M294*AVERAGE(M244,M247),0)</f>
        <v>233.50000000000003</v>
      </c>
    </row>
    <row r="294" spans="2:13" x14ac:dyDescent="0.2">
      <c r="B294" s="135" t="s">
        <v>106</v>
      </c>
      <c r="C294" s="135"/>
      <c r="I294" s="11">
        <v>9.3400000000000011E-2</v>
      </c>
      <c r="J294" s="11">
        <v>9.3400000000000011E-2</v>
      </c>
      <c r="K294" s="11">
        <v>9.3400000000000011E-2</v>
      </c>
      <c r="L294" s="11">
        <v>9.3400000000000011E-2</v>
      </c>
      <c r="M294" s="11">
        <v>9.3400000000000011E-2</v>
      </c>
    </row>
    <row r="295" spans="2:13" x14ac:dyDescent="0.2">
      <c r="B295" s="135"/>
      <c r="C295" s="135"/>
    </row>
    <row r="296" spans="2:13" x14ac:dyDescent="0.2">
      <c r="B296" s="135" t="s">
        <v>33</v>
      </c>
      <c r="C296" s="135"/>
      <c r="J296" s="21">
        <f ca="1">IF(CIRC="OFF", J297*AVERAGE(J253,J256),0)</f>
        <v>233.06</v>
      </c>
      <c r="K296" s="21">
        <f ca="1">IF(CIRC="OFF", K297*AVERAGE(K253,K256),0)</f>
        <v>233.06</v>
      </c>
      <c r="L296" s="21">
        <f ca="1">IF(CIRC="OFF", L297*AVERAGE(L253,L256),0)</f>
        <v>233.06</v>
      </c>
      <c r="M296" s="21">
        <f ca="1">IF(CIRC="OFF", M297*AVERAGE(M253,M256),0)</f>
        <v>233.06</v>
      </c>
    </row>
    <row r="297" spans="2:13" x14ac:dyDescent="0.2">
      <c r="B297" s="135" t="s">
        <v>106</v>
      </c>
      <c r="C297" s="135"/>
      <c r="I297" s="11">
        <v>0.1084</v>
      </c>
      <c r="J297" s="11">
        <v>0.1084</v>
      </c>
      <c r="K297" s="11">
        <v>0.1084</v>
      </c>
      <c r="L297" s="11">
        <v>0.1084</v>
      </c>
      <c r="M297" s="11">
        <v>0.1084</v>
      </c>
    </row>
    <row r="298" spans="2:13" x14ac:dyDescent="0.2">
      <c r="B298" s="135"/>
      <c r="C298" s="135"/>
    </row>
    <row r="299" spans="2:13" x14ac:dyDescent="0.2">
      <c r="B299" s="135" t="s">
        <v>34</v>
      </c>
      <c r="C299" s="135"/>
      <c r="J299" s="21">
        <f ca="1">IF(CIRC="OFF", J300*AVERAGE(J219,J221),0)</f>
        <v>0</v>
      </c>
      <c r="K299" s="21">
        <f ca="1">IF(CIRC="OFF", K300*AVERAGE(K219,K221),0)</f>
        <v>0</v>
      </c>
      <c r="L299" s="21">
        <f ca="1">IF(CIRC="OFF", L300*AVERAGE(L219,L221),0)</f>
        <v>0</v>
      </c>
      <c r="M299" s="21">
        <f ca="1">IF(CIRC="OFF", M300*AVERAGE(M219,M221),0)</f>
        <v>0</v>
      </c>
    </row>
    <row r="300" spans="2:13" x14ac:dyDescent="0.2">
      <c r="B300" s="135" t="s">
        <v>106</v>
      </c>
      <c r="C300" s="135"/>
      <c r="I300" s="11">
        <v>6.3399999999999998E-2</v>
      </c>
      <c r="J300" s="11">
        <v>6.3399999999999998E-2</v>
      </c>
      <c r="K300" s="11">
        <v>6.3399999999999998E-2</v>
      </c>
      <c r="L300" s="11">
        <v>6.3399999999999998E-2</v>
      </c>
      <c r="M300" s="11">
        <v>6.3399999999999998E-2</v>
      </c>
    </row>
    <row r="301" spans="2:13" x14ac:dyDescent="0.2">
      <c r="B301" s="135"/>
      <c r="C301" s="135"/>
    </row>
    <row r="302" spans="2:13" x14ac:dyDescent="0.2">
      <c r="B302" s="135" t="s">
        <v>35</v>
      </c>
      <c r="C302" s="135"/>
      <c r="J302" s="21">
        <f>J264</f>
        <v>0</v>
      </c>
      <c r="K302" s="21">
        <f>K264</f>
        <v>0</v>
      </c>
      <c r="L302" s="21">
        <f>L264</f>
        <v>0</v>
      </c>
      <c r="M302" s="21">
        <f>M264</f>
        <v>0</v>
      </c>
    </row>
    <row r="303" spans="2:13" x14ac:dyDescent="0.2">
      <c r="B303" s="135" t="s">
        <v>171</v>
      </c>
      <c r="C303" s="135"/>
      <c r="I303" s="12">
        <v>0.14000000000000001</v>
      </c>
      <c r="J303" s="12">
        <v>0.14000000000000001</v>
      </c>
      <c r="K303" s="12">
        <v>0.14000000000000001</v>
      </c>
      <c r="L303" s="12">
        <v>0.14000000000000001</v>
      </c>
      <c r="M303" s="12">
        <v>0.14000000000000001</v>
      </c>
    </row>
    <row r="304" spans="2:13" ht="17" thickBot="1" x14ac:dyDescent="0.25">
      <c r="B304" s="135"/>
      <c r="C304" s="135"/>
    </row>
    <row r="305" spans="2:13" x14ac:dyDescent="0.2">
      <c r="B305" s="146" t="s">
        <v>110</v>
      </c>
      <c r="C305" s="147"/>
      <c r="D305" s="49"/>
      <c r="E305" s="49"/>
      <c r="F305" s="49"/>
      <c r="G305" s="49"/>
      <c r="H305" s="49"/>
      <c r="I305" s="49"/>
      <c r="J305" s="61">
        <f ca="1">J287+J290+J293+J296+J299+J302</f>
        <v>1008.4307325096865</v>
      </c>
      <c r="K305" s="61">
        <f t="shared" ref="K305:M305" ca="1" si="148">K287+K290+K293+K296+K299+K302</f>
        <v>957.61665758947038</v>
      </c>
      <c r="L305" s="61">
        <f t="shared" ca="1" si="148"/>
        <v>896.80897322013675</v>
      </c>
      <c r="M305" s="62">
        <f t="shared" ca="1" si="148"/>
        <v>818.54120900176099</v>
      </c>
    </row>
    <row r="306" spans="2:13" ht="17" thickBot="1" x14ac:dyDescent="0.25">
      <c r="B306" s="148" t="s">
        <v>109</v>
      </c>
      <c r="C306" s="149"/>
      <c r="D306" s="54"/>
      <c r="E306" s="54"/>
      <c r="F306" s="54"/>
      <c r="G306" s="54"/>
      <c r="H306" s="54"/>
      <c r="I306" s="54"/>
      <c r="J306" s="56">
        <f ca="1">J305/AVERAGE(J278,J280)</f>
        <v>8.2310323326204193E-2</v>
      </c>
      <c r="K306" s="56">
        <f t="shared" ref="K306:M306" ca="1" si="149">K305/AVERAGE(K278,K280)</f>
        <v>8.1567560287830937E-2</v>
      </c>
      <c r="L306" s="56">
        <f t="shared" ca="1" si="149"/>
        <v>8.0588989480470802E-2</v>
      </c>
      <c r="M306" s="57">
        <f t="shared" ca="1" si="149"/>
        <v>7.9158942281038785E-2</v>
      </c>
    </row>
    <row r="308" spans="2:13" ht="22" x14ac:dyDescent="0.3">
      <c r="B308" s="87" t="s">
        <v>114</v>
      </c>
      <c r="C308" s="87"/>
      <c r="D308" s="87"/>
      <c r="E308" s="87"/>
      <c r="F308" s="87"/>
      <c r="G308" s="87"/>
      <c r="H308" s="87"/>
      <c r="I308" s="87"/>
      <c r="J308" s="87"/>
      <c r="K308" s="87"/>
      <c r="L308" s="87"/>
      <c r="M308" s="87"/>
    </row>
    <row r="309" spans="2:13" x14ac:dyDescent="0.2">
      <c r="B309" s="135"/>
      <c r="C309" s="135"/>
    </row>
    <row r="310" spans="2:13" x14ac:dyDescent="0.2">
      <c r="B310" s="135" t="s">
        <v>115</v>
      </c>
      <c r="C310" s="135"/>
      <c r="M310" s="21">
        <f>M100</f>
        <v>2321</v>
      </c>
    </row>
    <row r="311" spans="2:13" x14ac:dyDescent="0.2">
      <c r="B311" s="135" t="s">
        <v>116</v>
      </c>
      <c r="C311" s="135"/>
      <c r="M311" s="42">
        <f>E22</f>
        <v>10.287270288397048</v>
      </c>
    </row>
    <row r="312" spans="2:13" x14ac:dyDescent="0.2">
      <c r="B312" s="135" t="s">
        <v>117</v>
      </c>
      <c r="C312" s="135"/>
      <c r="M312" s="21">
        <f>M310*M311</f>
        <v>23876.754339369549</v>
      </c>
    </row>
    <row r="313" spans="2:13" x14ac:dyDescent="0.2">
      <c r="B313" s="135" t="s">
        <v>118</v>
      </c>
      <c r="C313" s="135"/>
      <c r="M313" s="23">
        <f ca="1">M280-M210</f>
        <v>9521.7788267606811</v>
      </c>
    </row>
    <row r="314" spans="2:13" x14ac:dyDescent="0.2">
      <c r="B314" s="135" t="s">
        <v>119</v>
      </c>
      <c r="C314" s="135"/>
      <c r="M314" s="21">
        <f ca="1">M312-M313</f>
        <v>14354.975512608868</v>
      </c>
    </row>
    <row r="315" spans="2:13" x14ac:dyDescent="0.2">
      <c r="B315" s="135"/>
      <c r="C315" s="135"/>
    </row>
    <row r="316" spans="2:13" x14ac:dyDescent="0.2">
      <c r="B316" s="135" t="s">
        <v>122</v>
      </c>
      <c r="C316" s="135"/>
      <c r="M316" s="24">
        <f>D45</f>
        <v>4628.32</v>
      </c>
    </row>
    <row r="317" spans="2:13" ht="17" thickBot="1" x14ac:dyDescent="0.25">
      <c r="B317" s="135"/>
      <c r="C317" s="135"/>
    </row>
    <row r="318" spans="2:13" x14ac:dyDescent="0.2">
      <c r="B318" s="144" t="s">
        <v>120</v>
      </c>
      <c r="C318" s="145"/>
      <c r="D318" s="93"/>
      <c r="E318" s="93"/>
      <c r="F318" s="93"/>
      <c r="G318" s="93"/>
      <c r="H318" s="93"/>
      <c r="I318" s="93"/>
      <c r="J318" s="93"/>
      <c r="K318" s="93"/>
      <c r="L318" s="93"/>
      <c r="M318" s="94">
        <f ca="1">M314/M316</f>
        <v>3.1015520777752768</v>
      </c>
    </row>
    <row r="319" spans="2:13" ht="17" thickBot="1" x14ac:dyDescent="0.25">
      <c r="B319" s="142" t="s">
        <v>121</v>
      </c>
      <c r="C319" s="143"/>
      <c r="D319" s="95"/>
      <c r="E319" s="95"/>
      <c r="F319" s="95"/>
      <c r="G319" s="95"/>
      <c r="H319" s="95"/>
      <c r="I319" s="95"/>
      <c r="J319" s="95"/>
      <c r="K319" s="95"/>
      <c r="L319" s="95"/>
      <c r="M319" s="96">
        <f ca="1">M318^(1/5)-1</f>
        <v>0.25405278081555882</v>
      </c>
    </row>
    <row r="320" spans="2:13" x14ac:dyDescent="0.2">
      <c r="B320" s="135"/>
      <c r="C320" s="135"/>
    </row>
    <row r="321" spans="2:13" x14ac:dyDescent="0.2">
      <c r="B321" s="27" t="s">
        <v>179</v>
      </c>
      <c r="C321" s="27"/>
      <c r="D321" s="27"/>
      <c r="E321" s="27"/>
      <c r="F321" s="27"/>
      <c r="G321" s="27"/>
      <c r="H321" s="27"/>
      <c r="I321" s="27" t="s">
        <v>180</v>
      </c>
      <c r="J321" s="27" t="s">
        <v>181</v>
      </c>
      <c r="K321" s="27" t="s">
        <v>182</v>
      </c>
      <c r="L321" s="28" t="s">
        <v>194</v>
      </c>
      <c r="M321" s="28" t="s">
        <v>183</v>
      </c>
    </row>
    <row r="322" spans="2:13" x14ac:dyDescent="0.2">
      <c r="B322" s="135" t="s">
        <v>97</v>
      </c>
      <c r="C322" s="135"/>
      <c r="I322" s="23">
        <f>I210</f>
        <v>380</v>
      </c>
      <c r="J322" s="23">
        <f>J326+J332+J339</f>
        <v>-16038.32</v>
      </c>
      <c r="K322" s="23">
        <f>K335+K340</f>
        <v>17778.32</v>
      </c>
      <c r="L322" s="23"/>
      <c r="M322" s="23">
        <f>SUM(I322:L322)</f>
        <v>2120</v>
      </c>
    </row>
    <row r="323" spans="2:13" x14ac:dyDescent="0.2">
      <c r="B323" s="135" t="s">
        <v>184</v>
      </c>
      <c r="C323" s="135"/>
      <c r="I323" s="23">
        <f>I110</f>
        <v>517</v>
      </c>
      <c r="J323" s="23"/>
      <c r="K323" s="23"/>
      <c r="L323" s="23"/>
      <c r="M323" s="23">
        <f t="shared" ref="M323:M338" si="150">SUM(I323:L323)</f>
        <v>517</v>
      </c>
    </row>
    <row r="324" spans="2:13" x14ac:dyDescent="0.2">
      <c r="B324" s="135" t="s">
        <v>87</v>
      </c>
      <c r="C324" s="135"/>
      <c r="I324" s="23">
        <f>I113</f>
        <v>243</v>
      </c>
      <c r="J324" s="23"/>
      <c r="K324" s="23"/>
      <c r="L324" s="23"/>
      <c r="M324" s="23">
        <f t="shared" si="150"/>
        <v>243</v>
      </c>
    </row>
    <row r="325" spans="2:13" x14ac:dyDescent="0.2">
      <c r="B325" s="135" t="s">
        <v>186</v>
      </c>
      <c r="C325" s="135"/>
      <c r="I325" s="23">
        <f>I143</f>
        <v>273</v>
      </c>
      <c r="J325" s="23"/>
      <c r="K325" s="23"/>
      <c r="L325" s="23"/>
      <c r="M325" s="23">
        <f t="shared" si="150"/>
        <v>273</v>
      </c>
    </row>
    <row r="326" spans="2:13" x14ac:dyDescent="0.2">
      <c r="B326" s="135" t="s">
        <v>131</v>
      </c>
      <c r="C326" s="135"/>
      <c r="I326" s="23">
        <f>I149</f>
        <v>3462</v>
      </c>
      <c r="J326" s="23"/>
      <c r="K326" s="23"/>
      <c r="L326" s="23"/>
      <c r="M326" s="23">
        <f t="shared" si="150"/>
        <v>3462</v>
      </c>
    </row>
    <row r="327" spans="2:13" x14ac:dyDescent="0.2">
      <c r="B327" s="135" t="s">
        <v>134</v>
      </c>
      <c r="C327" s="135"/>
      <c r="G327" s="128"/>
      <c r="I327" s="23">
        <f>I151+144</f>
        <v>5945</v>
      </c>
      <c r="J327" s="130"/>
      <c r="K327" s="23"/>
      <c r="L327" s="23">
        <f>L339</f>
        <v>6778.32</v>
      </c>
      <c r="M327" s="23">
        <f t="shared" si="150"/>
        <v>12723.32</v>
      </c>
    </row>
    <row r="328" spans="2:13" x14ac:dyDescent="0.2">
      <c r="B328" s="138" t="s">
        <v>187</v>
      </c>
      <c r="C328" s="138"/>
      <c r="D328" s="127"/>
      <c r="E328" s="127"/>
      <c r="F328" s="127"/>
      <c r="H328" s="127"/>
      <c r="I328" s="129">
        <f>SUM(I322:I327)</f>
        <v>10820</v>
      </c>
      <c r="J328" s="111">
        <f>SUM(J322:J327)</f>
        <v>-16038.32</v>
      </c>
      <c r="K328" s="129">
        <f>SUM(K322:K327)</f>
        <v>17778.32</v>
      </c>
      <c r="L328" s="129">
        <f>SUM(L322:L327)</f>
        <v>6778.32</v>
      </c>
      <c r="M328" s="129">
        <f t="shared" si="150"/>
        <v>19338.32</v>
      </c>
    </row>
    <row r="329" spans="2:13" x14ac:dyDescent="0.2">
      <c r="B329" s="1"/>
      <c r="C329" s="1"/>
      <c r="J329" s="23"/>
      <c r="K329" s="23"/>
      <c r="L329" s="23"/>
      <c r="M329" s="23">
        <f t="shared" si="150"/>
        <v>0</v>
      </c>
    </row>
    <row r="330" spans="2:13" x14ac:dyDescent="0.2">
      <c r="B330" s="135" t="s">
        <v>185</v>
      </c>
      <c r="C330" s="135"/>
      <c r="I330" s="21">
        <f>I116</f>
        <v>478</v>
      </c>
      <c r="K330" s="23"/>
      <c r="L330" s="23"/>
      <c r="M330" s="23">
        <f t="shared" si="150"/>
        <v>478</v>
      </c>
    </row>
    <row r="331" spans="2:13" x14ac:dyDescent="0.2">
      <c r="B331" s="136" t="s">
        <v>125</v>
      </c>
      <c r="C331" s="136"/>
      <c r="D331" s="136"/>
      <c r="I331" s="21">
        <f>I119</f>
        <v>144</v>
      </c>
      <c r="J331" s="23"/>
      <c r="K331" s="23"/>
      <c r="L331" s="23"/>
      <c r="M331" s="23">
        <f t="shared" si="150"/>
        <v>144</v>
      </c>
    </row>
    <row r="332" spans="2:13" x14ac:dyDescent="0.2">
      <c r="B332" s="135" t="s">
        <v>5</v>
      </c>
      <c r="C332" s="135"/>
      <c r="I332" s="21">
        <f>E19</f>
        <v>5626</v>
      </c>
      <c r="J332" s="23">
        <f>-E19</f>
        <v>-5626</v>
      </c>
      <c r="K332" s="23"/>
      <c r="L332" s="23"/>
      <c r="M332" s="23">
        <f t="shared" si="150"/>
        <v>0</v>
      </c>
    </row>
    <row r="333" spans="2:13" x14ac:dyDescent="0.2">
      <c r="B333" s="136" t="s">
        <v>192</v>
      </c>
      <c r="C333" s="136"/>
      <c r="D333" s="136"/>
      <c r="I333" s="21">
        <v>596</v>
      </c>
      <c r="J333" s="23"/>
      <c r="K333" s="23"/>
      <c r="L333" s="23"/>
      <c r="M333" s="23">
        <f t="shared" si="150"/>
        <v>596</v>
      </c>
    </row>
    <row r="334" spans="2:13" x14ac:dyDescent="0.2">
      <c r="B334" s="133" t="s">
        <v>188</v>
      </c>
      <c r="C334" s="133"/>
      <c r="D334" s="128"/>
      <c r="E334" s="128"/>
      <c r="F334" s="128"/>
      <c r="G334" s="128"/>
      <c r="H334" s="128"/>
      <c r="I334" s="131">
        <f>I153</f>
        <v>515</v>
      </c>
      <c r="J334" s="130"/>
      <c r="K334" s="130"/>
      <c r="L334" s="130"/>
      <c r="M334" s="130">
        <f t="shared" si="150"/>
        <v>515</v>
      </c>
    </row>
    <row r="335" spans="2:13" x14ac:dyDescent="0.2">
      <c r="B335" s="134" t="s">
        <v>189</v>
      </c>
      <c r="C335" s="134"/>
      <c r="I335" s="124">
        <f>SUM(I330:I334)</f>
        <v>7359</v>
      </c>
      <c r="J335" s="111">
        <f>SUM(J330:J334)</f>
        <v>-5626</v>
      </c>
      <c r="K335" s="111">
        <f>SUM(D39:D44)</f>
        <v>13150</v>
      </c>
      <c r="L335" s="23"/>
      <c r="M335" s="111">
        <f t="shared" si="150"/>
        <v>14883</v>
      </c>
    </row>
    <row r="336" spans="2:13" x14ac:dyDescent="0.2">
      <c r="J336" s="23"/>
      <c r="K336" s="23"/>
      <c r="L336" s="23"/>
      <c r="M336" s="23">
        <f t="shared" si="150"/>
        <v>0</v>
      </c>
    </row>
    <row r="337" spans="2:25" x14ac:dyDescent="0.2">
      <c r="B337" s="135" t="s">
        <v>173</v>
      </c>
      <c r="C337" s="135"/>
      <c r="I337" s="8">
        <f>G32</f>
        <v>0</v>
      </c>
      <c r="J337" s="23"/>
      <c r="K337" s="23">
        <f>D46</f>
        <v>0</v>
      </c>
      <c r="L337" s="23"/>
      <c r="M337" s="23">
        <f t="shared" si="150"/>
        <v>0</v>
      </c>
    </row>
    <row r="338" spans="2:25" x14ac:dyDescent="0.2">
      <c r="B338" s="135" t="s">
        <v>193</v>
      </c>
      <c r="C338" s="135"/>
      <c r="I338" s="8">
        <v>182</v>
      </c>
      <c r="J338" s="23"/>
      <c r="K338" s="23"/>
      <c r="L338" s="23"/>
      <c r="M338" s="23">
        <f t="shared" si="150"/>
        <v>182</v>
      </c>
    </row>
    <row r="339" spans="2:25" x14ac:dyDescent="0.2">
      <c r="B339" s="133" t="s">
        <v>190</v>
      </c>
      <c r="C339" s="133"/>
      <c r="D339" s="128"/>
      <c r="E339" s="128"/>
      <c r="F339" s="128"/>
      <c r="G339" s="128"/>
      <c r="H339" s="128"/>
      <c r="I339" s="131">
        <v>3314</v>
      </c>
      <c r="J339" s="130">
        <f>-(L14+K41)</f>
        <v>-10412.32</v>
      </c>
      <c r="K339" s="130">
        <f>D45</f>
        <v>4628.32</v>
      </c>
      <c r="L339" s="130">
        <f>L14-I339</f>
        <v>6778.32</v>
      </c>
      <c r="M339" s="130">
        <f>SUM(I339:L339)</f>
        <v>4308.32</v>
      </c>
    </row>
    <row r="340" spans="2:25" x14ac:dyDescent="0.2">
      <c r="B340" s="134" t="s">
        <v>191</v>
      </c>
      <c r="C340" s="134"/>
      <c r="I340" s="125">
        <f>SUM(I337:I339)</f>
        <v>3496</v>
      </c>
      <c r="J340" s="126">
        <f>SUM(J337:J339)</f>
        <v>-10412.32</v>
      </c>
      <c r="K340" s="126">
        <f>SUM(K337:K339)</f>
        <v>4628.32</v>
      </c>
      <c r="L340" s="129">
        <f>SUM(L334:L339)</f>
        <v>6778.32</v>
      </c>
      <c r="M340" s="111">
        <f>SUM(I340:L340)</f>
        <v>4490.32</v>
      </c>
    </row>
    <row r="341" spans="2:25" x14ac:dyDescent="0.2">
      <c r="J341" s="23"/>
      <c r="K341" s="23"/>
      <c r="L341" s="23"/>
    </row>
    <row r="342" spans="2:25" x14ac:dyDescent="0.2">
      <c r="B342" s="137" t="s">
        <v>163</v>
      </c>
      <c r="C342" s="137"/>
      <c r="D342" s="122"/>
      <c r="E342" s="122"/>
      <c r="F342" s="122"/>
      <c r="G342" s="122"/>
      <c r="H342" s="122"/>
      <c r="I342" s="123">
        <f>I328-I335-I340</f>
        <v>-35</v>
      </c>
      <c r="J342" s="123">
        <f>J328-J335-J340</f>
        <v>0</v>
      </c>
      <c r="K342" s="123">
        <f>K328-K335-K340</f>
        <v>0</v>
      </c>
      <c r="L342" s="123">
        <f>L328-L335-L340</f>
        <v>0</v>
      </c>
      <c r="M342" s="123">
        <f>M328-M335-M340</f>
        <v>-35</v>
      </c>
      <c r="Q342" s="27" t="s">
        <v>195</v>
      </c>
      <c r="R342" s="27"/>
      <c r="S342" s="27"/>
      <c r="T342" s="27"/>
      <c r="U342" s="27"/>
      <c r="V342" s="27"/>
      <c r="W342" s="27"/>
      <c r="X342" s="27"/>
      <c r="Y342" s="27"/>
    </row>
    <row r="344" spans="2:25" x14ac:dyDescent="0.2">
      <c r="V344" t="s">
        <v>40</v>
      </c>
    </row>
    <row r="345" spans="2:25" x14ac:dyDescent="0.2">
      <c r="R345" s="116">
        <f ca="1">M319</f>
        <v>0.25405278081555882</v>
      </c>
      <c r="S345" s="42">
        <f>T345-0.5</f>
        <v>8.7872702883970479</v>
      </c>
      <c r="T345" s="42">
        <f>U345-0.5</f>
        <v>9.2872702883970479</v>
      </c>
      <c r="U345" s="42">
        <f>V345-0.5</f>
        <v>9.7872702883970479</v>
      </c>
      <c r="V345" s="42">
        <f>L22</f>
        <v>10.287270288397048</v>
      </c>
      <c r="W345" s="42">
        <f>V345+0.5</f>
        <v>10.787270288397048</v>
      </c>
      <c r="X345" s="42">
        <f>W345+0.5</f>
        <v>11.287270288397048</v>
      </c>
      <c r="Y345" s="42">
        <f>X345+0.5</f>
        <v>11.787270288397048</v>
      </c>
    </row>
    <row r="346" spans="2:25" x14ac:dyDescent="0.2">
      <c r="R346" s="42">
        <f>R347-0.5</f>
        <v>8.7872702883970479</v>
      </c>
      <c r="S346" s="11"/>
      <c r="T346" s="11"/>
      <c r="U346" s="11"/>
      <c r="V346" s="11"/>
      <c r="W346" s="11"/>
      <c r="X346" s="11"/>
      <c r="Y346" s="11"/>
    </row>
    <row r="347" spans="2:25" x14ac:dyDescent="0.2">
      <c r="R347" s="42">
        <f>R348-0.5</f>
        <v>9.2872702883970479</v>
      </c>
      <c r="S347" s="11"/>
      <c r="T347" s="11"/>
      <c r="U347" s="11"/>
      <c r="V347" s="11"/>
      <c r="W347" s="11"/>
      <c r="X347" s="11"/>
      <c r="Y347" s="11"/>
    </row>
    <row r="348" spans="2:25" x14ac:dyDescent="0.2">
      <c r="R348" s="42">
        <f>R349-0.5</f>
        <v>9.7872702883970479</v>
      </c>
      <c r="S348" s="11"/>
      <c r="T348" s="11"/>
      <c r="U348" s="11"/>
      <c r="V348" s="11"/>
      <c r="W348" s="11"/>
      <c r="X348" s="11"/>
      <c r="Y348" s="11"/>
    </row>
    <row r="349" spans="2:25" x14ac:dyDescent="0.2">
      <c r="Q349" t="s">
        <v>8</v>
      </c>
      <c r="R349" s="42">
        <f>E22</f>
        <v>10.287270288397048</v>
      </c>
      <c r="S349" s="11"/>
      <c r="T349" s="11"/>
      <c r="U349" s="11"/>
      <c r="V349" s="11"/>
      <c r="W349" s="11"/>
      <c r="X349" s="11"/>
      <c r="Y349" s="11"/>
    </row>
    <row r="350" spans="2:25" x14ac:dyDescent="0.2">
      <c r="R350" s="42">
        <f>R349+0.5</f>
        <v>10.787270288397048</v>
      </c>
      <c r="S350" s="11"/>
      <c r="T350" s="11"/>
      <c r="U350" s="11"/>
      <c r="V350" s="11"/>
      <c r="W350" s="11"/>
      <c r="X350" s="11"/>
      <c r="Y350" s="11"/>
    </row>
    <row r="351" spans="2:25" x14ac:dyDescent="0.2">
      <c r="R351" s="42">
        <f t="shared" ref="R351:R352" si="151">R350+0.5</f>
        <v>11.287270288397048</v>
      </c>
      <c r="S351" s="11"/>
      <c r="T351" s="11"/>
      <c r="U351" s="11"/>
      <c r="V351" s="11"/>
      <c r="W351" s="11"/>
      <c r="X351" s="11"/>
      <c r="Y351" s="11"/>
    </row>
    <row r="352" spans="2:25" x14ac:dyDescent="0.2">
      <c r="R352" s="42">
        <f t="shared" si="151"/>
        <v>11.787270288397048</v>
      </c>
      <c r="S352" s="11"/>
      <c r="T352" s="11"/>
      <c r="U352" s="11"/>
      <c r="V352" s="11"/>
      <c r="W352" s="11"/>
      <c r="X352" s="11"/>
      <c r="Y352" s="11"/>
    </row>
  </sheetData>
  <mergeCells count="221">
    <mergeCell ref="B132:C132"/>
    <mergeCell ref="B133:C133"/>
    <mergeCell ref="B128:C128"/>
    <mergeCell ref="B129:C129"/>
    <mergeCell ref="B94:C94"/>
    <mergeCell ref="B122:C122"/>
    <mergeCell ref="B125:C125"/>
    <mergeCell ref="B126:C126"/>
    <mergeCell ref="B263:C263"/>
    <mergeCell ref="B240:C240"/>
    <mergeCell ref="B241:C241"/>
    <mergeCell ref="B236:C236"/>
    <mergeCell ref="B249:C249"/>
    <mergeCell ref="B250:C250"/>
    <mergeCell ref="B245:C245"/>
    <mergeCell ref="B258:C258"/>
    <mergeCell ref="B254:C254"/>
    <mergeCell ref="B193:C193"/>
    <mergeCell ref="B230:C230"/>
    <mergeCell ref="B231:C231"/>
    <mergeCell ref="B232:C232"/>
    <mergeCell ref="B227:C227"/>
    <mergeCell ref="B212:C212"/>
    <mergeCell ref="B213:C213"/>
    <mergeCell ref="I44:J44"/>
    <mergeCell ref="B48:C48"/>
    <mergeCell ref="I48:J48"/>
    <mergeCell ref="I39:J39"/>
    <mergeCell ref="I40:J40"/>
    <mergeCell ref="I41:J41"/>
    <mergeCell ref="I42:J42"/>
    <mergeCell ref="I43:J43"/>
    <mergeCell ref="B44:C44"/>
    <mergeCell ref="B45:C45"/>
    <mergeCell ref="B43:C43"/>
    <mergeCell ref="B29:C29"/>
    <mergeCell ref="B25:C25"/>
    <mergeCell ref="B24:M24"/>
    <mergeCell ref="B26:C26"/>
    <mergeCell ref="I11:M11"/>
    <mergeCell ref="L22:M22"/>
    <mergeCell ref="L16:M16"/>
    <mergeCell ref="B18:C18"/>
    <mergeCell ref="B19:C19"/>
    <mergeCell ref="B20:C20"/>
    <mergeCell ref="B21:C21"/>
    <mergeCell ref="B22:C22"/>
    <mergeCell ref="E18:F18"/>
    <mergeCell ref="E19:F19"/>
    <mergeCell ref="E20:F20"/>
    <mergeCell ref="L13:M13"/>
    <mergeCell ref="L14:M14"/>
    <mergeCell ref="E21:F21"/>
    <mergeCell ref="E15:F15"/>
    <mergeCell ref="B5:C5"/>
    <mergeCell ref="B6:C6"/>
    <mergeCell ref="B12:C12"/>
    <mergeCell ref="E12:F12"/>
    <mergeCell ref="L12:M12"/>
    <mergeCell ref="B27:C27"/>
    <mergeCell ref="B28:C28"/>
    <mergeCell ref="B7:C7"/>
    <mergeCell ref="B13:C13"/>
    <mergeCell ref="B14:C14"/>
    <mergeCell ref="B15:C15"/>
    <mergeCell ref="I12:J12"/>
    <mergeCell ref="I13:J13"/>
    <mergeCell ref="I14:J14"/>
    <mergeCell ref="I15:J15"/>
    <mergeCell ref="E13:F13"/>
    <mergeCell ref="E14:F14"/>
    <mergeCell ref="L15:M15"/>
    <mergeCell ref="E16:F16"/>
    <mergeCell ref="B38:C38"/>
    <mergeCell ref="B39:C39"/>
    <mergeCell ref="B40:C40"/>
    <mergeCell ref="B41:C41"/>
    <mergeCell ref="B42:C42"/>
    <mergeCell ref="B30:C30"/>
    <mergeCell ref="B31:C31"/>
    <mergeCell ref="L21:M21"/>
    <mergeCell ref="E22:F22"/>
    <mergeCell ref="B32:C32"/>
    <mergeCell ref="B33:C33"/>
    <mergeCell ref="I17:J17"/>
    <mergeCell ref="I18:J18"/>
    <mergeCell ref="I20:J20"/>
    <mergeCell ref="I21:J21"/>
    <mergeCell ref="I22:J22"/>
    <mergeCell ref="I16:J16"/>
    <mergeCell ref="I19:J19"/>
    <mergeCell ref="L17:M17"/>
    <mergeCell ref="L18:M18"/>
    <mergeCell ref="L19:M19"/>
    <mergeCell ref="L20:M20"/>
    <mergeCell ref="B140:C140"/>
    <mergeCell ref="B142:C142"/>
    <mergeCell ref="B143:C143"/>
    <mergeCell ref="B139:C139"/>
    <mergeCell ref="B135:C135"/>
    <mergeCell ref="B136:C136"/>
    <mergeCell ref="B137:C137"/>
    <mergeCell ref="B145:C145"/>
    <mergeCell ref="B146:C146"/>
    <mergeCell ref="B141:C141"/>
    <mergeCell ref="B207:C207"/>
    <mergeCell ref="B208:C208"/>
    <mergeCell ref="B209:C209"/>
    <mergeCell ref="B158:C158"/>
    <mergeCell ref="B159:C159"/>
    <mergeCell ref="B161:C161"/>
    <mergeCell ref="B162:C162"/>
    <mergeCell ref="B148:C148"/>
    <mergeCell ref="B147:C147"/>
    <mergeCell ref="B151:C151"/>
    <mergeCell ref="B153:C153"/>
    <mergeCell ref="B149:C149"/>
    <mergeCell ref="B229:C229"/>
    <mergeCell ref="B233:C233"/>
    <mergeCell ref="B234:C234"/>
    <mergeCell ref="B235:C235"/>
    <mergeCell ref="B237:C237"/>
    <mergeCell ref="B210:C210"/>
    <mergeCell ref="B224:C224"/>
    <mergeCell ref="B225:C225"/>
    <mergeCell ref="B226:C226"/>
    <mergeCell ref="B228:C228"/>
    <mergeCell ref="B219:C219"/>
    <mergeCell ref="B220:C220"/>
    <mergeCell ref="B221:C221"/>
    <mergeCell ref="B222:C222"/>
    <mergeCell ref="B223:C223"/>
    <mergeCell ref="B214:C214"/>
    <mergeCell ref="B215:C215"/>
    <mergeCell ref="B216:C216"/>
    <mergeCell ref="B217:D217"/>
    <mergeCell ref="B218:C218"/>
    <mergeCell ref="B247:C247"/>
    <mergeCell ref="B251:C251"/>
    <mergeCell ref="B252:C252"/>
    <mergeCell ref="B253:C253"/>
    <mergeCell ref="B255:C255"/>
    <mergeCell ref="B238:C238"/>
    <mergeCell ref="B242:C242"/>
    <mergeCell ref="B243:C243"/>
    <mergeCell ref="B244:C244"/>
    <mergeCell ref="B246:C246"/>
    <mergeCell ref="B262:C262"/>
    <mergeCell ref="B264:C264"/>
    <mergeCell ref="B265:C265"/>
    <mergeCell ref="B259:C259"/>
    <mergeCell ref="B260:C260"/>
    <mergeCell ref="B261:C261"/>
    <mergeCell ref="B283:C283"/>
    <mergeCell ref="B281:C281"/>
    <mergeCell ref="B256:C256"/>
    <mergeCell ref="B268:C268"/>
    <mergeCell ref="B285:C285"/>
    <mergeCell ref="B287:C287"/>
    <mergeCell ref="B288:C288"/>
    <mergeCell ref="B290:C290"/>
    <mergeCell ref="B291:C291"/>
    <mergeCell ref="B292:C292"/>
    <mergeCell ref="B289:C289"/>
    <mergeCell ref="B286:C286"/>
    <mergeCell ref="B277:C277"/>
    <mergeCell ref="B278:C278"/>
    <mergeCell ref="B279:C279"/>
    <mergeCell ref="B280:C280"/>
    <mergeCell ref="B284:C284"/>
    <mergeCell ref="B303:C303"/>
    <mergeCell ref="B305:C305"/>
    <mergeCell ref="B306:C306"/>
    <mergeCell ref="B293:C293"/>
    <mergeCell ref="B294:C294"/>
    <mergeCell ref="B296:C296"/>
    <mergeCell ref="B297:C297"/>
    <mergeCell ref="B299:C299"/>
    <mergeCell ref="B295:C295"/>
    <mergeCell ref="B46:C46"/>
    <mergeCell ref="B270:C270"/>
    <mergeCell ref="B271:C271"/>
    <mergeCell ref="B272:C272"/>
    <mergeCell ref="B273:C273"/>
    <mergeCell ref="B274:C274"/>
    <mergeCell ref="B267:D267"/>
    <mergeCell ref="B319:C319"/>
    <mergeCell ref="B320:C320"/>
    <mergeCell ref="B304:C304"/>
    <mergeCell ref="B301:C301"/>
    <mergeCell ref="B298:C298"/>
    <mergeCell ref="B309:C309"/>
    <mergeCell ref="B314:C314"/>
    <mergeCell ref="B315:C315"/>
    <mergeCell ref="B316:C316"/>
    <mergeCell ref="B317:C317"/>
    <mergeCell ref="B318:C318"/>
    <mergeCell ref="B310:C310"/>
    <mergeCell ref="B311:C311"/>
    <mergeCell ref="B312:C312"/>
    <mergeCell ref="B313:C313"/>
    <mergeCell ref="B300:C300"/>
    <mergeCell ref="B302:C302"/>
    <mergeCell ref="B334:C334"/>
    <mergeCell ref="B335:C335"/>
    <mergeCell ref="B337:C337"/>
    <mergeCell ref="B339:C339"/>
    <mergeCell ref="B340:C340"/>
    <mergeCell ref="B333:D333"/>
    <mergeCell ref="B342:C342"/>
    <mergeCell ref="B338:C338"/>
    <mergeCell ref="B322:C322"/>
    <mergeCell ref="B323:C323"/>
    <mergeCell ref="B324:C324"/>
    <mergeCell ref="B328:C328"/>
    <mergeCell ref="B330:C330"/>
    <mergeCell ref="B327:C327"/>
    <mergeCell ref="B332:C332"/>
    <mergeCell ref="B331:D331"/>
    <mergeCell ref="B325:C325"/>
    <mergeCell ref="B326:C326"/>
  </mergeCells>
  <dataValidations count="2">
    <dataValidation type="list" allowBlank="1" showInputMessage="1" showErrorMessage="1" sqref="E5 E7" xr:uid="{9D44FE27-E091-764B-8E5A-FF9E243FD72C}">
      <formula1>"1, 2"</formula1>
    </dataValidation>
    <dataValidation type="list" allowBlank="1" showInputMessage="1" showErrorMessage="1" sqref="E6" xr:uid="{018A8BE6-AE23-ED4D-9DAB-B6AF87C6B725}">
      <formula1>"ON, OFF"</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C3F12-C113-A44F-846D-9E6D9138C51C}">
  <dimension ref="A1:N8"/>
  <sheetViews>
    <sheetView zoomScale="125" workbookViewId="0">
      <selection activeCell="M9" sqref="M9"/>
    </sheetView>
  </sheetViews>
  <sheetFormatPr baseColWidth="10" defaultRowHeight="16" x14ac:dyDescent="0.2"/>
  <sheetData>
    <row r="1" spans="1:14" x14ac:dyDescent="0.2">
      <c r="A1" t="s">
        <v>196</v>
      </c>
      <c r="B1" t="s">
        <v>197</v>
      </c>
      <c r="C1" t="s">
        <v>198</v>
      </c>
      <c r="D1" t="s">
        <v>82</v>
      </c>
      <c r="E1" t="s">
        <v>199</v>
      </c>
      <c r="F1" t="s">
        <v>91</v>
      </c>
      <c r="G1" t="s">
        <v>200</v>
      </c>
      <c r="H1" t="s">
        <v>201</v>
      </c>
      <c r="I1" t="s">
        <v>202</v>
      </c>
      <c r="J1" t="s">
        <v>203</v>
      </c>
      <c r="K1" t="s">
        <v>204</v>
      </c>
      <c r="L1" t="s">
        <v>209</v>
      </c>
      <c r="M1" t="s">
        <v>210</v>
      </c>
      <c r="N1" t="s">
        <v>205</v>
      </c>
    </row>
    <row r="2" spans="1:14" x14ac:dyDescent="0.2">
      <c r="A2" t="s">
        <v>206</v>
      </c>
      <c r="B2" s="174">
        <v>-1</v>
      </c>
      <c r="C2" s="175">
        <f>'LBO Model'!G61</f>
        <v>3441</v>
      </c>
      <c r="D2" s="175">
        <f>'LBO Model'!G106</f>
        <v>1323</v>
      </c>
      <c r="E2" s="175">
        <f>'LBO Model'!G161</f>
        <v>465</v>
      </c>
      <c r="F2" s="175">
        <f>'LBO Model'!G132</f>
        <v>328</v>
      </c>
      <c r="G2" s="175">
        <v>0</v>
      </c>
      <c r="H2" s="12">
        <v>0</v>
      </c>
      <c r="I2">
        <v>0</v>
      </c>
      <c r="J2">
        <v>0</v>
      </c>
      <c r="K2">
        <v>0</v>
      </c>
      <c r="L2">
        <v>0</v>
      </c>
      <c r="M2">
        <v>0</v>
      </c>
      <c r="N2">
        <v>0</v>
      </c>
    </row>
    <row r="3" spans="1:14" x14ac:dyDescent="0.2">
      <c r="A3" t="s">
        <v>207</v>
      </c>
      <c r="B3" s="174">
        <v>-1</v>
      </c>
      <c r="C3" s="175">
        <f>'LBO Model'!H61</f>
        <v>3361</v>
      </c>
      <c r="D3" s="175">
        <f>'LBO Model'!H106</f>
        <v>1217</v>
      </c>
      <c r="E3" s="175">
        <f>'LBO Model'!H161</f>
        <v>550</v>
      </c>
      <c r="F3" s="175">
        <f>'LBO Model'!H132</f>
        <v>305</v>
      </c>
      <c r="G3" s="175">
        <f>'LBO Model'!H128</f>
        <v>-228</v>
      </c>
      <c r="H3" s="12">
        <v>0</v>
      </c>
      <c r="I3">
        <v>0</v>
      </c>
      <c r="J3">
        <v>0</v>
      </c>
      <c r="K3">
        <v>0</v>
      </c>
      <c r="L3">
        <v>0</v>
      </c>
      <c r="M3">
        <v>0</v>
      </c>
      <c r="N3">
        <v>0</v>
      </c>
    </row>
    <row r="4" spans="1:14" x14ac:dyDescent="0.2">
      <c r="A4" t="s">
        <v>180</v>
      </c>
      <c r="B4" s="174">
        <v>-1</v>
      </c>
      <c r="C4" s="175">
        <f>'LBO Model'!I61</f>
        <v>3500</v>
      </c>
      <c r="D4" s="175">
        <f>'LBO Model'!I106</f>
        <v>1376</v>
      </c>
      <c r="E4" s="175">
        <f>'LBO Model'!I161</f>
        <v>512</v>
      </c>
      <c r="F4" s="175">
        <f>'LBO Model'!I132</f>
        <v>316</v>
      </c>
      <c r="G4" s="175">
        <f>'LBO Model'!I128</f>
        <v>368</v>
      </c>
      <c r="H4" s="12">
        <v>0</v>
      </c>
      <c r="I4">
        <v>0</v>
      </c>
      <c r="J4">
        <v>0</v>
      </c>
      <c r="K4">
        <v>0</v>
      </c>
      <c r="L4">
        <v>0</v>
      </c>
      <c r="M4">
        <v>0</v>
      </c>
      <c r="N4">
        <v>0</v>
      </c>
    </row>
    <row r="5" spans="1:14" x14ac:dyDescent="0.2">
      <c r="A5" t="s">
        <v>72</v>
      </c>
      <c r="B5">
        <v>0</v>
      </c>
      <c r="C5" s="175">
        <f>'LBO Model'!J61</f>
        <v>3676</v>
      </c>
      <c r="D5" s="175">
        <f>'LBO Model'!J106</f>
        <v>1623</v>
      </c>
      <c r="E5" s="175">
        <f>'LBO Model'!J161</f>
        <v>523.35085714285719</v>
      </c>
      <c r="F5" s="175">
        <f>'LBO Model'!J132</f>
        <v>338.62533106091695</v>
      </c>
      <c r="G5" s="175">
        <f>'LBO Model'!J128</f>
        <v>-176.72793712523981</v>
      </c>
      <c r="H5" s="12">
        <f>'LBO Model'!J57</f>
        <v>0.41142857142857142</v>
      </c>
      <c r="I5" s="175">
        <f ca="1">'LBO Model'!J82</f>
        <v>1008.4307325096865</v>
      </c>
      <c r="J5" s="175">
        <f ca="1">'LBO Model'!J279</f>
        <v>496.85891736391648</v>
      </c>
      <c r="K5" s="175">
        <f ca="1">'LBO Model'!J280</f>
        <v>12003.141082636084</v>
      </c>
      <c r="L5">
        <v>913</v>
      </c>
      <c r="M5">
        <v>25</v>
      </c>
      <c r="N5" s="175">
        <f>-'LBO Model'!D45</f>
        <v>-4628.32</v>
      </c>
    </row>
    <row r="6" spans="1:14" x14ac:dyDescent="0.2">
      <c r="A6" t="s">
        <v>53</v>
      </c>
      <c r="B6">
        <v>1</v>
      </c>
      <c r="C6" s="175">
        <f>'LBO Model'!K61</f>
        <v>3936</v>
      </c>
      <c r="D6" s="175">
        <f>'LBO Model'!K106</f>
        <v>1810</v>
      </c>
      <c r="E6" s="175">
        <f>'LBO Model'!K161</f>
        <v>475.1337142857144</v>
      </c>
      <c r="F6" s="175">
        <f>'LBO Model'!K132</f>
        <v>374.31360000000001</v>
      </c>
      <c r="G6" s="175">
        <f>'LBO Model'!K128</f>
        <v>-5.2147071960182529</v>
      </c>
      <c r="H6" s="12">
        <f>'LBO Model'!K57</f>
        <v>0.40022857142857143</v>
      </c>
      <c r="I6" s="175">
        <f ca="1">'LBO Model'!K82</f>
        <v>957.61665758947038</v>
      </c>
      <c r="J6" s="175">
        <f ca="1">'LBO Model'!K279</f>
        <v>525.95115597662061</v>
      </c>
      <c r="K6" s="175">
        <f ca="1">'LBO Model'!K280</f>
        <v>11477.189926659463</v>
      </c>
      <c r="L6">
        <v>982</v>
      </c>
      <c r="M6">
        <v>16</v>
      </c>
      <c r="N6" s="175">
        <v>0</v>
      </c>
    </row>
    <row r="7" spans="1:14" x14ac:dyDescent="0.2">
      <c r="A7" t="s">
        <v>54</v>
      </c>
      <c r="B7">
        <v>2</v>
      </c>
      <c r="C7" s="175">
        <f>'LBO Model'!L61</f>
        <v>4226</v>
      </c>
      <c r="D7" s="175">
        <f>'LBO Model'!L106</f>
        <v>2105</v>
      </c>
      <c r="E7" s="175">
        <f>'LBO Model'!L161</f>
        <v>566.13228571428567</v>
      </c>
      <c r="F7" s="175">
        <f>'LBO Model'!L132</f>
        <v>418.37400000000002</v>
      </c>
      <c r="G7" s="175">
        <f>'LBO Model'!L128</f>
        <v>-5.8164041801737767</v>
      </c>
      <c r="H7" s="12">
        <f>'LBO Model'!L57</f>
        <v>0.38902857142857145</v>
      </c>
      <c r="I7" s="175">
        <f ca="1">'LBO Model'!L82</f>
        <v>896.80897322013675</v>
      </c>
      <c r="J7" s="175">
        <f ca="1">'LBO Model'!L279</f>
        <v>698.01508186435399</v>
      </c>
      <c r="K7" s="175">
        <f ca="1">'LBO Model'!L280</f>
        <v>10779.174844795109</v>
      </c>
      <c r="L7">
        <v>1169</v>
      </c>
      <c r="M7">
        <v>-42</v>
      </c>
      <c r="N7" s="175">
        <v>0</v>
      </c>
    </row>
    <row r="8" spans="1:14" x14ac:dyDescent="0.2">
      <c r="A8" t="s">
        <v>208</v>
      </c>
      <c r="B8">
        <v>3</v>
      </c>
      <c r="C8" s="175">
        <f>'LBO Model'!M61</f>
        <v>4503</v>
      </c>
      <c r="D8" s="175">
        <f>'LBO Model'!M106</f>
        <v>2321</v>
      </c>
      <c r="E8" s="175">
        <f>'LBO Model'!M161</f>
        <v>631.73171428571413</v>
      </c>
      <c r="F8" s="175">
        <f>'LBO Model'!M132</f>
        <v>472.815</v>
      </c>
      <c r="G8" s="175">
        <f>'LBO Model'!M128</f>
        <v>-5.5556688203732847</v>
      </c>
      <c r="H8" s="12">
        <f>'LBO Model'!M57</f>
        <v>0.37782857142857146</v>
      </c>
      <c r="I8" s="175">
        <f ca="1">'LBO Model'!M82</f>
        <v>818.54120900176099</v>
      </c>
      <c r="J8" s="175">
        <f ca="1">'LBO Model'!M279</f>
        <v>877.39601803442838</v>
      </c>
      <c r="K8" s="175">
        <f ca="1">'LBO Model'!M280</f>
        <v>9901.7788267606811</v>
      </c>
      <c r="L8">
        <v>1336</v>
      </c>
      <c r="M8">
        <v>-114</v>
      </c>
      <c r="N8" s="175">
        <f ca="1">'LBO Model'!M314</f>
        <v>14354.975512608868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3DE5A-7B29-074E-BECE-DACAFE371368}">
  <dimension ref="A1:C7"/>
  <sheetViews>
    <sheetView workbookViewId="0">
      <selection activeCell="D1" sqref="D1"/>
    </sheetView>
  </sheetViews>
  <sheetFormatPr baseColWidth="10" defaultRowHeight="16" x14ac:dyDescent="0.2"/>
  <sheetData>
    <row r="1" spans="1:3" x14ac:dyDescent="0.2">
      <c r="A1" t="s">
        <v>211</v>
      </c>
      <c r="B1" t="s">
        <v>218</v>
      </c>
      <c r="C1" t="s">
        <v>219</v>
      </c>
    </row>
    <row r="2" spans="1:3" x14ac:dyDescent="0.2">
      <c r="A2" t="s">
        <v>212</v>
      </c>
      <c r="B2">
        <f>'LBO Model'!G26</f>
        <v>5350</v>
      </c>
      <c r="C2" t="s">
        <v>220</v>
      </c>
    </row>
    <row r="3" spans="1:3" x14ac:dyDescent="0.2">
      <c r="A3" t="s">
        <v>213</v>
      </c>
      <c r="B3">
        <f>'LBO Model'!G27</f>
        <v>500</v>
      </c>
      <c r="C3" t="s">
        <v>221</v>
      </c>
    </row>
    <row r="4" spans="1:3" x14ac:dyDescent="0.2">
      <c r="A4" t="s">
        <v>214</v>
      </c>
      <c r="B4">
        <f>'LBO Model'!G28</f>
        <v>2500</v>
      </c>
    </row>
    <row r="5" spans="1:3" x14ac:dyDescent="0.2">
      <c r="A5" t="s">
        <v>215</v>
      </c>
      <c r="B5">
        <f>'LBO Model'!G29</f>
        <v>2150</v>
      </c>
      <c r="C5" t="s">
        <v>220</v>
      </c>
    </row>
    <row r="6" spans="1:3" x14ac:dyDescent="0.2">
      <c r="A6" t="s">
        <v>216</v>
      </c>
      <c r="B6">
        <f>'LBO Model'!G30</f>
        <v>650</v>
      </c>
      <c r="C6" t="s">
        <v>220</v>
      </c>
    </row>
    <row r="7" spans="1:3" x14ac:dyDescent="0.2">
      <c r="A7" t="s">
        <v>217</v>
      </c>
      <c r="B7">
        <f>'LBO Model'!G31</f>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LBO Model</vt:lpstr>
      <vt:lpstr>Export</vt:lpstr>
      <vt:lpstr>DebtParams</vt:lpstr>
      <vt:lpstr>CASE</vt:lpstr>
      <vt:lpstr>CIRC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Ishitta Iyer</dc:creator>
  <cp:lastModifiedBy>Ishitta Iyer</cp:lastModifiedBy>
  <dcterms:created xsi:type="dcterms:W3CDTF">2025-07-28T10:23:12Z</dcterms:created>
  <dcterms:modified xsi:type="dcterms:W3CDTF">2025-08-24T20:02:27Z</dcterms:modified>
</cp:coreProperties>
</file>