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drawings/drawing5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10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11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12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drawings/drawing13.xml" ContentType="application/vnd.openxmlformats-officedocument.drawing+xml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drawings/drawing14.xml" ContentType="application/vnd.openxmlformats-officedocument.drawing+xml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drawings/drawing15.xml" ContentType="application/vnd.openxmlformats-officedocument.drawing+xml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drawings/drawing16.xml" ContentType="application/vnd.openxmlformats-officedocument.drawing+xml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drawings/drawing17.xml" ContentType="application/vnd.openxmlformats-officedocument.drawing+xml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drawings/drawing18.xml" ContentType="application/vnd.openxmlformats-officedocument.drawing+xml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\Documents\Books &amp; articles\Wiley\"/>
    </mc:Choice>
  </mc:AlternateContent>
  <xr:revisionPtr revIDLastSave="0" documentId="13_ncr:1_{62CAEE98-6C2D-463F-842F-E53E93E711AD}" xr6:coauthVersionLast="47" xr6:coauthVersionMax="47" xr10:uidLastSave="{00000000-0000-0000-0000-000000000000}"/>
  <bookViews>
    <workbookView xWindow="-120" yWindow="-120" windowWidth="29040" windowHeight="15840" firstSheet="33" xr2:uid="{00000000-000D-0000-FFFF-FFFF00000000}"/>
  </bookViews>
  <sheets>
    <sheet name="Contents" sheetId="12" r:id="rId1"/>
    <sheet name="Return Calculations" sheetId="13" r:id="rId2"/>
    <sheet name="Benchmarks" sheetId="14" r:id="rId3"/>
    <sheet name=" Descriptive Statistics" sheetId="1" r:id="rId4"/>
    <sheet name="Appraisal Measures" sheetId="2" r:id="rId5"/>
    <sheet name="Regression Analysis" sheetId="3" r:id="rId6"/>
    <sheet name="Drawdown" sheetId="4" r:id="rId7"/>
    <sheet name="Partial Moments" sheetId="5" r:id="rId8"/>
    <sheet name="Fixed Income Risk" sheetId="11" r:id="rId9"/>
    <sheet name="Risk-adjusted return" sheetId="8" r:id="rId10"/>
    <sheet name="Brinson, Hood &amp; Beebower " sheetId="15" r:id="rId11"/>
    <sheet name="Brinson &amp; Fachler" sheetId="16" r:id="rId12"/>
    <sheet name="Including  Interaction" sheetId="17" r:id="rId13"/>
    <sheet name="Geometric" sheetId="18" r:id="rId14"/>
    <sheet name="Attribution after cashflow" sheetId="19" r:id="rId15"/>
    <sheet name="Security Level" sheetId="20" r:id="rId16"/>
    <sheet name="Off- benchmark" sheetId="21" r:id="rId17"/>
    <sheet name="Investment Decision Process" sheetId="22" r:id="rId18"/>
    <sheet name="Market Neutral, Leverage etc" sheetId="23" r:id="rId19"/>
    <sheet name="Attribution with Futures" sheetId="24" r:id="rId20"/>
    <sheet name="Attribution including options" sheetId="25" r:id="rId21"/>
    <sheet name="Ankrim &amp; Hensel" sheetId="26" r:id="rId22"/>
    <sheet name="Karnosky &amp; Singer" sheetId="27" r:id="rId23"/>
    <sheet name="Naive Multi-Currency" sheetId="28" r:id="rId24"/>
    <sheet name="Multi-Currency Geometric" sheetId="29" r:id="rId25"/>
    <sheet name="Currency including timing " sheetId="30" r:id="rId26"/>
    <sheet name="Interest rate differentials" sheetId="31" r:id="rId27"/>
    <sheet name="Currency plus forwards" sheetId="32" r:id="rId28"/>
    <sheet name="Weighted Duration" sheetId="33" r:id="rId29"/>
    <sheet name="Campisi" sheetId="34" r:id="rId30"/>
    <sheet name="Yield Curve Decomposition" sheetId="41" r:id="rId31"/>
    <sheet name="Carino Smoothing" sheetId="35" r:id="rId32"/>
    <sheet name="Menchero Smoothing" sheetId="37" r:id="rId33"/>
    <sheet name="GRAP Method" sheetId="36" r:id="rId34"/>
    <sheet name="Frongello Method" sheetId="38" r:id="rId35"/>
    <sheet name="Multi-period Geometric" sheetId="39" r:id="rId36"/>
    <sheet name="Annualised Contributions" sheetId="40" r:id="rId37"/>
    <sheet name="Risk-adjusted Attribution" sheetId="42" r:id="rId38"/>
    <sheet name="Multi-level" sheetId="43" r:id="rId39"/>
    <sheet name="Balanced" sheetId="44" r:id="rId40"/>
  </sheets>
  <definedNames>
    <definedName name="_xlnm.Print_Area" localSheetId="3">' Descriptive Statistics'!#REF!</definedName>
    <definedName name="_xlnm.Print_Area" localSheetId="4">'Appraisal Measures'!#REF!</definedName>
    <definedName name="_xlnm.Print_Area" localSheetId="20">'Attribution including options'!#REF!</definedName>
    <definedName name="_xlnm.Print_Area" localSheetId="39">Balanced!$Y$4:$AE$30</definedName>
    <definedName name="_xlnm.Print_Area" localSheetId="29">Campisi!$B$51:$J$66</definedName>
    <definedName name="_xlnm.Print_Area" localSheetId="6">Drawdown!#REF!</definedName>
    <definedName name="_xlnm.Print_Area" localSheetId="22">'Karnosky &amp; Singer'!$B$5:$S$36</definedName>
    <definedName name="_xlnm.Print_Area" localSheetId="18">'Market Neutral, Leverage etc'!$B$42:$S$66</definedName>
    <definedName name="_xlnm.Print_Area" localSheetId="7">'Partial Moments'!#REF!</definedName>
    <definedName name="_xlnm.Print_Area" localSheetId="5">'Regression Analysis'!$BG$5:$BI$48</definedName>
    <definedName name="_xlnm.Print_Area" localSheetId="28">'Weighted Duration'!$B$4:$T$29</definedName>
    <definedName name="_xlnm.Print_Titles">#N/A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213" i="41" l="1"/>
  <c r="AY190" i="41"/>
  <c r="AR190" i="41"/>
  <c r="AK190" i="41"/>
  <c r="AD190" i="41"/>
  <c r="W190" i="41"/>
  <c r="P190" i="41"/>
  <c r="I190" i="41"/>
  <c r="BL15" i="41"/>
  <c r="BL13" i="41"/>
  <c r="BL12" i="41"/>
  <c r="BL11" i="41"/>
  <c r="BL10" i="41"/>
  <c r="BL9" i="41"/>
  <c r="BL8" i="41"/>
  <c r="BL7" i="41"/>
  <c r="BL6" i="41"/>
  <c r="BK13" i="41"/>
  <c r="BJ13" i="41"/>
  <c r="BI13" i="41"/>
  <c r="BH13" i="41"/>
  <c r="BG13" i="41"/>
  <c r="BK12" i="41"/>
  <c r="BJ12" i="41"/>
  <c r="BI12" i="41"/>
  <c r="BH12" i="41"/>
  <c r="BG12" i="41"/>
  <c r="BK11" i="41"/>
  <c r="BJ11" i="41"/>
  <c r="BI11" i="41"/>
  <c r="BH11" i="41"/>
  <c r="BG11" i="41"/>
  <c r="BK10" i="41"/>
  <c r="BJ10" i="41"/>
  <c r="BI10" i="41"/>
  <c r="BH10" i="41"/>
  <c r="BG10" i="41"/>
  <c r="BK9" i="41"/>
  <c r="BJ9" i="41"/>
  <c r="BI9" i="41"/>
  <c r="BH9" i="41"/>
  <c r="BG9" i="41"/>
  <c r="BK8" i="41"/>
  <c r="BJ8" i="41"/>
  <c r="BI8" i="41"/>
  <c r="BH8" i="41"/>
  <c r="BH15" i="41" s="1"/>
  <c r="BG8" i="41"/>
  <c r="BK7" i="41"/>
  <c r="BJ7" i="41"/>
  <c r="BI7" i="41"/>
  <c r="BI15" i="41" s="1"/>
  <c r="BH7" i="41"/>
  <c r="BG7" i="41"/>
  <c r="BK6" i="41"/>
  <c r="BJ6" i="41"/>
  <c r="BJ15" i="41" s="1"/>
  <c r="BI6" i="41"/>
  <c r="BH6" i="41"/>
  <c r="BG6" i="41"/>
  <c r="BF13" i="41"/>
  <c r="BF12" i="41"/>
  <c r="BF11" i="41"/>
  <c r="BF10" i="41"/>
  <c r="BF9" i="41"/>
  <c r="BF8" i="41"/>
  <c r="BF7" i="41"/>
  <c r="BF6" i="41"/>
  <c r="BK15" i="41"/>
  <c r="BG15" i="41"/>
  <c r="BF15" i="41"/>
  <c r="BA13" i="41"/>
  <c r="BA12" i="41"/>
  <c r="BA11" i="41"/>
  <c r="BA10" i="41"/>
  <c r="BA9" i="41"/>
  <c r="BA8" i="41"/>
  <c r="BA7" i="41"/>
  <c r="BA6" i="41"/>
  <c r="AZ13" i="41"/>
  <c r="AZ12" i="41"/>
  <c r="AZ11" i="41"/>
  <c r="AZ10" i="41"/>
  <c r="AZ9" i="41"/>
  <c r="AZ8" i="41"/>
  <c r="AZ7" i="41"/>
  <c r="AZ6" i="41"/>
  <c r="AY13" i="41"/>
  <c r="AY12" i="41"/>
  <c r="AY11" i="41"/>
  <c r="AY10" i="41"/>
  <c r="AY9" i="41"/>
  <c r="AY8" i="41"/>
  <c r="AY7" i="41"/>
  <c r="AY6" i="41"/>
  <c r="AX13" i="41"/>
  <c r="AX12" i="41"/>
  <c r="AX11" i="41"/>
  <c r="AX10" i="41"/>
  <c r="AX9" i="41"/>
  <c r="AX8" i="41"/>
  <c r="AX7" i="41"/>
  <c r="AX6" i="41"/>
  <c r="AW13" i="41"/>
  <c r="AW12" i="41"/>
  <c r="AW11" i="41"/>
  <c r="AW10" i="41"/>
  <c r="AW9" i="41"/>
  <c r="AW8" i="41"/>
  <c r="AW7" i="41"/>
  <c r="AW6" i="41"/>
  <c r="BB15" i="41"/>
  <c r="AZ15" i="41"/>
  <c r="AS15" i="41"/>
  <c r="AR15" i="41"/>
  <c r="AS9" i="41"/>
  <c r="BF208" i="41"/>
  <c r="AR13" i="41"/>
  <c r="AR12" i="41"/>
  <c r="AR11" i="41"/>
  <c r="AR10" i="41"/>
  <c r="AR9" i="41"/>
  <c r="AR8" i="41"/>
  <c r="AR7" i="41"/>
  <c r="AR6" i="41"/>
  <c r="BF185" i="41"/>
  <c r="AY185" i="41"/>
  <c r="AR185" i="41"/>
  <c r="AK185" i="41"/>
  <c r="AD185" i="41"/>
  <c r="W185" i="41"/>
  <c r="P185" i="41"/>
  <c r="I185" i="41"/>
  <c r="AQ13" i="41"/>
  <c r="AQ12" i="41"/>
  <c r="AQ11" i="41"/>
  <c r="AQ10" i="41"/>
  <c r="AQ9" i="41"/>
  <c r="AQ8" i="41"/>
  <c r="AQ7" i="41"/>
  <c r="AQ6" i="41"/>
  <c r="BF162" i="41"/>
  <c r="AY162" i="41"/>
  <c r="AR162" i="41"/>
  <c r="AK162" i="41"/>
  <c r="AD162" i="41"/>
  <c r="W162" i="41"/>
  <c r="P162" i="41"/>
  <c r="I162" i="41"/>
  <c r="BF139" i="41"/>
  <c r="AP9" i="41" s="1"/>
  <c r="AY139" i="41"/>
  <c r="AR139" i="41"/>
  <c r="AK139" i="41"/>
  <c r="AP8" i="41" s="1"/>
  <c r="AD139" i="41"/>
  <c r="W139" i="41"/>
  <c r="P139" i="41"/>
  <c r="AP7" i="41" s="1"/>
  <c r="I139" i="41"/>
  <c r="I116" i="41"/>
  <c r="AO10" i="41" s="1"/>
  <c r="AP13" i="41"/>
  <c r="AP12" i="41"/>
  <c r="AP11" i="41"/>
  <c r="AP10" i="41"/>
  <c r="AP6" i="41"/>
  <c r="AO13" i="41"/>
  <c r="AO12" i="41"/>
  <c r="AO11" i="41"/>
  <c r="AO9" i="41"/>
  <c r="AO8" i="41"/>
  <c r="AO7" i="41"/>
  <c r="AO6" i="41"/>
  <c r="AN13" i="41"/>
  <c r="AN12" i="41"/>
  <c r="AN11" i="41"/>
  <c r="AN10" i="41"/>
  <c r="AN9" i="41"/>
  <c r="AN8" i="41"/>
  <c r="AN7" i="41"/>
  <c r="AN6" i="41"/>
  <c r="BF116" i="41"/>
  <c r="AY116" i="41"/>
  <c r="AR116" i="41"/>
  <c r="AK116" i="41"/>
  <c r="AD116" i="41"/>
  <c r="W116" i="41"/>
  <c r="P116" i="41"/>
  <c r="AA15" i="41"/>
  <c r="Z15" i="41"/>
  <c r="AJ15" i="41"/>
  <c r="AI15" i="41"/>
  <c r="AJ13" i="41"/>
  <c r="AI13" i="41"/>
  <c r="AJ12" i="41"/>
  <c r="AI12" i="41"/>
  <c r="AJ11" i="41"/>
  <c r="AI11" i="41"/>
  <c r="AJ10" i="41"/>
  <c r="AI10" i="41"/>
  <c r="AJ9" i="41"/>
  <c r="AI9" i="41"/>
  <c r="AJ8" i="41"/>
  <c r="AI8" i="41"/>
  <c r="AJ7" i="41"/>
  <c r="AI7" i="41"/>
  <c r="AJ6" i="41"/>
  <c r="AI6" i="41"/>
  <c r="AA13" i="41"/>
  <c r="AA11" i="41"/>
  <c r="AA10" i="41"/>
  <c r="AA7" i="41"/>
  <c r="Z13" i="41"/>
  <c r="Z12" i="41"/>
  <c r="Z11" i="41"/>
  <c r="Z10" i="41"/>
  <c r="Z9" i="41"/>
  <c r="Z8" i="41"/>
  <c r="Z7" i="41"/>
  <c r="Z6" i="41"/>
  <c r="X13" i="41"/>
  <c r="AG13" i="41"/>
  <c r="AG12" i="41"/>
  <c r="AG11" i="41"/>
  <c r="AG10" i="41"/>
  <c r="AG9" i="41"/>
  <c r="AG8" i="41"/>
  <c r="AG15" i="41" s="1"/>
  <c r="X15" i="41" s="1"/>
  <c r="AG7" i="41"/>
  <c r="AG6" i="41"/>
  <c r="X11" i="41"/>
  <c r="X10" i="41"/>
  <c r="X7" i="41"/>
  <c r="W15" i="41"/>
  <c r="AF15" i="41"/>
  <c r="AF13" i="41"/>
  <c r="AF12" i="41"/>
  <c r="AF11" i="41"/>
  <c r="AF10" i="41"/>
  <c r="AF9" i="41"/>
  <c r="AF8" i="41"/>
  <c r="AF7" i="41"/>
  <c r="AF6" i="41"/>
  <c r="T15" i="41"/>
  <c r="W9" i="41"/>
  <c r="W12" i="41"/>
  <c r="W11" i="41"/>
  <c r="W8" i="41"/>
  <c r="W6" i="41"/>
  <c r="W13" i="41"/>
  <c r="W7" i="41"/>
  <c r="W10" i="41"/>
  <c r="BA15" i="41" l="1"/>
  <c r="AY15" i="41"/>
  <c r="AX15" i="41"/>
  <c r="AW15" i="41"/>
  <c r="AQ15" i="41"/>
  <c r="AP15" i="41"/>
  <c r="AO15" i="41"/>
  <c r="AN15" i="41"/>
  <c r="W22" i="33" l="1"/>
  <c r="W29" i="33"/>
  <c r="W27" i="33"/>
  <c r="W26" i="33"/>
  <c r="W25" i="33"/>
  <c r="W24" i="33"/>
  <c r="Z19" i="33"/>
  <c r="Z17" i="33" l="1"/>
  <c r="Z15" i="33"/>
  <c r="Z13" i="33"/>
  <c r="Z11" i="33"/>
  <c r="Y19" i="33"/>
  <c r="K53" i="22"/>
  <c r="K51" i="22"/>
  <c r="K49" i="22"/>
  <c r="K47" i="22"/>
  <c r="K45" i="22"/>
  <c r="K43" i="22"/>
  <c r="K41" i="22"/>
  <c r="K39" i="22"/>
  <c r="K37" i="22"/>
  <c r="K35" i="22"/>
  <c r="H55" i="22"/>
  <c r="C53" i="22"/>
  <c r="C51" i="22"/>
  <c r="C49" i="22"/>
  <c r="C47" i="22"/>
  <c r="C45" i="22"/>
  <c r="C43" i="22"/>
  <c r="C41" i="22"/>
  <c r="C39" i="22"/>
  <c r="C37" i="22"/>
  <c r="C35" i="22"/>
  <c r="J618" i="13"/>
  <c r="I618" i="13"/>
  <c r="N611" i="13"/>
  <c r="N609" i="13"/>
  <c r="N607" i="13"/>
  <c r="N605" i="13"/>
  <c r="N603" i="13"/>
  <c r="I614" i="13"/>
  <c r="H614" i="13"/>
  <c r="G614" i="13"/>
  <c r="F614" i="13"/>
  <c r="D614" i="13"/>
  <c r="M609" i="13" s="1"/>
  <c r="Q609" i="13" s="1"/>
  <c r="K55" i="22" l="1"/>
  <c r="L618" i="13"/>
  <c r="J620" i="13"/>
  <c r="M605" i="13"/>
  <c r="Q605" i="13" s="1"/>
  <c r="M607" i="13"/>
  <c r="Q607" i="13" s="1"/>
  <c r="M611" i="13"/>
  <c r="Q611" i="13" s="1"/>
  <c r="I620" i="13"/>
  <c r="L620" i="13" s="1"/>
  <c r="M603" i="13"/>
  <c r="Q603" i="13" s="1"/>
  <c r="M614" i="13"/>
  <c r="N614" i="13"/>
  <c r="Q614" i="13" l="1"/>
  <c r="O611" i="13"/>
  <c r="R611" i="13" s="1"/>
  <c r="O609" i="13"/>
  <c r="R609" i="13" s="1"/>
  <c r="O614" i="13"/>
  <c r="O603" i="13"/>
  <c r="R603" i="13" s="1"/>
  <c r="O607" i="13"/>
  <c r="R607" i="13" s="1"/>
  <c r="O605" i="13"/>
  <c r="R605" i="13" s="1"/>
  <c r="R614" i="13" l="1"/>
  <c r="D506" i="13" l="1"/>
  <c r="D504" i="13"/>
  <c r="D502" i="13"/>
  <c r="D500" i="13"/>
  <c r="D498" i="13"/>
  <c r="E357" i="13"/>
  <c r="E356" i="13"/>
  <c r="E355" i="13"/>
  <c r="E354" i="13"/>
  <c r="E353" i="13"/>
  <c r="E352" i="13"/>
  <c r="E351" i="13"/>
  <c r="D326" i="13"/>
  <c r="D322" i="13"/>
  <c r="D320" i="13"/>
  <c r="D318" i="13"/>
  <c r="D316" i="13"/>
  <c r="D314" i="13"/>
  <c r="D312" i="13"/>
  <c r="D307" i="13"/>
  <c r="D303" i="13"/>
  <c r="D393" i="13" s="1"/>
  <c r="D301" i="13"/>
  <c r="D299" i="13"/>
  <c r="D389" i="13" s="1"/>
  <c r="D297" i="13"/>
  <c r="D387" i="13" s="1"/>
  <c r="D295" i="13"/>
  <c r="D385" i="13" s="1"/>
  <c r="D293" i="13"/>
  <c r="F289" i="13"/>
  <c r="F288" i="13"/>
  <c r="F287" i="13"/>
  <c r="F286" i="13"/>
  <c r="F285" i="13"/>
  <c r="F284" i="13"/>
  <c r="F283" i="13"/>
  <c r="F253" i="13"/>
  <c r="E253" i="13"/>
  <c r="D253" i="13"/>
  <c r="F251" i="13"/>
  <c r="E251" i="13"/>
  <c r="D251" i="13"/>
  <c r="E250" i="13"/>
  <c r="D250" i="13"/>
  <c r="F250" i="13"/>
  <c r="D249" i="13"/>
  <c r="E249" i="13"/>
  <c r="F249" i="13"/>
  <c r="G253" i="13"/>
  <c r="G251" i="13"/>
  <c r="G250" i="13"/>
  <c r="G249" i="13"/>
  <c r="G217" i="13"/>
  <c r="G219" i="13" s="1"/>
  <c r="F217" i="13"/>
  <c r="F219" i="13" s="1"/>
  <c r="F276" i="13" s="1"/>
  <c r="E217" i="13"/>
  <c r="E219" i="13" s="1"/>
  <c r="E276" i="13" s="1"/>
  <c r="D217" i="13"/>
  <c r="D219" i="13" s="1"/>
  <c r="G273" i="13" s="1"/>
  <c r="D202" i="13"/>
  <c r="E194" i="13"/>
  <c r="G195" i="13" s="1"/>
  <c r="E195" i="13"/>
  <c r="G196" i="13" s="1"/>
  <c r="F195" i="13"/>
  <c r="H195" i="13" s="1"/>
  <c r="E196" i="13"/>
  <c r="G197" i="13" s="1"/>
  <c r="F196" i="13"/>
  <c r="H196" i="13" s="1"/>
  <c r="E197" i="13"/>
  <c r="G198" i="13" s="1"/>
  <c r="F197" i="13"/>
  <c r="H197" i="13" s="1"/>
  <c r="E198" i="13"/>
  <c r="G199" i="13" s="1"/>
  <c r="F198" i="13"/>
  <c r="H198" i="13" s="1"/>
  <c r="E199" i="13"/>
  <c r="G200" i="13" s="1"/>
  <c r="F199" i="13"/>
  <c r="H199" i="13" s="1"/>
  <c r="F200" i="13"/>
  <c r="H200" i="13" s="1"/>
  <c r="D186" i="13"/>
  <c r="D184" i="13"/>
  <c r="D107" i="13"/>
  <c r="D103" i="13"/>
  <c r="D101" i="13"/>
  <c r="BD214" i="41"/>
  <c r="BD213" i="41"/>
  <c r="BD215" i="41"/>
  <c r="AW191" i="41"/>
  <c r="AW190" i="41"/>
  <c r="AW192" i="41" s="1"/>
  <c r="AP191" i="41"/>
  <c r="AP190" i="41"/>
  <c r="AP192" i="41" s="1"/>
  <c r="AI191" i="41"/>
  <c r="AI192" i="41" s="1"/>
  <c r="AI190" i="41"/>
  <c r="AB191" i="41"/>
  <c r="AB190" i="41"/>
  <c r="AB192" i="41" s="1"/>
  <c r="U191" i="41"/>
  <c r="U190" i="41"/>
  <c r="U192" i="41" s="1"/>
  <c r="N191" i="41"/>
  <c r="N190" i="41"/>
  <c r="N192" i="41" s="1"/>
  <c r="BC198" i="41"/>
  <c r="BD198" i="41" s="1"/>
  <c r="BC197" i="41"/>
  <c r="BC196" i="41"/>
  <c r="BD196" i="41" s="1"/>
  <c r="BC195" i="41"/>
  <c r="BD195" i="41" s="1"/>
  <c r="BC194" i="41"/>
  <c r="BC193" i="41"/>
  <c r="BC192" i="41"/>
  <c r="BD192" i="41" s="1"/>
  <c r="BD197" i="41"/>
  <c r="BD194" i="41"/>
  <c r="BD193" i="41"/>
  <c r="BC175" i="41"/>
  <c r="BD175" i="41" s="1"/>
  <c r="BC174" i="41"/>
  <c r="BD174" i="41" s="1"/>
  <c r="BC173" i="41"/>
  <c r="BD173" i="41" s="1"/>
  <c r="BC172" i="41"/>
  <c r="BD172" i="41" s="1"/>
  <c r="BC171" i="41"/>
  <c r="BD171" i="41" s="1"/>
  <c r="BC170" i="41"/>
  <c r="BD170" i="41" s="1"/>
  <c r="BC169" i="41"/>
  <c r="BD169" i="41" s="1"/>
  <c r="AV182" i="41"/>
  <c r="AW182" i="41" s="1"/>
  <c r="AV181" i="41"/>
  <c r="AW181" i="41" s="1"/>
  <c r="AV180" i="41"/>
  <c r="AW180" i="41" s="1"/>
  <c r="AV179" i="41"/>
  <c r="AW179" i="41" s="1"/>
  <c r="AV178" i="41"/>
  <c r="AW178" i="41" s="1"/>
  <c r="AV177" i="41"/>
  <c r="AW177" i="41" s="1"/>
  <c r="AV176" i="41"/>
  <c r="AV175" i="41"/>
  <c r="AW175" i="41" s="1"/>
  <c r="AV174" i="41"/>
  <c r="AW174" i="41" s="1"/>
  <c r="AV173" i="41"/>
  <c r="AW173" i="41" s="1"/>
  <c r="AV172" i="41"/>
  <c r="AW172" i="41" s="1"/>
  <c r="AV171" i="41"/>
  <c r="AW171" i="41" s="1"/>
  <c r="AV170" i="41"/>
  <c r="AW170" i="41" s="1"/>
  <c r="AV169" i="41"/>
  <c r="AW169" i="41" s="1"/>
  <c r="AV183" i="41"/>
  <c r="AW183" i="41" s="1"/>
  <c r="AW176" i="41"/>
  <c r="AO180" i="41"/>
  <c r="AO179" i="41"/>
  <c r="AO178" i="41"/>
  <c r="AO177" i="41"/>
  <c r="AO176" i="41"/>
  <c r="AO175" i="41"/>
  <c r="AO174" i="41"/>
  <c r="AO173" i="41"/>
  <c r="AP173" i="41" s="1"/>
  <c r="AO172" i="41"/>
  <c r="AP172" i="41" s="1"/>
  <c r="AO171" i="41"/>
  <c r="AO170" i="41"/>
  <c r="AP170" i="41" s="1"/>
  <c r="AO169" i="41"/>
  <c r="AP180" i="41"/>
  <c r="AP179" i="41"/>
  <c r="AP178" i="41"/>
  <c r="AP177" i="41"/>
  <c r="AP176" i="41"/>
  <c r="AP175" i="41"/>
  <c r="AP174" i="41"/>
  <c r="AP171" i="41"/>
  <c r="AP169" i="41"/>
  <c r="AH175" i="41"/>
  <c r="AH174" i="41"/>
  <c r="AI174" i="41" s="1"/>
  <c r="AH173" i="41"/>
  <c r="AI173" i="41" s="1"/>
  <c r="AH172" i="41"/>
  <c r="AI172" i="41" s="1"/>
  <c r="AH171" i="41"/>
  <c r="AI171" i="41" s="1"/>
  <c r="AH170" i="41"/>
  <c r="AI170" i="41" s="1"/>
  <c r="AH169" i="41"/>
  <c r="AI175" i="41"/>
  <c r="AI169" i="41"/>
  <c r="AA171" i="41"/>
  <c r="AB171" i="41" s="1"/>
  <c r="AA170" i="41"/>
  <c r="AB170" i="41" s="1"/>
  <c r="AA169" i="41"/>
  <c r="AB169" i="41"/>
  <c r="T183" i="41"/>
  <c r="U183" i="41" s="1"/>
  <c r="T182" i="41"/>
  <c r="U182" i="41" s="1"/>
  <c r="T181" i="41"/>
  <c r="T180" i="41"/>
  <c r="U180" i="41" s="1"/>
  <c r="T179" i="41"/>
  <c r="T178" i="41"/>
  <c r="U178" i="41" s="1"/>
  <c r="T177" i="41"/>
  <c r="U177" i="41" s="1"/>
  <c r="T176" i="41"/>
  <c r="U176" i="41" s="1"/>
  <c r="T175" i="41"/>
  <c r="U175" i="41" s="1"/>
  <c r="T174" i="41"/>
  <c r="U174" i="41" s="1"/>
  <c r="T173" i="41"/>
  <c r="U173" i="41" s="1"/>
  <c r="T172" i="41"/>
  <c r="U172" i="41" s="1"/>
  <c r="T171" i="41"/>
  <c r="U171" i="41" s="1"/>
  <c r="T170" i="41"/>
  <c r="U170" i="41" s="1"/>
  <c r="T169" i="41"/>
  <c r="U169" i="41" s="1"/>
  <c r="U181" i="41"/>
  <c r="U179" i="41"/>
  <c r="M173" i="41"/>
  <c r="N173" i="41" s="1"/>
  <c r="M172" i="41"/>
  <c r="M171" i="41"/>
  <c r="M170" i="41"/>
  <c r="N170" i="41" s="1"/>
  <c r="M169" i="41"/>
  <c r="N169" i="41" s="1"/>
  <c r="N172" i="41"/>
  <c r="N171" i="41"/>
  <c r="F178" i="41"/>
  <c r="F177" i="41"/>
  <c r="G177" i="41" s="1"/>
  <c r="F176" i="41"/>
  <c r="F175" i="41"/>
  <c r="G175" i="41" s="1"/>
  <c r="F174" i="41"/>
  <c r="F173" i="41"/>
  <c r="G173" i="41" s="1"/>
  <c r="F172" i="41"/>
  <c r="G172" i="41" s="1"/>
  <c r="F171" i="41"/>
  <c r="G171" i="41" s="1"/>
  <c r="F170" i="41"/>
  <c r="F169" i="41"/>
  <c r="G169" i="41" s="1"/>
  <c r="G176" i="41"/>
  <c r="G178" i="41"/>
  <c r="G174" i="41"/>
  <c r="G170" i="41"/>
  <c r="BC152" i="41"/>
  <c r="BD152" i="41" s="1"/>
  <c r="BC151" i="41"/>
  <c r="BD151" i="41" s="1"/>
  <c r="BC150" i="41"/>
  <c r="BD150" i="41" s="1"/>
  <c r="BC149" i="41"/>
  <c r="BD149" i="41" s="1"/>
  <c r="BC148" i="41"/>
  <c r="BC147" i="41"/>
  <c r="BD147" i="41" s="1"/>
  <c r="BC146" i="41"/>
  <c r="BD146" i="41" s="1"/>
  <c r="BD148" i="41"/>
  <c r="AV159" i="41"/>
  <c r="AV158" i="41"/>
  <c r="AW158" i="41" s="1"/>
  <c r="AV157" i="41"/>
  <c r="AW157" i="41" s="1"/>
  <c r="AV156" i="41"/>
  <c r="AW156" i="41" s="1"/>
  <c r="AV155" i="41"/>
  <c r="AV154" i="41"/>
  <c r="AW154" i="41" s="1"/>
  <c r="AV153" i="41"/>
  <c r="AW153" i="41" s="1"/>
  <c r="AV152" i="41"/>
  <c r="AW152" i="41" s="1"/>
  <c r="AV151" i="41"/>
  <c r="AV150" i="41"/>
  <c r="AW150" i="41" s="1"/>
  <c r="AV149" i="41"/>
  <c r="AW149" i="41" s="1"/>
  <c r="AV148" i="41"/>
  <c r="AW148" i="41" s="1"/>
  <c r="AV147" i="41"/>
  <c r="AV146" i="41"/>
  <c r="AW146" i="41" s="1"/>
  <c r="AW159" i="41"/>
  <c r="AW155" i="41"/>
  <c r="AW151" i="41"/>
  <c r="AW147" i="41"/>
  <c r="AO157" i="41"/>
  <c r="AO156" i="41"/>
  <c r="AP156" i="41" s="1"/>
  <c r="AO155" i="41"/>
  <c r="AP155" i="41" s="1"/>
  <c r="AO154" i="41"/>
  <c r="AP154" i="41" s="1"/>
  <c r="AO153" i="41"/>
  <c r="AO152" i="41"/>
  <c r="AP152" i="41" s="1"/>
  <c r="AO151" i="41"/>
  <c r="AP151" i="41" s="1"/>
  <c r="AO150" i="41"/>
  <c r="AO149" i="41"/>
  <c r="AO148" i="41"/>
  <c r="AP148" i="41" s="1"/>
  <c r="AO147" i="41"/>
  <c r="AP147" i="41" s="1"/>
  <c r="AO146" i="41"/>
  <c r="AP146" i="41" s="1"/>
  <c r="AP157" i="41"/>
  <c r="AP153" i="41"/>
  <c r="AP150" i="41"/>
  <c r="AP149" i="41"/>
  <c r="AH152" i="41"/>
  <c r="AI152" i="41" s="1"/>
  <c r="AH151" i="41"/>
  <c r="AI151" i="41" s="1"/>
  <c r="AH150" i="41"/>
  <c r="AI150" i="41" s="1"/>
  <c r="AH149" i="41"/>
  <c r="AH148" i="41"/>
  <c r="AI148" i="41" s="1"/>
  <c r="AH147" i="41"/>
  <c r="AI147" i="41" s="1"/>
  <c r="AH146" i="41"/>
  <c r="AI146" i="41" s="1"/>
  <c r="AI149" i="41"/>
  <c r="AA148" i="41"/>
  <c r="AB148" i="41" s="1"/>
  <c r="AA147" i="41"/>
  <c r="AB147" i="41" s="1"/>
  <c r="AA146" i="41"/>
  <c r="AB146" i="41" s="1"/>
  <c r="T160" i="41"/>
  <c r="U160" i="41" s="1"/>
  <c r="T159" i="41"/>
  <c r="U159" i="41" s="1"/>
  <c r="T158" i="41"/>
  <c r="U158" i="41" s="1"/>
  <c r="T157" i="41"/>
  <c r="T156" i="41"/>
  <c r="U156" i="41" s="1"/>
  <c r="T155" i="41"/>
  <c r="U155" i="41" s="1"/>
  <c r="T154" i="41"/>
  <c r="T153" i="41"/>
  <c r="U153" i="41" s="1"/>
  <c r="T152" i="41"/>
  <c r="U152" i="41" s="1"/>
  <c r="T151" i="41"/>
  <c r="U151" i="41" s="1"/>
  <c r="T150" i="41"/>
  <c r="T149" i="41"/>
  <c r="T148" i="41"/>
  <c r="U148" i="41" s="1"/>
  <c r="T147" i="41"/>
  <c r="U147" i="41" s="1"/>
  <c r="T146" i="41"/>
  <c r="U157" i="41"/>
  <c r="U154" i="41"/>
  <c r="U150" i="41"/>
  <c r="U149" i="41"/>
  <c r="U146" i="41"/>
  <c r="M150" i="41"/>
  <c r="N150" i="41" s="1"/>
  <c r="M149" i="41"/>
  <c r="N149" i="41" s="1"/>
  <c r="M148" i="41"/>
  <c r="M147" i="41"/>
  <c r="N147" i="41" s="1"/>
  <c r="M146" i="41"/>
  <c r="N146" i="41" s="1"/>
  <c r="N148" i="41"/>
  <c r="F155" i="41"/>
  <c r="G155" i="41" s="1"/>
  <c r="F154" i="41"/>
  <c r="F153" i="41"/>
  <c r="F152" i="41"/>
  <c r="F151" i="41"/>
  <c r="G151" i="41" s="1"/>
  <c r="F150" i="41"/>
  <c r="G150" i="41" s="1"/>
  <c r="F149" i="41"/>
  <c r="G149" i="41" s="1"/>
  <c r="F148" i="41"/>
  <c r="G148" i="41" s="1"/>
  <c r="F147" i="41"/>
  <c r="F146" i="41"/>
  <c r="G146" i="41" s="1"/>
  <c r="G153" i="41"/>
  <c r="G152" i="41"/>
  <c r="G154" i="41"/>
  <c r="G147" i="41"/>
  <c r="BC129" i="41"/>
  <c r="BC128" i="41"/>
  <c r="BD128" i="41" s="1"/>
  <c r="BC127" i="41"/>
  <c r="BD127" i="41" s="1"/>
  <c r="BC126" i="41"/>
  <c r="BD126" i="41" s="1"/>
  <c r="BC125" i="41"/>
  <c r="BC124" i="41"/>
  <c r="BD124" i="41" s="1"/>
  <c r="BC123" i="41"/>
  <c r="BD123" i="41" s="1"/>
  <c r="BD129" i="41"/>
  <c r="BD125" i="41"/>
  <c r="AV136" i="41"/>
  <c r="AW136" i="41" s="1"/>
  <c r="AV135" i="41"/>
  <c r="AW135" i="41" s="1"/>
  <c r="AV134" i="41"/>
  <c r="AW134" i="41" s="1"/>
  <c r="AV133" i="41"/>
  <c r="AV132" i="41"/>
  <c r="AW132" i="41" s="1"/>
  <c r="AV131" i="41"/>
  <c r="AV130" i="41"/>
  <c r="AW130" i="41" s="1"/>
  <c r="AV129" i="41"/>
  <c r="AV128" i="41"/>
  <c r="AW128" i="41" s="1"/>
  <c r="AV127" i="41"/>
  <c r="AW127" i="41" s="1"/>
  <c r="AV126" i="41"/>
  <c r="AW126" i="41" s="1"/>
  <c r="AV125" i="41"/>
  <c r="AW125" i="41" s="1"/>
  <c r="AV124" i="41"/>
  <c r="AV123" i="41"/>
  <c r="AW133" i="41"/>
  <c r="AW131" i="41"/>
  <c r="AW129" i="41"/>
  <c r="AW124" i="41"/>
  <c r="AW123" i="41"/>
  <c r="AO134" i="41"/>
  <c r="AO133" i="41"/>
  <c r="AO132" i="41"/>
  <c r="AP132" i="41" s="1"/>
  <c r="AO131" i="41"/>
  <c r="AP131" i="41" s="1"/>
  <c r="AO130" i="41"/>
  <c r="AP130" i="41" s="1"/>
  <c r="AO129" i="41"/>
  <c r="AO128" i="41"/>
  <c r="AP128" i="41" s="1"/>
  <c r="AO127" i="41"/>
  <c r="AP127" i="41" s="1"/>
  <c r="AO126" i="41"/>
  <c r="AP126" i="41" s="1"/>
  <c r="AO125" i="41"/>
  <c r="AO124" i="41"/>
  <c r="AP124" i="41" s="1"/>
  <c r="AO123" i="41"/>
  <c r="AP123" i="41" s="1"/>
  <c r="AP134" i="41"/>
  <c r="AP133" i="41"/>
  <c r="AP129" i="41"/>
  <c r="AP125" i="41"/>
  <c r="AH129" i="41"/>
  <c r="AI129" i="41" s="1"/>
  <c r="AH128" i="41"/>
  <c r="AI128" i="41" s="1"/>
  <c r="AH127" i="41"/>
  <c r="AH126" i="41"/>
  <c r="AI126" i="41" s="1"/>
  <c r="AH125" i="41"/>
  <c r="AI125" i="41" s="1"/>
  <c r="AH124" i="41"/>
  <c r="AI124" i="41" s="1"/>
  <c r="AH123" i="41"/>
  <c r="AI127" i="41"/>
  <c r="AI123" i="41"/>
  <c r="AA125" i="41"/>
  <c r="AA124" i="41"/>
  <c r="AB124" i="41" s="1"/>
  <c r="AA123" i="41"/>
  <c r="AB123" i="41" s="1"/>
  <c r="AB125" i="41"/>
  <c r="T137" i="41"/>
  <c r="U137" i="41" s="1"/>
  <c r="T136" i="41"/>
  <c r="U136" i="41" s="1"/>
  <c r="T135" i="41"/>
  <c r="U135" i="41" s="1"/>
  <c r="T134" i="41"/>
  <c r="U134" i="41" s="1"/>
  <c r="T133" i="41"/>
  <c r="U133" i="41" s="1"/>
  <c r="T132" i="41"/>
  <c r="U132" i="41" s="1"/>
  <c r="T131" i="41"/>
  <c r="U131" i="41" s="1"/>
  <c r="T130" i="41"/>
  <c r="T129" i="41"/>
  <c r="U129" i="41" s="1"/>
  <c r="T128" i="41"/>
  <c r="T127" i="41"/>
  <c r="U127" i="41" s="1"/>
  <c r="T126" i="41"/>
  <c r="U126" i="41" s="1"/>
  <c r="T125" i="41"/>
  <c r="U125" i="41" s="1"/>
  <c r="T124" i="41"/>
  <c r="U124" i="41" s="1"/>
  <c r="T123" i="41"/>
  <c r="U123" i="41" s="1"/>
  <c r="U130" i="41"/>
  <c r="U128" i="41"/>
  <c r="M127" i="41"/>
  <c r="N127" i="41" s="1"/>
  <c r="M126" i="41"/>
  <c r="M125" i="41"/>
  <c r="N125" i="41" s="1"/>
  <c r="M124" i="41"/>
  <c r="N124" i="41" s="1"/>
  <c r="M123" i="41"/>
  <c r="N123" i="41" s="1"/>
  <c r="N126" i="41"/>
  <c r="F132" i="41"/>
  <c r="G132" i="41" s="1"/>
  <c r="F131" i="41"/>
  <c r="G131" i="41" s="1"/>
  <c r="F130" i="41"/>
  <c r="G130" i="41" s="1"/>
  <c r="F129" i="41"/>
  <c r="G129" i="41" s="1"/>
  <c r="F128" i="41"/>
  <c r="G128" i="41" s="1"/>
  <c r="F127" i="41"/>
  <c r="F126" i="41"/>
  <c r="G126" i="41" s="1"/>
  <c r="F125" i="41"/>
  <c r="G125" i="41" s="1"/>
  <c r="F124" i="41"/>
  <c r="G124" i="41" s="1"/>
  <c r="F123" i="41"/>
  <c r="BC106" i="41"/>
  <c r="BC105" i="41"/>
  <c r="BC104" i="41"/>
  <c r="BD104" i="41" s="1"/>
  <c r="BC103" i="41"/>
  <c r="BC102" i="41"/>
  <c r="BD102" i="41" s="1"/>
  <c r="BC101" i="41"/>
  <c r="BD101" i="41" s="1"/>
  <c r="BC100" i="41"/>
  <c r="BD100" i="41" s="1"/>
  <c r="BD103" i="41"/>
  <c r="BD106" i="41"/>
  <c r="BD105" i="41"/>
  <c r="AV100" i="41"/>
  <c r="AW100" i="41" s="1"/>
  <c r="AO100" i="41"/>
  <c r="AP100" i="41"/>
  <c r="AH100" i="41"/>
  <c r="AI100" i="41" s="1"/>
  <c r="AA100" i="41"/>
  <c r="AB100" i="41" s="1"/>
  <c r="T100" i="41"/>
  <c r="U100" i="41"/>
  <c r="M100" i="41"/>
  <c r="N100" i="41" s="1"/>
  <c r="G127" i="41"/>
  <c r="G123" i="41"/>
  <c r="F100" i="41"/>
  <c r="G100" i="41" s="1"/>
  <c r="BC83" i="41"/>
  <c r="BC82" i="41"/>
  <c r="BD82" i="41" s="1"/>
  <c r="BC81" i="41"/>
  <c r="BD81" i="41" s="1"/>
  <c r="BC80" i="41"/>
  <c r="BD80" i="41" s="1"/>
  <c r="BC79" i="41"/>
  <c r="BD79" i="41" s="1"/>
  <c r="BC78" i="41"/>
  <c r="BD78" i="41" s="1"/>
  <c r="BC77" i="41"/>
  <c r="BD77" i="41"/>
  <c r="BD83" i="41"/>
  <c r="AV77" i="41"/>
  <c r="AW77" i="41" s="1"/>
  <c r="AO77" i="41"/>
  <c r="AP77" i="41" s="1"/>
  <c r="AH77" i="41"/>
  <c r="AI77" i="41"/>
  <c r="AA77" i="41"/>
  <c r="AB77" i="41" s="1"/>
  <c r="T77" i="41"/>
  <c r="U77" i="41"/>
  <c r="M77" i="41"/>
  <c r="N77" i="41" s="1"/>
  <c r="F77" i="41"/>
  <c r="G77" i="41" s="1"/>
  <c r="E8" i="41"/>
  <c r="E9" i="41" s="1"/>
  <c r="E10" i="41" s="1"/>
  <c r="E11" i="41" s="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T91" i="41" s="1"/>
  <c r="U91" i="41" s="1"/>
  <c r="E17" i="44"/>
  <c r="AE15" i="44"/>
  <c r="AD15" i="44"/>
  <c r="AB15" i="44"/>
  <c r="AA15" i="44"/>
  <c r="AA11" i="44" s="1"/>
  <c r="F11" i="44" s="1"/>
  <c r="Y15" i="44"/>
  <c r="N15" i="44"/>
  <c r="AG15" i="44" s="1"/>
  <c r="M15" i="44"/>
  <c r="K15" i="44"/>
  <c r="J15" i="44"/>
  <c r="AG13" i="44"/>
  <c r="AE13" i="44"/>
  <c r="AB13" i="44"/>
  <c r="AA13" i="44"/>
  <c r="Y13" i="44"/>
  <c r="N13" i="44"/>
  <c r="M13" i="44"/>
  <c r="K13" i="44"/>
  <c r="I17" i="44" s="1"/>
  <c r="J13" i="44"/>
  <c r="AB11" i="44"/>
  <c r="G11" i="44" s="1"/>
  <c r="N17" i="44" s="1"/>
  <c r="E11" i="44"/>
  <c r="AD13" i="44" s="1"/>
  <c r="AD17" i="44" s="1"/>
  <c r="L17" i="44" s="1"/>
  <c r="D11" i="44"/>
  <c r="H17" i="44" s="1"/>
  <c r="AB9" i="44"/>
  <c r="AB5" i="44" s="1"/>
  <c r="G5" i="44" s="1"/>
  <c r="AA9" i="44"/>
  <c r="Y9" i="44"/>
  <c r="AB7" i="44"/>
  <c r="AA7" i="44"/>
  <c r="AA17" i="44" s="1"/>
  <c r="F17" i="44" s="1"/>
  <c r="Y7" i="44"/>
  <c r="Y17" i="44" s="1"/>
  <c r="E5" i="44"/>
  <c r="D5" i="44"/>
  <c r="D17" i="44" s="1"/>
  <c r="E22" i="43"/>
  <c r="T20" i="43"/>
  <c r="S20" i="43"/>
  <c r="Q20" i="43"/>
  <c r="P20" i="43"/>
  <c r="T18" i="43"/>
  <c r="T16" i="43" s="1"/>
  <c r="G16" i="43" s="1"/>
  <c r="S18" i="43"/>
  <c r="Q18" i="43"/>
  <c r="P18" i="43"/>
  <c r="E16" i="43"/>
  <c r="D16" i="43"/>
  <c r="O16" i="43" s="1"/>
  <c r="T14" i="43"/>
  <c r="T12" i="43" s="1"/>
  <c r="G12" i="43" s="1"/>
  <c r="S14" i="43"/>
  <c r="Q14" i="43"/>
  <c r="T13" i="43"/>
  <c r="S13" i="43"/>
  <c r="Q13" i="43"/>
  <c r="E12" i="43"/>
  <c r="D12" i="43"/>
  <c r="T10" i="43"/>
  <c r="T8" i="43" s="1"/>
  <c r="G8" i="43" s="1"/>
  <c r="S10" i="43"/>
  <c r="Q10" i="43"/>
  <c r="T9" i="43"/>
  <c r="T22" i="43" s="1"/>
  <c r="G22" i="43" s="1"/>
  <c r="S9" i="43"/>
  <c r="Q9" i="43"/>
  <c r="Q22" i="43" s="1"/>
  <c r="E8" i="43"/>
  <c r="D8" i="43"/>
  <c r="T6" i="43"/>
  <c r="G6" i="43"/>
  <c r="E6" i="43"/>
  <c r="R15" i="42"/>
  <c r="G15" i="42" s="1"/>
  <c r="D15" i="42"/>
  <c r="C15" i="42"/>
  <c r="U13" i="42"/>
  <c r="T13" i="42"/>
  <c r="S13" i="42"/>
  <c r="S15" i="42" s="1"/>
  <c r="R13" i="42"/>
  <c r="Q13" i="42"/>
  <c r="H13" i="42"/>
  <c r="U11" i="42"/>
  <c r="T11" i="42"/>
  <c r="S11" i="42"/>
  <c r="R11" i="42"/>
  <c r="Q11" i="42"/>
  <c r="H11" i="42"/>
  <c r="M11" i="42" s="1"/>
  <c r="U9" i="42"/>
  <c r="U15" i="42" s="1"/>
  <c r="J15" i="42" s="1"/>
  <c r="S9" i="42"/>
  <c r="R9" i="42"/>
  <c r="Q9" i="42"/>
  <c r="Q15" i="42" s="1"/>
  <c r="F15" i="42" s="1"/>
  <c r="H9" i="42"/>
  <c r="T9" i="42" s="1"/>
  <c r="T15" i="42" s="1"/>
  <c r="I12" i="40"/>
  <c r="I13" i="40" s="1"/>
  <c r="H12" i="40"/>
  <c r="H13" i="40" s="1"/>
  <c r="F12" i="40"/>
  <c r="F13" i="40" s="1"/>
  <c r="E12" i="40"/>
  <c r="E13" i="40" s="1"/>
  <c r="G10" i="40"/>
  <c r="G9" i="40"/>
  <c r="G8" i="40"/>
  <c r="G7" i="40"/>
  <c r="G6" i="40"/>
  <c r="G12" i="40" s="1"/>
  <c r="G13" i="40" s="1"/>
  <c r="G141" i="39"/>
  <c r="F141" i="39"/>
  <c r="D141" i="39"/>
  <c r="C141" i="39"/>
  <c r="G139" i="39"/>
  <c r="F139" i="39"/>
  <c r="D139" i="39"/>
  <c r="D144" i="39" s="1"/>
  <c r="C139" i="39"/>
  <c r="G137" i="39"/>
  <c r="F137" i="39"/>
  <c r="D137" i="39"/>
  <c r="C137" i="39"/>
  <c r="C144" i="39" s="1"/>
  <c r="D112" i="39"/>
  <c r="C112" i="39"/>
  <c r="O109" i="39"/>
  <c r="N109" i="39"/>
  <c r="M109" i="39"/>
  <c r="O107" i="39"/>
  <c r="N107" i="39"/>
  <c r="M107" i="39"/>
  <c r="O105" i="39"/>
  <c r="O112" i="39" s="1"/>
  <c r="N105" i="39"/>
  <c r="N112" i="39" s="1"/>
  <c r="G112" i="39" s="1"/>
  <c r="M105" i="39"/>
  <c r="M112" i="39" s="1"/>
  <c r="F112" i="39" s="1"/>
  <c r="D80" i="39"/>
  <c r="C80" i="39"/>
  <c r="O77" i="39"/>
  <c r="N77" i="39"/>
  <c r="M77" i="39"/>
  <c r="O75" i="39"/>
  <c r="N75" i="39"/>
  <c r="M75" i="39"/>
  <c r="O73" i="39"/>
  <c r="O80" i="39" s="1"/>
  <c r="N73" i="39"/>
  <c r="N80" i="39" s="1"/>
  <c r="G80" i="39" s="1"/>
  <c r="M73" i="39"/>
  <c r="M80" i="39" s="1"/>
  <c r="F80" i="39" s="1"/>
  <c r="D48" i="39"/>
  <c r="C48" i="39"/>
  <c r="O45" i="39"/>
  <c r="N45" i="39"/>
  <c r="M45" i="39"/>
  <c r="O43" i="39"/>
  <c r="N43" i="39"/>
  <c r="M43" i="39"/>
  <c r="O41" i="39"/>
  <c r="O48" i="39" s="1"/>
  <c r="N41" i="39"/>
  <c r="N48" i="39" s="1"/>
  <c r="G48" i="39" s="1"/>
  <c r="M41" i="39"/>
  <c r="M48" i="39" s="1"/>
  <c r="F48" i="39" s="1"/>
  <c r="N16" i="39"/>
  <c r="G16" i="39"/>
  <c r="D16" i="39"/>
  <c r="C16" i="39"/>
  <c r="AF13" i="39"/>
  <c r="AE13" i="39"/>
  <c r="AC13" i="39"/>
  <c r="AB13" i="39"/>
  <c r="O13" i="39"/>
  <c r="N13" i="39"/>
  <c r="M13" i="39"/>
  <c r="M16" i="39" s="1"/>
  <c r="F16" i="39" s="1"/>
  <c r="AF11" i="39"/>
  <c r="AE11" i="39"/>
  <c r="AC11" i="39"/>
  <c r="AB11" i="39"/>
  <c r="AB16" i="39" s="1"/>
  <c r="O11" i="39"/>
  <c r="N11" i="39"/>
  <c r="M11" i="39"/>
  <c r="AF9" i="39"/>
  <c r="AE9" i="39"/>
  <c r="AC9" i="39"/>
  <c r="AC16" i="39" s="1"/>
  <c r="AB9" i="39"/>
  <c r="O9" i="39"/>
  <c r="O16" i="39" s="1"/>
  <c r="N9" i="39"/>
  <c r="M9" i="39"/>
  <c r="I9" i="39"/>
  <c r="V9" i="39" s="1"/>
  <c r="G143" i="38"/>
  <c r="F143" i="38"/>
  <c r="D143" i="38"/>
  <c r="C143" i="38"/>
  <c r="G141" i="38"/>
  <c r="F141" i="38"/>
  <c r="D141" i="38"/>
  <c r="D146" i="38" s="1"/>
  <c r="C141" i="38"/>
  <c r="G139" i="38"/>
  <c r="F139" i="38"/>
  <c r="D139" i="38"/>
  <c r="C139" i="38"/>
  <c r="C146" i="38" s="1"/>
  <c r="D114" i="38"/>
  <c r="C114" i="38"/>
  <c r="S111" i="38"/>
  <c r="R111" i="38"/>
  <c r="K111" i="38"/>
  <c r="S109" i="38"/>
  <c r="S114" i="38" s="1"/>
  <c r="G114" i="38" s="1"/>
  <c r="R109" i="38"/>
  <c r="K109" i="38"/>
  <c r="K114" i="38" s="1"/>
  <c r="L121" i="38" s="1"/>
  <c r="S107" i="38"/>
  <c r="R107" i="38"/>
  <c r="R114" i="38" s="1"/>
  <c r="F114" i="38" s="1"/>
  <c r="L118" i="38" s="1"/>
  <c r="K107" i="38"/>
  <c r="D82" i="38"/>
  <c r="C82" i="38"/>
  <c r="S79" i="38"/>
  <c r="R79" i="38"/>
  <c r="K79" i="38"/>
  <c r="S77" i="38"/>
  <c r="S82" i="38" s="1"/>
  <c r="G82" i="38" s="1"/>
  <c r="R77" i="38"/>
  <c r="K77" i="38"/>
  <c r="K82" i="38" s="1"/>
  <c r="L89" i="38" s="1"/>
  <c r="S75" i="38"/>
  <c r="R75" i="38"/>
  <c r="R82" i="38" s="1"/>
  <c r="F82" i="38" s="1"/>
  <c r="L86" i="38" s="1"/>
  <c r="K75" i="38"/>
  <c r="D50" i="38"/>
  <c r="C50" i="38"/>
  <c r="S47" i="38"/>
  <c r="R47" i="38"/>
  <c r="K47" i="38"/>
  <c r="S45" i="38"/>
  <c r="S50" i="38" s="1"/>
  <c r="G50" i="38" s="1"/>
  <c r="R45" i="38"/>
  <c r="K45" i="38"/>
  <c r="K50" i="38" s="1"/>
  <c r="L57" i="38" s="1"/>
  <c r="S43" i="38"/>
  <c r="R43" i="38"/>
  <c r="R50" i="38" s="1"/>
  <c r="F50" i="38" s="1"/>
  <c r="L54" i="38" s="1"/>
  <c r="K43" i="38"/>
  <c r="D18" i="38"/>
  <c r="C18" i="38"/>
  <c r="S15" i="38"/>
  <c r="R15" i="38"/>
  <c r="O15" i="38"/>
  <c r="K15" i="38"/>
  <c r="S13" i="38"/>
  <c r="S18" i="38" s="1"/>
  <c r="G18" i="38" s="1"/>
  <c r="R13" i="38"/>
  <c r="K13" i="38"/>
  <c r="K18" i="38" s="1"/>
  <c r="L25" i="38" s="1"/>
  <c r="S11" i="38"/>
  <c r="R11" i="38"/>
  <c r="R18" i="38" s="1"/>
  <c r="F18" i="38" s="1"/>
  <c r="O11" i="38"/>
  <c r="K11" i="38"/>
  <c r="G142" i="37"/>
  <c r="F142" i="37"/>
  <c r="D142" i="37"/>
  <c r="C142" i="37"/>
  <c r="G140" i="37"/>
  <c r="F140" i="37"/>
  <c r="D140" i="37"/>
  <c r="C140" i="37"/>
  <c r="G138" i="37"/>
  <c r="F138" i="37"/>
  <c r="D138" i="37"/>
  <c r="D145" i="37" s="1"/>
  <c r="C138" i="37"/>
  <c r="C145" i="37" s="1"/>
  <c r="D113" i="37"/>
  <c r="C113" i="37"/>
  <c r="S110" i="37"/>
  <c r="R110" i="37"/>
  <c r="K110" i="37"/>
  <c r="S108" i="37"/>
  <c r="R108" i="37"/>
  <c r="K108" i="37"/>
  <c r="S106" i="37"/>
  <c r="S113" i="37" s="1"/>
  <c r="G113" i="37" s="1"/>
  <c r="R106" i="37"/>
  <c r="R113" i="37" s="1"/>
  <c r="F113" i="37" s="1"/>
  <c r="L117" i="37" s="1"/>
  <c r="K106" i="37"/>
  <c r="K113" i="37" s="1"/>
  <c r="L120" i="37" s="1"/>
  <c r="D81" i="37"/>
  <c r="C81" i="37"/>
  <c r="S78" i="37"/>
  <c r="R78" i="37"/>
  <c r="K78" i="37"/>
  <c r="S76" i="37"/>
  <c r="R76" i="37"/>
  <c r="R81" i="37" s="1"/>
  <c r="F81" i="37" s="1"/>
  <c r="K76" i="37"/>
  <c r="S74" i="37"/>
  <c r="S81" i="37" s="1"/>
  <c r="G81" i="37" s="1"/>
  <c r="R74" i="37"/>
  <c r="K74" i="37"/>
  <c r="K81" i="37" s="1"/>
  <c r="L88" i="37" s="1"/>
  <c r="D49" i="37"/>
  <c r="C49" i="37"/>
  <c r="S46" i="37"/>
  <c r="R46" i="37"/>
  <c r="K46" i="37"/>
  <c r="S44" i="37"/>
  <c r="S49" i="37" s="1"/>
  <c r="G49" i="37" s="1"/>
  <c r="R44" i="37"/>
  <c r="K44" i="37"/>
  <c r="S42" i="37"/>
  <c r="R42" i="37"/>
  <c r="R49" i="37" s="1"/>
  <c r="F49" i="37" s="1"/>
  <c r="L53" i="37" s="1"/>
  <c r="K42" i="37"/>
  <c r="D17" i="37"/>
  <c r="C17" i="37"/>
  <c r="S14" i="37"/>
  <c r="R14" i="37"/>
  <c r="K14" i="37"/>
  <c r="S12" i="37"/>
  <c r="R12" i="37"/>
  <c r="K12" i="37"/>
  <c r="S10" i="37"/>
  <c r="S17" i="37" s="1"/>
  <c r="G17" i="37" s="1"/>
  <c r="R10" i="37"/>
  <c r="R17" i="37" s="1"/>
  <c r="F17" i="37" s="1"/>
  <c r="K10" i="37"/>
  <c r="K17" i="37" s="1"/>
  <c r="L24" i="37" s="1"/>
  <c r="D146" i="36"/>
  <c r="G143" i="36"/>
  <c r="F143" i="36"/>
  <c r="D143" i="36"/>
  <c r="C143" i="36"/>
  <c r="G141" i="36"/>
  <c r="F141" i="36"/>
  <c r="D141" i="36"/>
  <c r="C141" i="36"/>
  <c r="G139" i="36"/>
  <c r="F139" i="36"/>
  <c r="D139" i="36"/>
  <c r="C139" i="36"/>
  <c r="C146" i="36" s="1"/>
  <c r="D114" i="36"/>
  <c r="C114" i="36"/>
  <c r="S111" i="36"/>
  <c r="R111" i="36"/>
  <c r="K111" i="36"/>
  <c r="S109" i="36"/>
  <c r="S114" i="36" s="1"/>
  <c r="G114" i="36" s="1"/>
  <c r="R109" i="36"/>
  <c r="K109" i="36"/>
  <c r="S107" i="36"/>
  <c r="R107" i="36"/>
  <c r="R114" i="36" s="1"/>
  <c r="F114" i="36" s="1"/>
  <c r="L118" i="36" s="1"/>
  <c r="K107" i="36"/>
  <c r="D82" i="36"/>
  <c r="C82" i="36"/>
  <c r="S79" i="36"/>
  <c r="R79" i="36"/>
  <c r="K79" i="36"/>
  <c r="S77" i="36"/>
  <c r="S82" i="36" s="1"/>
  <c r="G82" i="36" s="1"/>
  <c r="R77" i="36"/>
  <c r="R82" i="36" s="1"/>
  <c r="F82" i="36" s="1"/>
  <c r="L86" i="36" s="1"/>
  <c r="K77" i="36"/>
  <c r="K82" i="36" s="1"/>
  <c r="L89" i="36" s="1"/>
  <c r="S75" i="36"/>
  <c r="R75" i="36"/>
  <c r="K75" i="36"/>
  <c r="D50" i="36"/>
  <c r="C50" i="36"/>
  <c r="S47" i="36"/>
  <c r="R47" i="36"/>
  <c r="K47" i="36"/>
  <c r="S45" i="36"/>
  <c r="S50" i="36" s="1"/>
  <c r="G50" i="36" s="1"/>
  <c r="R45" i="36"/>
  <c r="K45" i="36"/>
  <c r="S43" i="36"/>
  <c r="R43" i="36"/>
  <c r="R50" i="36" s="1"/>
  <c r="F50" i="36" s="1"/>
  <c r="L54" i="36" s="1"/>
  <c r="K43" i="36"/>
  <c r="D18" i="36"/>
  <c r="C18" i="36"/>
  <c r="S15" i="36"/>
  <c r="R15" i="36"/>
  <c r="K15" i="36"/>
  <c r="S13" i="36"/>
  <c r="S18" i="36" s="1"/>
  <c r="G18" i="36" s="1"/>
  <c r="R13" i="36"/>
  <c r="K13" i="36"/>
  <c r="S11" i="36"/>
  <c r="R11" i="36"/>
  <c r="R18" i="36" s="1"/>
  <c r="F18" i="36" s="1"/>
  <c r="K11" i="36"/>
  <c r="G142" i="35"/>
  <c r="F142" i="35"/>
  <c r="D142" i="35"/>
  <c r="C142" i="35"/>
  <c r="G140" i="35"/>
  <c r="F140" i="35"/>
  <c r="D140" i="35"/>
  <c r="C140" i="35"/>
  <c r="C145" i="35" s="1"/>
  <c r="G138" i="35"/>
  <c r="F138" i="35"/>
  <c r="D138" i="35"/>
  <c r="D145" i="35" s="1"/>
  <c r="C138" i="35"/>
  <c r="D113" i="35"/>
  <c r="C113" i="35"/>
  <c r="S110" i="35"/>
  <c r="R110" i="35"/>
  <c r="K110" i="35"/>
  <c r="S108" i="35"/>
  <c r="S113" i="35" s="1"/>
  <c r="G113" i="35" s="1"/>
  <c r="R108" i="35"/>
  <c r="R113" i="35" s="1"/>
  <c r="F113" i="35" s="1"/>
  <c r="K108" i="35"/>
  <c r="S106" i="35"/>
  <c r="R106" i="35"/>
  <c r="K106" i="35"/>
  <c r="D81" i="35"/>
  <c r="C81" i="35"/>
  <c r="S78" i="35"/>
  <c r="R78" i="35"/>
  <c r="K78" i="35"/>
  <c r="S76" i="35"/>
  <c r="S81" i="35" s="1"/>
  <c r="G81" i="35" s="1"/>
  <c r="R76" i="35"/>
  <c r="K76" i="35"/>
  <c r="S74" i="35"/>
  <c r="R74" i="35"/>
  <c r="R81" i="35" s="1"/>
  <c r="F81" i="35" s="1"/>
  <c r="K74" i="35"/>
  <c r="D49" i="35"/>
  <c r="C49" i="35"/>
  <c r="S46" i="35"/>
  <c r="R46" i="35"/>
  <c r="K46" i="35"/>
  <c r="S44" i="35"/>
  <c r="R44" i="35"/>
  <c r="K44" i="35"/>
  <c r="S42" i="35"/>
  <c r="S49" i="35" s="1"/>
  <c r="G49" i="35" s="1"/>
  <c r="R42" i="35"/>
  <c r="R49" i="35" s="1"/>
  <c r="F49" i="35" s="1"/>
  <c r="K42" i="35"/>
  <c r="K49" i="35" s="1"/>
  <c r="L56" i="35" s="1"/>
  <c r="D17" i="35"/>
  <c r="C17" i="35"/>
  <c r="S14" i="35"/>
  <c r="R14" i="35"/>
  <c r="K14" i="35"/>
  <c r="S12" i="35"/>
  <c r="R12" i="35"/>
  <c r="R17" i="35" s="1"/>
  <c r="F17" i="35" s="1"/>
  <c r="K12" i="35"/>
  <c r="S10" i="35"/>
  <c r="S17" i="35" s="1"/>
  <c r="G17" i="35" s="1"/>
  <c r="R10" i="35"/>
  <c r="K10" i="35"/>
  <c r="K17" i="35" s="1"/>
  <c r="L24" i="35" s="1"/>
  <c r="D136" i="34"/>
  <c r="C136" i="34"/>
  <c r="D134" i="34"/>
  <c r="C134" i="34"/>
  <c r="D132" i="34"/>
  <c r="C132" i="34"/>
  <c r="V102" i="34"/>
  <c r="L102" i="34" s="1"/>
  <c r="C102" i="34"/>
  <c r="D138" i="34" s="1"/>
  <c r="T100" i="34"/>
  <c r="L100" i="34"/>
  <c r="V100" i="34" s="1"/>
  <c r="K100" i="34"/>
  <c r="V98" i="34"/>
  <c r="U98" i="34"/>
  <c r="T98" i="34"/>
  <c r="M98" i="34"/>
  <c r="W98" i="34" s="1"/>
  <c r="L98" i="34"/>
  <c r="K98" i="34"/>
  <c r="T96" i="34"/>
  <c r="T102" i="34" s="1"/>
  <c r="G102" i="34" s="1"/>
  <c r="L96" i="34"/>
  <c r="V96" i="34" s="1"/>
  <c r="K96" i="34"/>
  <c r="V91" i="34"/>
  <c r="L91" i="34" s="1"/>
  <c r="U91" i="34"/>
  <c r="K91" i="34"/>
  <c r="K114" i="34" s="1"/>
  <c r="C91" i="34"/>
  <c r="C138" i="34" s="1"/>
  <c r="T89" i="34"/>
  <c r="L89" i="34"/>
  <c r="V89" i="34" s="1"/>
  <c r="K89" i="34"/>
  <c r="V87" i="34"/>
  <c r="T87" i="34"/>
  <c r="L87" i="34"/>
  <c r="K87" i="34"/>
  <c r="M87" i="34" s="1"/>
  <c r="W87" i="34" s="1"/>
  <c r="U85" i="34"/>
  <c r="T85" i="34"/>
  <c r="T91" i="34" s="1"/>
  <c r="G91" i="34" s="1"/>
  <c r="M85" i="34"/>
  <c r="W85" i="34" s="1"/>
  <c r="W91" i="34" s="1"/>
  <c r="M91" i="34" s="1"/>
  <c r="L85" i="34"/>
  <c r="V85" i="34" s="1"/>
  <c r="K85" i="34"/>
  <c r="D61" i="34"/>
  <c r="F59" i="34"/>
  <c r="E59" i="34"/>
  <c r="D59" i="34"/>
  <c r="C59" i="34"/>
  <c r="I57" i="34"/>
  <c r="F57" i="34"/>
  <c r="E57" i="34"/>
  <c r="D57" i="34"/>
  <c r="C57" i="34"/>
  <c r="F55" i="34"/>
  <c r="E55" i="34"/>
  <c r="D55" i="34"/>
  <c r="C55" i="34"/>
  <c r="I55" i="34" s="1"/>
  <c r="C25" i="34"/>
  <c r="T23" i="34"/>
  <c r="S23" i="34"/>
  <c r="L23" i="34"/>
  <c r="V23" i="34" s="1"/>
  <c r="K23" i="34"/>
  <c r="U23" i="34" s="1"/>
  <c r="T21" i="34"/>
  <c r="S21" i="34"/>
  <c r="L21" i="34"/>
  <c r="V21" i="34" s="1"/>
  <c r="K21" i="34"/>
  <c r="U21" i="34" s="1"/>
  <c r="T19" i="34"/>
  <c r="T25" i="34" s="1"/>
  <c r="G25" i="34" s="1"/>
  <c r="S19" i="34"/>
  <c r="S25" i="34" s="1"/>
  <c r="D25" i="34" s="1"/>
  <c r="L19" i="34"/>
  <c r="V19" i="34" s="1"/>
  <c r="V25" i="34" s="1"/>
  <c r="L25" i="34" s="1"/>
  <c r="K19" i="34"/>
  <c r="U19" i="34" s="1"/>
  <c r="U25" i="34" s="1"/>
  <c r="K25" i="34" s="1"/>
  <c r="C14" i="34"/>
  <c r="C61" i="34" s="1"/>
  <c r="AA12" i="34"/>
  <c r="T12" i="34"/>
  <c r="S12" i="34"/>
  <c r="L12" i="34"/>
  <c r="V12" i="34" s="1"/>
  <c r="V14" i="34" s="1"/>
  <c r="L14" i="34" s="1"/>
  <c r="K12" i="34"/>
  <c r="U12" i="34" s="1"/>
  <c r="AA10" i="34"/>
  <c r="T10" i="34"/>
  <c r="S10" i="34"/>
  <c r="M10" i="34"/>
  <c r="L10" i="34"/>
  <c r="V10" i="34" s="1"/>
  <c r="K10" i="34"/>
  <c r="U10" i="34" s="1"/>
  <c r="U8" i="34"/>
  <c r="U14" i="34" s="1"/>
  <c r="K14" i="34" s="1"/>
  <c r="T8" i="34"/>
  <c r="S8" i="34"/>
  <c r="L8" i="34"/>
  <c r="V8" i="34" s="1"/>
  <c r="K8" i="34"/>
  <c r="AB53" i="33"/>
  <c r="Z53" i="33"/>
  <c r="X53" i="33"/>
  <c r="W53" i="33"/>
  <c r="V53" i="33"/>
  <c r="U53" i="33"/>
  <c r="M53" i="33"/>
  <c r="K53" i="33"/>
  <c r="H53" i="33"/>
  <c r="G53" i="33"/>
  <c r="AB51" i="33"/>
  <c r="Z51" i="33"/>
  <c r="X51" i="33"/>
  <c r="W51" i="33"/>
  <c r="V51" i="33"/>
  <c r="U51" i="33"/>
  <c r="M51" i="33"/>
  <c r="K51" i="33"/>
  <c r="H51" i="33"/>
  <c r="G51" i="33"/>
  <c r="AB49" i="33"/>
  <c r="Z49" i="33"/>
  <c r="X49" i="33"/>
  <c r="W49" i="33"/>
  <c r="V49" i="33"/>
  <c r="V57" i="33" s="1"/>
  <c r="L57" i="33" s="1"/>
  <c r="U49" i="33"/>
  <c r="M49" i="33"/>
  <c r="K49" i="33"/>
  <c r="H49" i="33"/>
  <c r="G49" i="33"/>
  <c r="X15" i="33"/>
  <c r="W15" i="33"/>
  <c r="V15" i="33"/>
  <c r="U15" i="33"/>
  <c r="M15" i="33"/>
  <c r="K15" i="33"/>
  <c r="H15" i="33"/>
  <c r="G15" i="33"/>
  <c r="X13" i="33"/>
  <c r="W13" i="33"/>
  <c r="V13" i="33"/>
  <c r="U13" i="33"/>
  <c r="M13" i="33"/>
  <c r="K13" i="33"/>
  <c r="H13" i="33"/>
  <c r="G13" i="33"/>
  <c r="X11" i="33"/>
  <c r="W11" i="33"/>
  <c r="V11" i="33"/>
  <c r="V19" i="33" s="1"/>
  <c r="L19" i="33" s="1"/>
  <c r="U11" i="33"/>
  <c r="U19" i="33" s="1"/>
  <c r="J19" i="33" s="1"/>
  <c r="M11" i="33"/>
  <c r="K11" i="33"/>
  <c r="H11" i="33"/>
  <c r="G11" i="33"/>
  <c r="G19" i="33" s="1"/>
  <c r="C26" i="32"/>
  <c r="AD23" i="32"/>
  <c r="AC23" i="32"/>
  <c r="AB23" i="32"/>
  <c r="AF23" i="32" s="1"/>
  <c r="AA23" i="32"/>
  <c r="T23" i="32"/>
  <c r="AD21" i="32"/>
  <c r="AC21" i="32"/>
  <c r="AB21" i="32"/>
  <c r="AF21" i="32" s="1"/>
  <c r="AA21" i="32"/>
  <c r="T21" i="32"/>
  <c r="AD19" i="32"/>
  <c r="AC19" i="32"/>
  <c r="AB19" i="32"/>
  <c r="AF19" i="32" s="1"/>
  <c r="AA19" i="32"/>
  <c r="T19" i="32"/>
  <c r="AF16" i="32"/>
  <c r="AE16" i="32"/>
  <c r="AD16" i="32"/>
  <c r="Y16" i="32"/>
  <c r="X16" i="32"/>
  <c r="V16" i="32"/>
  <c r="T16" i="32"/>
  <c r="S16" i="32"/>
  <c r="R16" i="32"/>
  <c r="H16" i="32"/>
  <c r="U16" i="32" s="1"/>
  <c r="AF14" i="32"/>
  <c r="AE14" i="32"/>
  <c r="AD14" i="32"/>
  <c r="Y14" i="32"/>
  <c r="AG14" i="32" s="1"/>
  <c r="X14" i="32"/>
  <c r="V14" i="32"/>
  <c r="T14" i="32"/>
  <c r="S14" i="32"/>
  <c r="R14" i="32"/>
  <c r="H14" i="32"/>
  <c r="U14" i="32" s="1"/>
  <c r="AF12" i="32"/>
  <c r="AE12" i="32"/>
  <c r="AD12" i="32"/>
  <c r="AD26" i="32" s="1"/>
  <c r="Y12" i="32"/>
  <c r="X12" i="32"/>
  <c r="X26" i="32" s="1"/>
  <c r="V12" i="32"/>
  <c r="V26" i="32" s="1"/>
  <c r="T12" i="32"/>
  <c r="T26" i="32" s="1"/>
  <c r="G26" i="32" s="1"/>
  <c r="S12" i="32"/>
  <c r="S26" i="32" s="1"/>
  <c r="F26" i="32" s="1"/>
  <c r="R12" i="32"/>
  <c r="R26" i="32" s="1"/>
  <c r="E26" i="32" s="1"/>
  <c r="H12" i="32"/>
  <c r="U12" i="32" s="1"/>
  <c r="C19" i="31"/>
  <c r="AE16" i="31"/>
  <c r="AD16" i="31"/>
  <c r="AC16" i="31"/>
  <c r="AA16" i="31"/>
  <c r="Y16" i="31"/>
  <c r="AF16" i="31" s="1"/>
  <c r="W16" i="31"/>
  <c r="U16" i="31"/>
  <c r="S16" i="31"/>
  <c r="R16" i="31"/>
  <c r="Q16" i="31"/>
  <c r="H16" i="31"/>
  <c r="T16" i="31" s="1"/>
  <c r="AE14" i="31"/>
  <c r="AD14" i="31"/>
  <c r="AC14" i="31"/>
  <c r="AA14" i="31"/>
  <c r="Y14" i="31"/>
  <c r="W14" i="31"/>
  <c r="U14" i="31"/>
  <c r="S14" i="31"/>
  <c r="R14" i="31"/>
  <c r="Q14" i="31"/>
  <c r="H14" i="31"/>
  <c r="T14" i="31" s="1"/>
  <c r="AE12" i="31"/>
  <c r="AE19" i="31" s="1"/>
  <c r="AD12" i="31"/>
  <c r="AD19" i="31" s="1"/>
  <c r="AC12" i="31"/>
  <c r="AC19" i="31" s="1"/>
  <c r="AA12" i="31"/>
  <c r="Y12" i="31"/>
  <c r="W12" i="31"/>
  <c r="W19" i="31" s="1"/>
  <c r="U12" i="31"/>
  <c r="U19" i="31" s="1"/>
  <c r="S12" i="31"/>
  <c r="S19" i="31" s="1"/>
  <c r="G19" i="31" s="1"/>
  <c r="R12" i="31"/>
  <c r="R19" i="31" s="1"/>
  <c r="F19" i="31" s="1"/>
  <c r="Q12" i="31"/>
  <c r="Q19" i="31" s="1"/>
  <c r="E19" i="31" s="1"/>
  <c r="H12" i="31"/>
  <c r="T12" i="31" s="1"/>
  <c r="T19" i="31" s="1"/>
  <c r="H19" i="31" s="1"/>
  <c r="Y19" i="30"/>
  <c r="M16" i="30" s="1"/>
  <c r="C19" i="30"/>
  <c r="Z16" i="30"/>
  <c r="Y16" i="30"/>
  <c r="X16" i="30"/>
  <c r="V16" i="30"/>
  <c r="AA16" i="30" s="1"/>
  <c r="U16" i="30"/>
  <c r="S16" i="30"/>
  <c r="R16" i="30"/>
  <c r="Q16" i="30"/>
  <c r="H16" i="30"/>
  <c r="T16" i="30" s="1"/>
  <c r="Z14" i="30"/>
  <c r="Y14" i="30"/>
  <c r="X14" i="30"/>
  <c r="V14" i="30"/>
  <c r="AA14" i="30" s="1"/>
  <c r="U14" i="30"/>
  <c r="S14" i="30"/>
  <c r="R14" i="30"/>
  <c r="Q14" i="30"/>
  <c r="H14" i="30"/>
  <c r="T14" i="30" s="1"/>
  <c r="Z12" i="30"/>
  <c r="Z19" i="30" s="1"/>
  <c r="Y12" i="30"/>
  <c r="X12" i="30"/>
  <c r="X19" i="30" s="1"/>
  <c r="Q28" i="30" s="1"/>
  <c r="V12" i="30"/>
  <c r="U12" i="30"/>
  <c r="U19" i="30" s="1"/>
  <c r="S12" i="30"/>
  <c r="S19" i="30" s="1"/>
  <c r="G19" i="30" s="1"/>
  <c r="R12" i="30"/>
  <c r="R19" i="30" s="1"/>
  <c r="F19" i="30" s="1"/>
  <c r="Q12" i="30"/>
  <c r="Q19" i="30" s="1"/>
  <c r="E19" i="30" s="1"/>
  <c r="H12" i="30"/>
  <c r="T12" i="30" s="1"/>
  <c r="C19" i="29"/>
  <c r="X16" i="29"/>
  <c r="U16" i="29"/>
  <c r="W16" i="29" s="1"/>
  <c r="T16" i="29"/>
  <c r="S16" i="29"/>
  <c r="R16" i="29"/>
  <c r="Q16" i="29"/>
  <c r="P16" i="29"/>
  <c r="H16" i="29"/>
  <c r="X14" i="29"/>
  <c r="U14" i="29"/>
  <c r="T14" i="29"/>
  <c r="S14" i="29"/>
  <c r="R14" i="29"/>
  <c r="Q14" i="29"/>
  <c r="P14" i="29"/>
  <c r="H14" i="29"/>
  <c r="X12" i="29"/>
  <c r="X19" i="29" s="1"/>
  <c r="U12" i="29"/>
  <c r="W12" i="29" s="1"/>
  <c r="T12" i="29"/>
  <c r="T19" i="29" s="1"/>
  <c r="S12" i="29"/>
  <c r="S19" i="29" s="1"/>
  <c r="H19" i="29" s="1"/>
  <c r="R12" i="29"/>
  <c r="R19" i="29" s="1"/>
  <c r="G19" i="29" s="1"/>
  <c r="Q12" i="29"/>
  <c r="Q19" i="29" s="1"/>
  <c r="F19" i="29" s="1"/>
  <c r="P12" i="29"/>
  <c r="P19" i="29" s="1"/>
  <c r="E19" i="29" s="1"/>
  <c r="P26" i="29" s="1"/>
  <c r="H12" i="29"/>
  <c r="S18" i="28"/>
  <c r="I18" i="28" s="1"/>
  <c r="W18" i="28" s="1"/>
  <c r="R18" i="28"/>
  <c r="H18" i="28" s="1"/>
  <c r="D18" i="28"/>
  <c r="C18" i="28"/>
  <c r="T15" i="28"/>
  <c r="S15" i="28"/>
  <c r="R15" i="28"/>
  <c r="Q15" i="28"/>
  <c r="P15" i="28"/>
  <c r="J15" i="28"/>
  <c r="T13" i="28"/>
  <c r="S13" i="28"/>
  <c r="R13" i="28"/>
  <c r="Q13" i="28"/>
  <c r="P13" i="28"/>
  <c r="J13" i="28"/>
  <c r="T11" i="28"/>
  <c r="T18" i="28" s="1"/>
  <c r="S11" i="28"/>
  <c r="R11" i="28"/>
  <c r="Q11" i="28"/>
  <c r="Q18" i="28" s="1"/>
  <c r="G18" i="28" s="1"/>
  <c r="P11" i="28"/>
  <c r="P18" i="28" s="1"/>
  <c r="F18" i="28" s="1"/>
  <c r="P24" i="28" s="1"/>
  <c r="J11" i="28"/>
  <c r="C26" i="27"/>
  <c r="S23" i="27"/>
  <c r="P23" i="27"/>
  <c r="O23" i="27"/>
  <c r="S21" i="27"/>
  <c r="P21" i="27"/>
  <c r="O21" i="27"/>
  <c r="S19" i="27"/>
  <c r="P19" i="27"/>
  <c r="O19" i="27"/>
  <c r="S15" i="27"/>
  <c r="R15" i="27"/>
  <c r="P15" i="27"/>
  <c r="O15" i="27"/>
  <c r="K15" i="27"/>
  <c r="S13" i="27"/>
  <c r="R13" i="27"/>
  <c r="P13" i="27"/>
  <c r="O13" i="27"/>
  <c r="K13" i="27"/>
  <c r="S11" i="27"/>
  <c r="S26" i="27" s="1"/>
  <c r="R11" i="27"/>
  <c r="R26" i="27" s="1"/>
  <c r="P11" i="27"/>
  <c r="P26" i="27" s="1"/>
  <c r="F26" i="27" s="1"/>
  <c r="O11" i="27"/>
  <c r="O26" i="27" s="1"/>
  <c r="E26" i="27" s="1"/>
  <c r="L30" i="27" s="1"/>
  <c r="K11" i="27"/>
  <c r="K26" i="27" s="1"/>
  <c r="L33" i="27" s="1"/>
  <c r="U25" i="26"/>
  <c r="K12" i="26" s="1"/>
  <c r="S25" i="26"/>
  <c r="N14" i="26" s="1"/>
  <c r="L25" i="26"/>
  <c r="M32" i="26" s="1"/>
  <c r="C25" i="26"/>
  <c r="R22" i="26"/>
  <c r="Q22" i="26"/>
  <c r="R20" i="26"/>
  <c r="Q20" i="26"/>
  <c r="N20" i="26"/>
  <c r="Q18" i="26"/>
  <c r="Q25" i="26" s="1"/>
  <c r="E25" i="26" s="1"/>
  <c r="F18" i="26"/>
  <c r="N18" i="26" s="1"/>
  <c r="U14" i="26"/>
  <c r="T14" i="26"/>
  <c r="S14" i="26"/>
  <c r="R14" i="26"/>
  <c r="Q14" i="26"/>
  <c r="O14" i="26"/>
  <c r="L14" i="26"/>
  <c r="K14" i="26"/>
  <c r="U12" i="26"/>
  <c r="T12" i="26"/>
  <c r="S12" i="26"/>
  <c r="R12" i="26"/>
  <c r="Q12" i="26"/>
  <c r="O12" i="26"/>
  <c r="L12" i="26"/>
  <c r="U10" i="26"/>
  <c r="T10" i="26"/>
  <c r="T25" i="26" s="1"/>
  <c r="S10" i="26"/>
  <c r="R10" i="26"/>
  <c r="Q10" i="26"/>
  <c r="O10" i="26"/>
  <c r="O25" i="26" s="1"/>
  <c r="M35" i="26" s="1"/>
  <c r="L10" i="26"/>
  <c r="K10" i="26"/>
  <c r="D15" i="25"/>
  <c r="C15" i="25"/>
  <c r="P12" i="25"/>
  <c r="O12" i="25"/>
  <c r="N12" i="25"/>
  <c r="K12" i="25"/>
  <c r="P10" i="25"/>
  <c r="P15" i="25" s="1"/>
  <c r="O10" i="25"/>
  <c r="O15" i="25" s="1"/>
  <c r="G15" i="25" s="1"/>
  <c r="N10" i="25"/>
  <c r="K10" i="25"/>
  <c r="K15" i="25" s="1"/>
  <c r="L22" i="25" s="1"/>
  <c r="D78" i="24"/>
  <c r="O76" i="24"/>
  <c r="F76" i="24"/>
  <c r="O74" i="24"/>
  <c r="N74" i="24"/>
  <c r="F74" i="24"/>
  <c r="C74" i="24"/>
  <c r="P74" i="24" s="1"/>
  <c r="O72" i="24"/>
  <c r="O78" i="24" s="1"/>
  <c r="F72" i="24"/>
  <c r="C72" i="24"/>
  <c r="N72" i="24" s="1"/>
  <c r="D51" i="24"/>
  <c r="O49" i="24"/>
  <c r="P47" i="24"/>
  <c r="O47" i="24"/>
  <c r="C47" i="24"/>
  <c r="N47" i="24" s="1"/>
  <c r="P45" i="24"/>
  <c r="O45" i="24"/>
  <c r="O51" i="24" s="1"/>
  <c r="F45" i="24"/>
  <c r="C45" i="24"/>
  <c r="N45" i="24" s="1"/>
  <c r="R23" i="24"/>
  <c r="D23" i="24"/>
  <c r="O21" i="24"/>
  <c r="C21" i="24"/>
  <c r="W21" i="24" s="1"/>
  <c r="O19" i="24"/>
  <c r="C19" i="24"/>
  <c r="C76" i="24" s="1"/>
  <c r="W17" i="24"/>
  <c r="S17" i="24"/>
  <c r="P17" i="24"/>
  <c r="O17" i="24"/>
  <c r="N17" i="24"/>
  <c r="W15" i="24"/>
  <c r="R15" i="24"/>
  <c r="P15" i="24"/>
  <c r="O15" i="24"/>
  <c r="N15" i="24"/>
  <c r="W13" i="24"/>
  <c r="T13" i="24"/>
  <c r="P13" i="24"/>
  <c r="O13" i="24"/>
  <c r="N13" i="24"/>
  <c r="W11" i="24"/>
  <c r="S11" i="24"/>
  <c r="S23" i="24" s="1"/>
  <c r="F47" i="24" s="1"/>
  <c r="P11" i="24"/>
  <c r="O11" i="24"/>
  <c r="N11" i="24"/>
  <c r="W9" i="24"/>
  <c r="R9" i="24"/>
  <c r="P9" i="24"/>
  <c r="O9" i="24"/>
  <c r="O23" i="24" s="1"/>
  <c r="G23" i="24" s="1"/>
  <c r="N9" i="24"/>
  <c r="D87" i="23"/>
  <c r="C87" i="23"/>
  <c r="P84" i="23"/>
  <c r="O84" i="23"/>
  <c r="N84" i="23"/>
  <c r="K84" i="23"/>
  <c r="P82" i="23"/>
  <c r="O82" i="23"/>
  <c r="N82" i="23"/>
  <c r="K82" i="23"/>
  <c r="P80" i="23"/>
  <c r="O80" i="23"/>
  <c r="N80" i="23"/>
  <c r="K80" i="23"/>
  <c r="P78" i="23"/>
  <c r="P87" i="23" s="1"/>
  <c r="T80" i="23" s="1"/>
  <c r="O78" i="23"/>
  <c r="O87" i="23" s="1"/>
  <c r="G87" i="23" s="1"/>
  <c r="J78" i="23" s="1"/>
  <c r="N78" i="23"/>
  <c r="N87" i="23" s="1"/>
  <c r="F87" i="23" s="1"/>
  <c r="K78" i="23"/>
  <c r="K87" i="23" s="1"/>
  <c r="L94" i="23" s="1"/>
  <c r="D54" i="23"/>
  <c r="C54" i="23"/>
  <c r="P51" i="23"/>
  <c r="O51" i="23"/>
  <c r="N51" i="23"/>
  <c r="K51" i="23"/>
  <c r="P49" i="23"/>
  <c r="O49" i="23"/>
  <c r="N49" i="23"/>
  <c r="K49" i="23"/>
  <c r="P47" i="23"/>
  <c r="P54" i="23" s="1"/>
  <c r="T49" i="23" s="1"/>
  <c r="O47" i="23"/>
  <c r="O54" i="23" s="1"/>
  <c r="G54" i="23" s="1"/>
  <c r="N47" i="23"/>
  <c r="N54" i="23" s="1"/>
  <c r="F54" i="23" s="1"/>
  <c r="K47" i="23"/>
  <c r="K54" i="23" s="1"/>
  <c r="L61" i="23" s="1"/>
  <c r="D25" i="23"/>
  <c r="C25" i="23"/>
  <c r="P22" i="23"/>
  <c r="O22" i="23"/>
  <c r="N22" i="23"/>
  <c r="K22" i="23"/>
  <c r="P20" i="23"/>
  <c r="O20" i="23"/>
  <c r="N20" i="23"/>
  <c r="K20" i="23"/>
  <c r="P18" i="23"/>
  <c r="O18" i="23"/>
  <c r="N18" i="23"/>
  <c r="K18" i="23"/>
  <c r="P16" i="23"/>
  <c r="O16" i="23"/>
  <c r="N16" i="23"/>
  <c r="K16" i="23"/>
  <c r="P14" i="23"/>
  <c r="P25" i="23" s="1"/>
  <c r="O14" i="23"/>
  <c r="O25" i="23" s="1"/>
  <c r="G25" i="23" s="1"/>
  <c r="N14" i="23"/>
  <c r="K14" i="23"/>
  <c r="K25" i="23" s="1"/>
  <c r="L32" i="23" s="1"/>
  <c r="DC8" i="22"/>
  <c r="DC10" i="22"/>
  <c r="AJ10" i="22" s="1"/>
  <c r="DC12" i="22"/>
  <c r="DC14" i="22"/>
  <c r="DC16" i="22"/>
  <c r="DC18" i="22"/>
  <c r="DC20" i="22"/>
  <c r="DC22" i="22"/>
  <c r="DC24" i="22"/>
  <c r="DC26" i="22"/>
  <c r="CS55" i="22"/>
  <c r="CX53" i="22"/>
  <c r="CU53" i="22"/>
  <c r="CX51" i="22"/>
  <c r="CU51" i="22"/>
  <c r="CX49" i="22"/>
  <c r="CU49" i="22"/>
  <c r="CX47" i="22"/>
  <c r="CW47" i="22"/>
  <c r="CU47" i="22"/>
  <c r="CX45" i="22"/>
  <c r="CU45" i="22"/>
  <c r="CX43" i="22"/>
  <c r="CU43" i="22"/>
  <c r="CX41" i="22"/>
  <c r="CU41" i="22"/>
  <c r="CX39" i="22"/>
  <c r="CU39" i="22"/>
  <c r="CL39" i="22"/>
  <c r="CK39" i="22"/>
  <c r="CG39" i="22"/>
  <c r="CX37" i="22"/>
  <c r="CU37" i="22"/>
  <c r="CX35" i="22"/>
  <c r="CU35" i="22"/>
  <c r="CU28" i="22"/>
  <c r="CU55" i="22" s="1"/>
  <c r="H28" i="22"/>
  <c r="CW26" i="22"/>
  <c r="AY26" i="22" s="1"/>
  <c r="AY54" i="22" s="1"/>
  <c r="CT26" i="22"/>
  <c r="CT53" i="22" s="1"/>
  <c r="DC53" i="22" s="1"/>
  <c r="CS26" i="22"/>
  <c r="AU26" i="22" s="1"/>
  <c r="AU54" i="22" s="1"/>
  <c r="AZ26" i="22"/>
  <c r="AZ54" i="22" s="1"/>
  <c r="K26" i="22"/>
  <c r="CW24" i="22"/>
  <c r="CW51" i="22" s="1"/>
  <c r="CT24" i="22"/>
  <c r="CS24" i="22"/>
  <c r="CS51" i="22" s="1"/>
  <c r="AZ24" i="22"/>
  <c r="AZ52" i="22" s="1"/>
  <c r="AY24" i="22"/>
  <c r="AY52" i="22" s="1"/>
  <c r="K24" i="22"/>
  <c r="CW22" i="22"/>
  <c r="CW49" i="22" s="1"/>
  <c r="CT22" i="22"/>
  <c r="CT49" i="22" s="1"/>
  <c r="DC49" i="22" s="1"/>
  <c r="CS22" i="22"/>
  <c r="AU22" i="22" s="1"/>
  <c r="AU50" i="22" s="1"/>
  <c r="AZ22" i="22"/>
  <c r="AZ50" i="22" s="1"/>
  <c r="K22" i="22"/>
  <c r="CT20" i="22"/>
  <c r="CT47" i="22" s="1"/>
  <c r="DC47" i="22" s="1"/>
  <c r="CS20" i="22"/>
  <c r="AZ20" i="22"/>
  <c r="AZ48" i="22" s="1"/>
  <c r="AY20" i="22"/>
  <c r="AY48" i="22" s="1"/>
  <c r="K20" i="22"/>
  <c r="CW18" i="22"/>
  <c r="CW45" i="22" s="1"/>
  <c r="CT18" i="22"/>
  <c r="CT45" i="22" s="1"/>
  <c r="CS18" i="22"/>
  <c r="CS45" i="22" s="1"/>
  <c r="K18" i="22"/>
  <c r="CW16" i="22"/>
  <c r="CW43" i="22" s="1"/>
  <c r="CT16" i="22"/>
  <c r="CS16" i="22"/>
  <c r="CS43" i="22" s="1"/>
  <c r="K16" i="22"/>
  <c r="CW14" i="22"/>
  <c r="CW41" i="22" s="1"/>
  <c r="CT14" i="22"/>
  <c r="CT41" i="22" s="1"/>
  <c r="DC41" i="22" s="1"/>
  <c r="CS14" i="22"/>
  <c r="CS41" i="22" s="1"/>
  <c r="K14" i="22"/>
  <c r="CW12" i="22"/>
  <c r="CW39" i="22" s="1"/>
  <c r="CT12" i="22"/>
  <c r="CT39" i="22" s="1"/>
  <c r="CS12" i="22"/>
  <c r="CS39" i="22" s="1"/>
  <c r="CI12" i="22"/>
  <c r="CI39" i="22" s="1"/>
  <c r="CH12" i="22"/>
  <c r="CH39" i="22" s="1"/>
  <c r="BT12" i="22"/>
  <c r="BT39" i="22" s="1"/>
  <c r="BG12" i="22"/>
  <c r="BG39" i="22" s="1"/>
  <c r="AW12" i="22"/>
  <c r="AW26" i="22" s="1"/>
  <c r="AW54" i="22" s="1"/>
  <c r="AU12" i="22"/>
  <c r="AU39" i="22" s="1"/>
  <c r="AI12" i="22"/>
  <c r="BV12" i="22" s="1"/>
  <c r="BV39" i="22" s="1"/>
  <c r="AF12" i="22"/>
  <c r="BU12" i="22" s="1"/>
  <c r="AA12" i="22"/>
  <c r="X12" i="22"/>
  <c r="BH12" i="22" s="1"/>
  <c r="S12" i="22"/>
  <c r="P12" i="22"/>
  <c r="AV12" i="22" s="1"/>
  <c r="K12" i="22"/>
  <c r="AG12" i="22" s="1"/>
  <c r="CW10" i="22"/>
  <c r="CW37" i="22" s="1"/>
  <c r="CT10" i="22"/>
  <c r="CT37" i="22" s="1"/>
  <c r="DC37" i="22" s="1"/>
  <c r="CS10" i="22"/>
  <c r="CS37" i="22" s="1"/>
  <c r="CG10" i="22"/>
  <c r="CG37" i="22" s="1"/>
  <c r="BT10" i="22"/>
  <c r="BT37" i="22" s="1"/>
  <c r="BG10" i="22"/>
  <c r="BG37" i="22" s="1"/>
  <c r="AW10" i="22"/>
  <c r="AW37" i="22" s="1"/>
  <c r="AU10" i="22"/>
  <c r="AU37" i="22" s="1"/>
  <c r="AQ10" i="22"/>
  <c r="CI10" i="22" s="1"/>
  <c r="CI37" i="22" s="1"/>
  <c r="AN10" i="22"/>
  <c r="CH10" i="22" s="1"/>
  <c r="AI10" i="22"/>
  <c r="BV10" i="22" s="1"/>
  <c r="BV37" i="22" s="1"/>
  <c r="AF10" i="22"/>
  <c r="AA10" i="22"/>
  <c r="X10" i="22"/>
  <c r="BH10" i="22" s="1"/>
  <c r="S10" i="22"/>
  <c r="P10" i="22"/>
  <c r="K10" i="22"/>
  <c r="CW8" i="22"/>
  <c r="CW35" i="22" s="1"/>
  <c r="CT8" i="22"/>
  <c r="CS8" i="22"/>
  <c r="CS35" i="22" s="1"/>
  <c r="CG8" i="22"/>
  <c r="CG35" i="22" s="1"/>
  <c r="BT8" i="22"/>
  <c r="BT35" i="22" s="1"/>
  <c r="BG8" i="22"/>
  <c r="BG35" i="22" s="1"/>
  <c r="AW8" i="22"/>
  <c r="AU8" i="22"/>
  <c r="AU35" i="22" s="1"/>
  <c r="AQ8" i="22"/>
  <c r="CI8" i="22" s="1"/>
  <c r="AN8" i="22"/>
  <c r="AI8" i="22"/>
  <c r="AF8" i="22"/>
  <c r="BU8" i="22" s="1"/>
  <c r="AA8" i="22"/>
  <c r="BI8" i="22" s="1"/>
  <c r="BI35" i="22" s="1"/>
  <c r="X8" i="22"/>
  <c r="S8" i="22"/>
  <c r="P8" i="22"/>
  <c r="K8" i="22"/>
  <c r="D106" i="21"/>
  <c r="C106" i="21"/>
  <c r="O103" i="21"/>
  <c r="N103" i="21"/>
  <c r="M103" i="21"/>
  <c r="O101" i="21"/>
  <c r="N101" i="21"/>
  <c r="M101" i="21"/>
  <c r="O99" i="21"/>
  <c r="N99" i="21"/>
  <c r="M99" i="21"/>
  <c r="O97" i="21"/>
  <c r="O106" i="21" s="1"/>
  <c r="N97" i="21"/>
  <c r="N106" i="21" s="1"/>
  <c r="G106" i="21" s="1"/>
  <c r="M97" i="21"/>
  <c r="M106" i="21" s="1"/>
  <c r="F106" i="21" s="1"/>
  <c r="D79" i="21"/>
  <c r="C79" i="21"/>
  <c r="O76" i="21"/>
  <c r="N76" i="21"/>
  <c r="M76" i="21"/>
  <c r="O74" i="21"/>
  <c r="N74" i="21"/>
  <c r="M74" i="21"/>
  <c r="O72" i="21"/>
  <c r="N72" i="21"/>
  <c r="M72" i="21"/>
  <c r="O70" i="21"/>
  <c r="O79" i="21" s="1"/>
  <c r="N70" i="21"/>
  <c r="N79" i="21" s="1"/>
  <c r="G79" i="21" s="1"/>
  <c r="M70" i="21"/>
  <c r="M79" i="21" s="1"/>
  <c r="F79" i="21" s="1"/>
  <c r="D51" i="21"/>
  <c r="C51" i="21"/>
  <c r="O48" i="21"/>
  <c r="N48" i="21"/>
  <c r="M48" i="21"/>
  <c r="O46" i="21"/>
  <c r="N46" i="21"/>
  <c r="M46" i="21"/>
  <c r="O44" i="21"/>
  <c r="N44" i="21"/>
  <c r="M44" i="21"/>
  <c r="O42" i="21"/>
  <c r="O51" i="21" s="1"/>
  <c r="N42" i="21"/>
  <c r="N51" i="21" s="1"/>
  <c r="G51" i="21" s="1"/>
  <c r="M42" i="21"/>
  <c r="M51" i="21" s="1"/>
  <c r="F51" i="21" s="1"/>
  <c r="D20" i="21"/>
  <c r="C20" i="21"/>
  <c r="O17" i="21"/>
  <c r="N17" i="21"/>
  <c r="M17" i="21"/>
  <c r="O15" i="21"/>
  <c r="N15" i="21"/>
  <c r="M15" i="21"/>
  <c r="O13" i="21"/>
  <c r="N13" i="21"/>
  <c r="M13" i="21"/>
  <c r="O11" i="21"/>
  <c r="O20" i="21" s="1"/>
  <c r="N11" i="21"/>
  <c r="N20" i="21" s="1"/>
  <c r="G20" i="21" s="1"/>
  <c r="M11" i="21"/>
  <c r="M20" i="21" s="1"/>
  <c r="F20" i="21" s="1"/>
  <c r="N17" i="20"/>
  <c r="G17" i="20" s="1"/>
  <c r="D17" i="20"/>
  <c r="C17" i="20"/>
  <c r="O14" i="20"/>
  <c r="N14" i="20"/>
  <c r="M14" i="20"/>
  <c r="O13" i="20"/>
  <c r="N13" i="20"/>
  <c r="M13" i="20"/>
  <c r="O12" i="20"/>
  <c r="N12" i="20"/>
  <c r="M12" i="20"/>
  <c r="O11" i="20"/>
  <c r="N11" i="20"/>
  <c r="M11" i="20"/>
  <c r="O10" i="20"/>
  <c r="O17" i="20" s="1"/>
  <c r="N10" i="20"/>
  <c r="M10" i="20"/>
  <c r="M17" i="20" s="1"/>
  <c r="F17" i="20" s="1"/>
  <c r="G86" i="19"/>
  <c r="F86" i="19"/>
  <c r="G84" i="19"/>
  <c r="F84" i="19"/>
  <c r="G82" i="19"/>
  <c r="F82" i="19"/>
  <c r="N52" i="19"/>
  <c r="G52" i="19" s="1"/>
  <c r="D52" i="19"/>
  <c r="C52" i="19"/>
  <c r="O49" i="19"/>
  <c r="O52" i="19" s="1"/>
  <c r="N49" i="19"/>
  <c r="M49" i="19"/>
  <c r="O47" i="19"/>
  <c r="N47" i="19"/>
  <c r="M47" i="19"/>
  <c r="O45" i="19"/>
  <c r="N45" i="19"/>
  <c r="M45" i="19"/>
  <c r="M52" i="19" s="1"/>
  <c r="F52" i="19" s="1"/>
  <c r="D18" i="19"/>
  <c r="C18" i="19"/>
  <c r="O15" i="19"/>
  <c r="N15" i="19"/>
  <c r="M15" i="19"/>
  <c r="M18" i="19" s="1"/>
  <c r="F18" i="19" s="1"/>
  <c r="O13" i="19"/>
  <c r="N13" i="19"/>
  <c r="M13" i="19"/>
  <c r="O11" i="19"/>
  <c r="O18" i="19" s="1"/>
  <c r="N11" i="19"/>
  <c r="N18" i="19" s="1"/>
  <c r="G18" i="19" s="1"/>
  <c r="M11" i="19"/>
  <c r="N18" i="18"/>
  <c r="G18" i="18" s="1"/>
  <c r="D18" i="18"/>
  <c r="C18" i="18"/>
  <c r="O15" i="18"/>
  <c r="O18" i="18" s="1"/>
  <c r="N15" i="18"/>
  <c r="M15" i="18"/>
  <c r="O13" i="18"/>
  <c r="N13" i="18"/>
  <c r="M13" i="18"/>
  <c r="O11" i="18"/>
  <c r="N11" i="18"/>
  <c r="M11" i="18"/>
  <c r="M18" i="18" s="1"/>
  <c r="F18" i="18" s="1"/>
  <c r="L20" i="17"/>
  <c r="D16" i="17"/>
  <c r="C16" i="17"/>
  <c r="K13" i="17"/>
  <c r="J13" i="17"/>
  <c r="K11" i="17"/>
  <c r="J11" i="17"/>
  <c r="K9" i="17"/>
  <c r="K16" i="17" s="1"/>
  <c r="L23" i="17" s="1"/>
  <c r="J9" i="17"/>
  <c r="J16" i="17" s="1"/>
  <c r="L22" i="17" s="1"/>
  <c r="M20" i="16"/>
  <c r="D16" i="16"/>
  <c r="C16" i="16"/>
  <c r="L13" i="16"/>
  <c r="K13" i="16"/>
  <c r="J13" i="16"/>
  <c r="L11" i="16"/>
  <c r="K11" i="16"/>
  <c r="J11" i="16"/>
  <c r="L9" i="16"/>
  <c r="L16" i="16" s="1"/>
  <c r="M24" i="16" s="1"/>
  <c r="K9" i="16"/>
  <c r="K16" i="16" s="1"/>
  <c r="M23" i="16" s="1"/>
  <c r="J9" i="16"/>
  <c r="J16" i="16" s="1"/>
  <c r="M22" i="16" s="1"/>
  <c r="M26" i="16" s="1"/>
  <c r="M20" i="15"/>
  <c r="D16" i="15"/>
  <c r="C16" i="15"/>
  <c r="L13" i="15"/>
  <c r="K13" i="15"/>
  <c r="J13" i="15"/>
  <c r="L11" i="15"/>
  <c r="K11" i="15"/>
  <c r="K16" i="15" s="1"/>
  <c r="M23" i="15" s="1"/>
  <c r="J11" i="15"/>
  <c r="J16" i="15" s="1"/>
  <c r="M22" i="15" s="1"/>
  <c r="L9" i="15"/>
  <c r="L16" i="15" s="1"/>
  <c r="M24" i="15" s="1"/>
  <c r="K9" i="15"/>
  <c r="J9" i="15"/>
  <c r="D59" i="14"/>
  <c r="O58" i="14"/>
  <c r="E58" i="14"/>
  <c r="O57" i="14"/>
  <c r="E57" i="14"/>
  <c r="E59" i="14" s="1"/>
  <c r="F57" i="14" s="1"/>
  <c r="R54" i="14"/>
  <c r="O54" i="14"/>
  <c r="M54" i="14"/>
  <c r="J54" i="14"/>
  <c r="H54" i="14"/>
  <c r="G54" i="14"/>
  <c r="D54" i="14"/>
  <c r="O53" i="14"/>
  <c r="K53" i="14"/>
  <c r="H53" i="14"/>
  <c r="E53" i="14"/>
  <c r="O52" i="14"/>
  <c r="K52" i="14"/>
  <c r="K54" i="14" s="1"/>
  <c r="H52" i="14"/>
  <c r="E52" i="14"/>
  <c r="E54" i="14" s="1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H41" i="14"/>
  <c r="G41" i="14"/>
  <c r="F41" i="14"/>
  <c r="E41" i="14"/>
  <c r="D41" i="14"/>
  <c r="H40" i="14"/>
  <c r="G40" i="14"/>
  <c r="F40" i="14"/>
  <c r="E40" i="14"/>
  <c r="D40" i="14"/>
  <c r="H39" i="14"/>
  <c r="G39" i="14"/>
  <c r="F39" i="14"/>
  <c r="E39" i="14"/>
  <c r="D39" i="14"/>
  <c r="H38" i="14"/>
  <c r="G38" i="14"/>
  <c r="F38" i="14"/>
  <c r="E38" i="14"/>
  <c r="D38" i="14"/>
  <c r="H37" i="14"/>
  <c r="G37" i="14"/>
  <c r="F37" i="14"/>
  <c r="E37" i="14"/>
  <c r="D37" i="14"/>
  <c r="H36" i="14"/>
  <c r="G36" i="14"/>
  <c r="F36" i="14"/>
  <c r="E36" i="14"/>
  <c r="D36" i="14"/>
  <c r="H35" i="14"/>
  <c r="G35" i="14"/>
  <c r="F35" i="14"/>
  <c r="E35" i="14"/>
  <c r="D35" i="14"/>
  <c r="H34" i="14"/>
  <c r="G34" i="14"/>
  <c r="F34" i="14"/>
  <c r="E34" i="14"/>
  <c r="D34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I14" i="14"/>
  <c r="E14" i="14" s="1"/>
  <c r="D14" i="14"/>
  <c r="K13" i="14"/>
  <c r="J13" i="14"/>
  <c r="I13" i="14"/>
  <c r="M12" i="14"/>
  <c r="K12" i="14"/>
  <c r="J12" i="14"/>
  <c r="I12" i="14"/>
  <c r="M11" i="14"/>
  <c r="K11" i="14"/>
  <c r="J11" i="14"/>
  <c r="I11" i="14"/>
  <c r="M10" i="14"/>
  <c r="K10" i="14"/>
  <c r="J10" i="14"/>
  <c r="I10" i="14"/>
  <c r="M9" i="14"/>
  <c r="K9" i="14"/>
  <c r="J9" i="14"/>
  <c r="I9" i="14"/>
  <c r="M8" i="14"/>
  <c r="K8" i="14"/>
  <c r="J8" i="14"/>
  <c r="I8" i="14"/>
  <c r="M7" i="14"/>
  <c r="M14" i="14" s="1"/>
  <c r="H26" i="14" s="1"/>
  <c r="K7" i="14"/>
  <c r="K14" i="14" s="1"/>
  <c r="G14" i="14" s="1"/>
  <c r="J7" i="14"/>
  <c r="J14" i="14" s="1"/>
  <c r="F14" i="14" s="1"/>
  <c r="I7" i="14"/>
  <c r="H542" i="13"/>
  <c r="H541" i="13"/>
  <c r="H540" i="13"/>
  <c r="H539" i="13"/>
  <c r="H531" i="13"/>
  <c r="G594" i="13" s="1"/>
  <c r="H530" i="13"/>
  <c r="F594" i="13" s="1"/>
  <c r="H529" i="13"/>
  <c r="E594" i="13" s="1"/>
  <c r="H528" i="13"/>
  <c r="D594" i="13" s="1"/>
  <c r="M521" i="13"/>
  <c r="L521" i="13"/>
  <c r="J521" i="13"/>
  <c r="I521" i="13"/>
  <c r="N519" i="13"/>
  <c r="N518" i="13"/>
  <c r="N517" i="13"/>
  <c r="N516" i="13"/>
  <c r="D484" i="13"/>
  <c r="D482" i="13"/>
  <c r="D480" i="13"/>
  <c r="D475" i="13"/>
  <c r="D473" i="13"/>
  <c r="D467" i="13"/>
  <c r="D465" i="13"/>
  <c r="D459" i="13"/>
  <c r="D457" i="13"/>
  <c r="D452" i="13"/>
  <c r="D450" i="13"/>
  <c r="D445" i="13"/>
  <c r="D443" i="13"/>
  <c r="D429" i="13"/>
  <c r="D427" i="13"/>
  <c r="D425" i="13"/>
  <c r="D420" i="13"/>
  <c r="D411" i="13"/>
  <c r="D409" i="13"/>
  <c r="D407" i="13"/>
  <c r="D402" i="13"/>
  <c r="D172" i="13"/>
  <c r="D170" i="13"/>
  <c r="D152" i="13"/>
  <c r="D157" i="13" s="1"/>
  <c r="D139" i="13"/>
  <c r="D144" i="13" s="1"/>
  <c r="D126" i="13"/>
  <c r="D131" i="13" s="1"/>
  <c r="D118" i="13"/>
  <c r="D116" i="13"/>
  <c r="D90" i="13"/>
  <c r="H88" i="13"/>
  <c r="D88" i="13"/>
  <c r="D86" i="13"/>
  <c r="D75" i="13"/>
  <c r="D73" i="13"/>
  <c r="D62" i="13"/>
  <c r="D60" i="13"/>
  <c r="D51" i="13"/>
  <c r="D49" i="13"/>
  <c r="D42" i="13"/>
  <c r="D35" i="13"/>
  <c r="D27" i="13"/>
  <c r="D19" i="13"/>
  <c r="D20" i="13" s="1"/>
  <c r="G13" i="13"/>
  <c r="G6" i="13"/>
  <c r="BE21" i="3"/>
  <c r="D22" i="3"/>
  <c r="D24" i="3"/>
  <c r="D2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O45" i="3"/>
  <c r="V45" i="3" s="1"/>
  <c r="O44" i="3"/>
  <c r="AU44" i="3" s="1"/>
  <c r="O43" i="3"/>
  <c r="AD43" i="3" s="1"/>
  <c r="O42" i="3"/>
  <c r="O41" i="3"/>
  <c r="AH41" i="3" s="1"/>
  <c r="O40" i="3"/>
  <c r="AN40" i="3" s="1"/>
  <c r="O39" i="3"/>
  <c r="O38" i="3"/>
  <c r="V38" i="3" s="1"/>
  <c r="O37" i="3"/>
  <c r="AG37" i="3" s="1"/>
  <c r="O36" i="3"/>
  <c r="AS36" i="3" s="1"/>
  <c r="O35" i="3"/>
  <c r="O34" i="3"/>
  <c r="AM34" i="3" s="1"/>
  <c r="O33" i="3"/>
  <c r="V33" i="3" s="1"/>
  <c r="O32" i="3"/>
  <c r="AL32" i="3" s="1"/>
  <c r="O31" i="3"/>
  <c r="O30" i="3"/>
  <c r="AN30" i="3" s="1"/>
  <c r="O29" i="3"/>
  <c r="AG29" i="3" s="1"/>
  <c r="O28" i="3"/>
  <c r="AW28" i="3" s="1"/>
  <c r="O27" i="3"/>
  <c r="AD27" i="3" s="1"/>
  <c r="O26" i="3"/>
  <c r="AO26" i="3" s="1"/>
  <c r="O25" i="3"/>
  <c r="AH25" i="3" s="1"/>
  <c r="O24" i="3"/>
  <c r="AN24" i="3" s="1"/>
  <c r="O23" i="3"/>
  <c r="AE23" i="3" s="1"/>
  <c r="O22" i="3"/>
  <c r="V22" i="3" s="1"/>
  <c r="O21" i="3"/>
  <c r="AG21" i="3" s="1"/>
  <c r="O20" i="3"/>
  <c r="AO20" i="3" s="1"/>
  <c r="O19" i="3"/>
  <c r="O18" i="3"/>
  <c r="V18" i="3" s="1"/>
  <c r="O17" i="3"/>
  <c r="AH17" i="3" s="1"/>
  <c r="O16" i="3"/>
  <c r="AH16" i="3" s="1"/>
  <c r="O15" i="3"/>
  <c r="AG15" i="3" s="1"/>
  <c r="O14" i="3"/>
  <c r="AN14" i="3" s="1"/>
  <c r="O13" i="3"/>
  <c r="AL13" i="3" s="1"/>
  <c r="O12" i="3"/>
  <c r="AU12" i="3" s="1"/>
  <c r="O11" i="3"/>
  <c r="O10" i="3"/>
  <c r="W19" i="33" l="1"/>
  <c r="H594" i="13"/>
  <c r="D508" i="13"/>
  <c r="F331" i="13"/>
  <c r="F339" i="13"/>
  <c r="D370" i="13"/>
  <c r="D383" i="13"/>
  <c r="D391" i="13"/>
  <c r="D368" i="13"/>
  <c r="D364" i="13"/>
  <c r="D333" i="13"/>
  <c r="D341" i="13"/>
  <c r="F337" i="13"/>
  <c r="D374" i="13"/>
  <c r="F345" i="13"/>
  <c r="D372" i="13"/>
  <c r="D331" i="13"/>
  <c r="D339" i="13"/>
  <c r="F335" i="13"/>
  <c r="D335" i="13"/>
  <c r="F333" i="13"/>
  <c r="D366" i="13"/>
  <c r="D337" i="13"/>
  <c r="F341" i="13"/>
  <c r="D345" i="13"/>
  <c r="D324" i="13"/>
  <c r="D305" i="13"/>
  <c r="D254" i="13"/>
  <c r="D273" i="13"/>
  <c r="F272" i="13"/>
  <c r="D272" i="13"/>
  <c r="D276" i="13"/>
  <c r="G274" i="13"/>
  <c r="F254" i="13"/>
  <c r="E272" i="13"/>
  <c r="G276" i="13"/>
  <c r="D260" i="13"/>
  <c r="D274" i="13"/>
  <c r="E273" i="13"/>
  <c r="F273" i="13"/>
  <c r="G272" i="13"/>
  <c r="E274" i="13"/>
  <c r="F274" i="13"/>
  <c r="E254" i="13"/>
  <c r="D262" i="13"/>
  <c r="E252" i="13"/>
  <c r="D264" i="13"/>
  <c r="D266" i="13"/>
  <c r="G254" i="13"/>
  <c r="F252" i="13"/>
  <c r="G252" i="13"/>
  <c r="D252" i="13"/>
  <c r="D224" i="13"/>
  <c r="D240" i="13"/>
  <c r="D236" i="13"/>
  <c r="D238" i="13"/>
  <c r="D242" i="13"/>
  <c r="D230" i="13"/>
  <c r="D228" i="13"/>
  <c r="D188" i="13"/>
  <c r="D226" i="13"/>
  <c r="D477" i="13"/>
  <c r="D204" i="13"/>
  <c r="D206" i="13"/>
  <c r="D105" i="13"/>
  <c r="D77" i="13"/>
  <c r="D431" i="13"/>
  <c r="D486" i="13"/>
  <c r="D447" i="13"/>
  <c r="D461" i="13"/>
  <c r="D120" i="13"/>
  <c r="D454" i="13"/>
  <c r="D64" i="13"/>
  <c r="D469" i="13"/>
  <c r="H544" i="13"/>
  <c r="F550" i="13" s="1"/>
  <c r="D413" i="13"/>
  <c r="D92" i="13"/>
  <c r="N521" i="13"/>
  <c r="H533" i="13"/>
  <c r="D174" i="13"/>
  <c r="M78" i="41"/>
  <c r="N78" i="41" s="1"/>
  <c r="T88" i="41"/>
  <c r="U88" i="41" s="1"/>
  <c r="T110" i="41"/>
  <c r="U110" i="41" s="1"/>
  <c r="M80" i="41"/>
  <c r="N80" i="41" s="1"/>
  <c r="N93" i="41" s="1"/>
  <c r="T79" i="41"/>
  <c r="U79" i="41" s="1"/>
  <c r="T84" i="41"/>
  <c r="U84" i="41" s="1"/>
  <c r="AH80" i="41"/>
  <c r="AI80" i="41" s="1"/>
  <c r="AO80" i="41"/>
  <c r="AP80" i="41" s="1"/>
  <c r="AP93" i="41" s="1"/>
  <c r="AO85" i="41"/>
  <c r="AP85" i="41" s="1"/>
  <c r="AV78" i="41"/>
  <c r="AW78" i="41" s="1"/>
  <c r="AV84" i="41"/>
  <c r="AW84" i="41" s="1"/>
  <c r="AV89" i="41"/>
  <c r="AW89" i="41" s="1"/>
  <c r="F104" i="41"/>
  <c r="G104" i="41" s="1"/>
  <c r="M101" i="41"/>
  <c r="N101" i="41" s="1"/>
  <c r="T106" i="41"/>
  <c r="U106" i="41" s="1"/>
  <c r="AH103" i="41"/>
  <c r="AI103" i="41" s="1"/>
  <c r="AO103" i="41"/>
  <c r="AP103" i="41" s="1"/>
  <c r="AO109" i="41"/>
  <c r="AP109" i="41" s="1"/>
  <c r="AV105" i="41"/>
  <c r="AW105" i="41" s="1"/>
  <c r="AV111" i="41"/>
  <c r="AW111" i="41" s="1"/>
  <c r="F80" i="41"/>
  <c r="G80" i="41" s="1"/>
  <c r="T83" i="41"/>
  <c r="U83" i="41" s="1"/>
  <c r="AH79" i="41"/>
  <c r="AI79" i="41" s="1"/>
  <c r="AO84" i="41"/>
  <c r="AP84" i="41" s="1"/>
  <c r="AV82" i="41"/>
  <c r="AW82" i="41" s="1"/>
  <c r="F103" i="41"/>
  <c r="G103" i="41" s="1"/>
  <c r="T104" i="41"/>
  <c r="U104" i="41" s="1"/>
  <c r="AO107" i="41"/>
  <c r="AP107" i="41" s="1"/>
  <c r="AV109" i="41"/>
  <c r="AW109" i="41" s="1"/>
  <c r="F82" i="41"/>
  <c r="G82" i="41" s="1"/>
  <c r="AA78" i="41"/>
  <c r="AB78" i="41" s="1"/>
  <c r="AB93" i="41" s="1"/>
  <c r="F78" i="41"/>
  <c r="G78" i="41" s="1"/>
  <c r="F83" i="41"/>
  <c r="G83" i="41" s="1"/>
  <c r="M81" i="41"/>
  <c r="N81" i="41" s="1"/>
  <c r="T80" i="41"/>
  <c r="U80" i="41" s="1"/>
  <c r="T86" i="41"/>
  <c r="U86" i="41" s="1"/>
  <c r="AH81" i="41"/>
  <c r="AI81" i="41" s="1"/>
  <c r="AO81" i="41"/>
  <c r="AP81" i="41" s="1"/>
  <c r="AO87" i="41"/>
  <c r="AP87" i="41" s="1"/>
  <c r="AV80" i="41"/>
  <c r="AW80" i="41" s="1"/>
  <c r="AV85" i="41"/>
  <c r="AW85" i="41" s="1"/>
  <c r="AV90" i="41"/>
  <c r="AW90" i="41" s="1"/>
  <c r="F101" i="41"/>
  <c r="G101" i="41" s="1"/>
  <c r="F106" i="41"/>
  <c r="G106" i="41" s="1"/>
  <c r="M103" i="41"/>
  <c r="N103" i="41" s="1"/>
  <c r="T102" i="41"/>
  <c r="U102" i="41" s="1"/>
  <c r="T107" i="41"/>
  <c r="U107" i="41" s="1"/>
  <c r="T112" i="41"/>
  <c r="U112" i="41" s="1"/>
  <c r="AA101" i="41"/>
  <c r="AB101" i="41" s="1"/>
  <c r="AH105" i="41"/>
  <c r="AI105" i="41" s="1"/>
  <c r="AO105" i="41"/>
  <c r="AP105" i="41" s="1"/>
  <c r="AO111" i="41"/>
  <c r="AP111" i="41" s="1"/>
  <c r="AV101" i="41"/>
  <c r="AW101" i="41" s="1"/>
  <c r="AV106" i="41"/>
  <c r="AW106" i="41" s="1"/>
  <c r="AV113" i="41"/>
  <c r="AW113" i="41" s="1"/>
  <c r="F85" i="41"/>
  <c r="G85" i="41" s="1"/>
  <c r="T78" i="41"/>
  <c r="U78" i="41" s="1"/>
  <c r="AO79" i="41"/>
  <c r="AP79" i="41" s="1"/>
  <c r="AV88" i="41"/>
  <c r="AW88" i="41" s="1"/>
  <c r="F108" i="41"/>
  <c r="G108" i="41" s="1"/>
  <c r="AH102" i="41"/>
  <c r="AI102" i="41" s="1"/>
  <c r="AO102" i="41"/>
  <c r="AP102" i="41" s="1"/>
  <c r="AV103" i="41"/>
  <c r="AW103" i="41" s="1"/>
  <c r="F86" i="41"/>
  <c r="G86" i="41" s="1"/>
  <c r="T90" i="41"/>
  <c r="U90" i="41" s="1"/>
  <c r="T111" i="41"/>
  <c r="U111" i="41" s="1"/>
  <c r="T82" i="41"/>
  <c r="U82" i="41" s="1"/>
  <c r="T87" i="41"/>
  <c r="U87" i="41" s="1"/>
  <c r="AH83" i="41"/>
  <c r="AI83" i="41" s="1"/>
  <c r="AO83" i="41"/>
  <c r="AP83" i="41" s="1"/>
  <c r="AO88" i="41"/>
  <c r="AP88" i="41" s="1"/>
  <c r="AV81" i="41"/>
  <c r="AW81" i="41" s="1"/>
  <c r="AV86" i="41"/>
  <c r="AW86" i="41" s="1"/>
  <c r="F107" i="41"/>
  <c r="G107" i="41" s="1"/>
  <c r="M104" i="41"/>
  <c r="N104" i="41" s="1"/>
  <c r="T103" i="41"/>
  <c r="U103" i="41" s="1"/>
  <c r="T108" i="41"/>
  <c r="U108" i="41" s="1"/>
  <c r="T114" i="41"/>
  <c r="U114" i="41" s="1"/>
  <c r="AA102" i="41"/>
  <c r="AB102" i="41" s="1"/>
  <c r="AB116" i="41" s="1"/>
  <c r="AH101" i="41"/>
  <c r="AI101" i="41" s="1"/>
  <c r="AI116" i="41" s="1"/>
  <c r="AH106" i="41"/>
  <c r="AI106" i="41" s="1"/>
  <c r="AO101" i="41"/>
  <c r="AP101" i="41" s="1"/>
  <c r="AO106" i="41"/>
  <c r="AP106" i="41" s="1"/>
  <c r="AV102" i="41"/>
  <c r="AW102" i="41" s="1"/>
  <c r="AV107" i="41"/>
  <c r="AW107" i="41" s="1"/>
  <c r="AO110" i="41"/>
  <c r="AP110" i="41" s="1"/>
  <c r="AV110" i="41"/>
  <c r="AW110" i="41" s="1"/>
  <c r="F79" i="41"/>
  <c r="G79" i="41" s="1"/>
  <c r="F81" i="41"/>
  <c r="G81" i="41" s="1"/>
  <c r="F84" i="41"/>
  <c r="G84" i="41" s="1"/>
  <c r="M79" i="41"/>
  <c r="N79" i="41" s="1"/>
  <c r="T81" i="41"/>
  <c r="U81" i="41" s="1"/>
  <c r="T85" i="41"/>
  <c r="U85" i="41" s="1"/>
  <c r="T89" i="41"/>
  <c r="U89" i="41" s="1"/>
  <c r="AA79" i="41"/>
  <c r="AB79" i="41" s="1"/>
  <c r="AH78" i="41"/>
  <c r="AI78" i="41" s="1"/>
  <c r="AH82" i="41"/>
  <c r="AI82" i="41" s="1"/>
  <c r="AO78" i="41"/>
  <c r="AP78" i="41" s="1"/>
  <c r="AO82" i="41"/>
  <c r="AP82" i="41" s="1"/>
  <c r="AO86" i="41"/>
  <c r="AP86" i="41" s="1"/>
  <c r="AV79" i="41"/>
  <c r="AW79" i="41" s="1"/>
  <c r="AV83" i="41"/>
  <c r="AW83" i="41" s="1"/>
  <c r="AV87" i="41"/>
  <c r="AW87" i="41" s="1"/>
  <c r="F102" i="41"/>
  <c r="G102" i="41" s="1"/>
  <c r="F105" i="41"/>
  <c r="G105" i="41" s="1"/>
  <c r="F109" i="41"/>
  <c r="G109" i="41" s="1"/>
  <c r="M102" i="41"/>
  <c r="N102" i="41" s="1"/>
  <c r="T101" i="41"/>
  <c r="U101" i="41" s="1"/>
  <c r="T105" i="41"/>
  <c r="U105" i="41" s="1"/>
  <c r="T109" i="41"/>
  <c r="U109" i="41" s="1"/>
  <c r="T113" i="41"/>
  <c r="U113" i="41" s="1"/>
  <c r="AH104" i="41"/>
  <c r="AI104" i="41" s="1"/>
  <c r="AO104" i="41"/>
  <c r="AP104" i="41" s="1"/>
  <c r="AO108" i="41"/>
  <c r="AP108" i="41" s="1"/>
  <c r="AV104" i="41"/>
  <c r="AW104" i="41" s="1"/>
  <c r="AV108" i="41"/>
  <c r="AW108" i="41" s="1"/>
  <c r="AV112" i="41"/>
  <c r="AW112" i="41" s="1"/>
  <c r="BD208" i="41"/>
  <c r="BD185" i="41"/>
  <c r="AW185" i="41"/>
  <c r="AP185" i="41"/>
  <c r="AI185" i="41"/>
  <c r="AB185" i="41"/>
  <c r="U185" i="41"/>
  <c r="N185" i="41"/>
  <c r="G185" i="41"/>
  <c r="BD162" i="41"/>
  <c r="AW162" i="41"/>
  <c r="AP162" i="41"/>
  <c r="AI162" i="41"/>
  <c r="AB162" i="41"/>
  <c r="U162" i="41"/>
  <c r="N162" i="41"/>
  <c r="G162" i="41"/>
  <c r="BD139" i="41"/>
  <c r="AW139" i="41"/>
  <c r="AP139" i="41"/>
  <c r="AI139" i="41"/>
  <c r="AB139" i="41"/>
  <c r="U139" i="41"/>
  <c r="N139" i="41"/>
  <c r="G139" i="41"/>
  <c r="BD116" i="41"/>
  <c r="AP116" i="41"/>
  <c r="N116" i="41"/>
  <c r="BD93" i="41"/>
  <c r="W25" i="44"/>
  <c r="R9" i="44"/>
  <c r="T7" i="44"/>
  <c r="T5" i="44" s="1"/>
  <c r="T13" i="44"/>
  <c r="T11" i="44" s="1"/>
  <c r="T9" i="44"/>
  <c r="AG11" i="44"/>
  <c r="AE11" i="44"/>
  <c r="X11" i="44" s="1"/>
  <c r="R15" i="44"/>
  <c r="T15" i="44"/>
  <c r="AB17" i="44"/>
  <c r="G17" i="44" s="1"/>
  <c r="T19" i="44" s="1"/>
  <c r="AA5" i="44"/>
  <c r="F5" i="44" s="1"/>
  <c r="P11" i="44"/>
  <c r="W11" i="44"/>
  <c r="AC13" i="44"/>
  <c r="P5" i="44"/>
  <c r="X5" i="44"/>
  <c r="X17" i="44" s="1"/>
  <c r="W23" i="44" s="1"/>
  <c r="W5" i="44"/>
  <c r="W17" i="44" s="1"/>
  <c r="P21" i="44" s="1"/>
  <c r="AC15" i="44"/>
  <c r="P8" i="43"/>
  <c r="P12" i="43"/>
  <c r="L18" i="43"/>
  <c r="L13" i="43"/>
  <c r="L9" i="43"/>
  <c r="L8" i="43" s="1"/>
  <c r="L14" i="43"/>
  <c r="L10" i="43"/>
  <c r="L20" i="43"/>
  <c r="S6" i="43"/>
  <c r="F6" i="43" s="1"/>
  <c r="S12" i="43"/>
  <c r="F12" i="43" s="1"/>
  <c r="D6" i="43"/>
  <c r="S22" i="43"/>
  <c r="F22" i="43" s="1"/>
  <c r="S8" i="43"/>
  <c r="F8" i="43" s="1"/>
  <c r="I16" i="43"/>
  <c r="S16" i="43"/>
  <c r="F16" i="43" s="1"/>
  <c r="Q21" i="42"/>
  <c r="N11" i="42"/>
  <c r="N13" i="42"/>
  <c r="Q22" i="42"/>
  <c r="O18" i="42"/>
  <c r="Q20" i="42"/>
  <c r="M13" i="42"/>
  <c r="L13" i="42"/>
  <c r="L11" i="42"/>
  <c r="L9" i="42"/>
  <c r="M9" i="42"/>
  <c r="M15" i="42" s="1"/>
  <c r="O21" i="42" s="1"/>
  <c r="N9" i="42"/>
  <c r="N15" i="42" s="1"/>
  <c r="O22" i="42" s="1"/>
  <c r="J12" i="40"/>
  <c r="J13" i="40" s="1"/>
  <c r="J13" i="39"/>
  <c r="M21" i="39"/>
  <c r="J11" i="39"/>
  <c r="J9" i="39"/>
  <c r="M22" i="39"/>
  <c r="K19" i="39"/>
  <c r="AE16" i="39"/>
  <c r="AJ19" i="39" s="1"/>
  <c r="F144" i="39"/>
  <c r="K147" i="39" s="1"/>
  <c r="I45" i="39"/>
  <c r="V45" i="39" s="1"/>
  <c r="I43" i="39"/>
  <c r="V43" i="39" s="1"/>
  <c r="I41" i="39"/>
  <c r="J77" i="39"/>
  <c r="W77" i="39" s="1"/>
  <c r="J75" i="39"/>
  <c r="W75" i="39" s="1"/>
  <c r="M85" i="39"/>
  <c r="J73" i="39"/>
  <c r="AF16" i="39"/>
  <c r="J45" i="39"/>
  <c r="W45" i="39" s="1"/>
  <c r="J43" i="39"/>
  <c r="W43" i="39" s="1"/>
  <c r="M53" i="39"/>
  <c r="J41" i="39"/>
  <c r="K115" i="39"/>
  <c r="M118" i="39"/>
  <c r="K83" i="39"/>
  <c r="M86" i="39"/>
  <c r="I109" i="39"/>
  <c r="V109" i="39" s="1"/>
  <c r="I107" i="39"/>
  <c r="V107" i="39" s="1"/>
  <c r="I105" i="39"/>
  <c r="K51" i="39"/>
  <c r="M54" i="39"/>
  <c r="I77" i="39"/>
  <c r="V77" i="39" s="1"/>
  <c r="I73" i="39"/>
  <c r="I75" i="39"/>
  <c r="V75" i="39" s="1"/>
  <c r="J109" i="39"/>
  <c r="W109" i="39" s="1"/>
  <c r="J107" i="39"/>
  <c r="W107" i="39" s="1"/>
  <c r="M117" i="39"/>
  <c r="J105" i="39"/>
  <c r="G144" i="39"/>
  <c r="I13" i="39"/>
  <c r="I11" i="39"/>
  <c r="O79" i="38"/>
  <c r="O143" i="38" s="1"/>
  <c r="O75" i="38"/>
  <c r="O47" i="38"/>
  <c r="O111" i="38" s="1"/>
  <c r="O43" i="38"/>
  <c r="F146" i="38"/>
  <c r="P150" i="38" s="1"/>
  <c r="L22" i="38"/>
  <c r="J15" i="38"/>
  <c r="N15" i="38" s="1"/>
  <c r="J13" i="38"/>
  <c r="N13" i="38" s="1"/>
  <c r="J11" i="38"/>
  <c r="G146" i="38"/>
  <c r="J43" i="38"/>
  <c r="J45" i="38"/>
  <c r="N45" i="38" s="1"/>
  <c r="J47" i="38"/>
  <c r="N47" i="38" s="1"/>
  <c r="J109" i="38"/>
  <c r="J111" i="38"/>
  <c r="J107" i="38"/>
  <c r="J79" i="38"/>
  <c r="N79" i="38" s="1"/>
  <c r="J77" i="38"/>
  <c r="N77" i="38" s="1"/>
  <c r="J75" i="38"/>
  <c r="O13" i="38"/>
  <c r="O18" i="38"/>
  <c r="O45" i="38"/>
  <c r="J44" i="37"/>
  <c r="J46" i="37"/>
  <c r="J42" i="37"/>
  <c r="O156" i="37"/>
  <c r="O152" i="37"/>
  <c r="L21" i="37"/>
  <c r="F145" i="37"/>
  <c r="J12" i="37"/>
  <c r="G145" i="37"/>
  <c r="J14" i="37"/>
  <c r="J10" i="37"/>
  <c r="L85" i="37"/>
  <c r="J78" i="37"/>
  <c r="J74" i="37"/>
  <c r="J76" i="37"/>
  <c r="J110" i="37"/>
  <c r="J106" i="37"/>
  <c r="J108" i="37"/>
  <c r="K49" i="37"/>
  <c r="L56" i="37" s="1"/>
  <c r="J13" i="36"/>
  <c r="N13" i="36" s="1"/>
  <c r="G146" i="36"/>
  <c r="J15" i="36"/>
  <c r="N15" i="36" s="1"/>
  <c r="J11" i="36"/>
  <c r="O45" i="36"/>
  <c r="J109" i="36"/>
  <c r="N109" i="36" s="1"/>
  <c r="J111" i="36"/>
  <c r="N111" i="36" s="1"/>
  <c r="J107" i="36"/>
  <c r="O79" i="36"/>
  <c r="O75" i="36"/>
  <c r="O111" i="36"/>
  <c r="O107" i="36"/>
  <c r="O47" i="36"/>
  <c r="O43" i="36"/>
  <c r="O50" i="36" s="1"/>
  <c r="F146" i="36"/>
  <c r="P150" i="36" s="1"/>
  <c r="L22" i="36"/>
  <c r="O13" i="36"/>
  <c r="J77" i="36"/>
  <c r="N77" i="36" s="1"/>
  <c r="J79" i="36"/>
  <c r="N79" i="36" s="1"/>
  <c r="J75" i="36"/>
  <c r="J45" i="36"/>
  <c r="N45" i="36" s="1"/>
  <c r="O15" i="36"/>
  <c r="O143" i="36" s="1"/>
  <c r="O11" i="36"/>
  <c r="J47" i="36"/>
  <c r="N47" i="36" s="1"/>
  <c r="J43" i="36"/>
  <c r="O109" i="36"/>
  <c r="K18" i="36"/>
  <c r="L25" i="36" s="1"/>
  <c r="K50" i="36"/>
  <c r="L57" i="36" s="1"/>
  <c r="K114" i="36"/>
  <c r="L121" i="36" s="1"/>
  <c r="O77" i="36"/>
  <c r="J44" i="35"/>
  <c r="J46" i="35"/>
  <c r="J42" i="35"/>
  <c r="L117" i="35"/>
  <c r="O115" i="35"/>
  <c r="F145" i="35"/>
  <c r="O19" i="35"/>
  <c r="L21" i="35"/>
  <c r="J14" i="35"/>
  <c r="J10" i="35"/>
  <c r="J12" i="35"/>
  <c r="G145" i="35"/>
  <c r="J110" i="35"/>
  <c r="J106" i="35"/>
  <c r="J108" i="35"/>
  <c r="L53" i="35"/>
  <c r="O51" i="35"/>
  <c r="L85" i="35"/>
  <c r="O83" i="35"/>
  <c r="J76" i="35"/>
  <c r="J78" i="35"/>
  <c r="J74" i="35"/>
  <c r="K81" i="35"/>
  <c r="L88" i="35" s="1"/>
  <c r="K113" i="35"/>
  <c r="L120" i="35" s="1"/>
  <c r="L39" i="34"/>
  <c r="I25" i="34"/>
  <c r="AC12" i="34" s="1"/>
  <c r="D39" i="34"/>
  <c r="I61" i="34"/>
  <c r="I65" i="34" s="1"/>
  <c r="C37" i="34"/>
  <c r="K37" i="34"/>
  <c r="C39" i="34"/>
  <c r="E39" i="34" s="1"/>
  <c r="I14" i="34"/>
  <c r="K39" i="34"/>
  <c r="M39" i="34" s="1"/>
  <c r="AC10" i="34"/>
  <c r="L35" i="34"/>
  <c r="F61" i="34"/>
  <c r="H55" i="34" s="1"/>
  <c r="D35" i="34"/>
  <c r="Z12" i="34"/>
  <c r="D37" i="34"/>
  <c r="C116" i="34"/>
  <c r="E116" i="34" s="1"/>
  <c r="K116" i="34"/>
  <c r="H57" i="34"/>
  <c r="U87" i="34"/>
  <c r="U96" i="34"/>
  <c r="U102" i="34" s="1"/>
  <c r="K102" i="34" s="1"/>
  <c r="M96" i="34"/>
  <c r="U100" i="34"/>
  <c r="M100" i="34"/>
  <c r="D116" i="34"/>
  <c r="L116" i="34"/>
  <c r="M8" i="34"/>
  <c r="AA8" i="34"/>
  <c r="AA14" i="34" s="1"/>
  <c r="S14" i="34"/>
  <c r="D14" i="34" s="1"/>
  <c r="Z8" i="34"/>
  <c r="M12" i="34"/>
  <c r="M19" i="34"/>
  <c r="M21" i="34"/>
  <c r="M23" i="34"/>
  <c r="L37" i="34"/>
  <c r="I59" i="34"/>
  <c r="H59" i="34"/>
  <c r="D98" i="34"/>
  <c r="T14" i="34"/>
  <c r="G14" i="34" s="1"/>
  <c r="AC8" i="34"/>
  <c r="AC14" i="34" s="1"/>
  <c r="W10" i="34"/>
  <c r="U89" i="34"/>
  <c r="M89" i="34"/>
  <c r="C114" i="34"/>
  <c r="Z10" i="34"/>
  <c r="X57" i="33"/>
  <c r="X19" i="33"/>
  <c r="I19" i="33" s="1"/>
  <c r="Q15" i="33" s="1"/>
  <c r="H19" i="33"/>
  <c r="R15" i="33"/>
  <c r="G57" i="33"/>
  <c r="U57" i="33"/>
  <c r="J57" i="33" s="1"/>
  <c r="Z57" i="33"/>
  <c r="R49" i="33" s="1"/>
  <c r="W57" i="33"/>
  <c r="Q11" i="33"/>
  <c r="K19" i="33"/>
  <c r="S22" i="33"/>
  <c r="M19" i="33"/>
  <c r="P15" i="33" s="1"/>
  <c r="I57" i="33"/>
  <c r="R51" i="33"/>
  <c r="R13" i="33"/>
  <c r="H57" i="33"/>
  <c r="Y57" i="33" s="1"/>
  <c r="R11" i="33"/>
  <c r="AH16" i="32"/>
  <c r="K16" i="32"/>
  <c r="AH14" i="32"/>
  <c r="K14" i="32"/>
  <c r="AH12" i="32"/>
  <c r="K12" i="32"/>
  <c r="K26" i="32" s="1"/>
  <c r="M32" i="32" s="1"/>
  <c r="AH21" i="32"/>
  <c r="AH23" i="32"/>
  <c r="AH19" i="32"/>
  <c r="AG12" i="32"/>
  <c r="AG16" i="32"/>
  <c r="AG27" i="32"/>
  <c r="Y26" i="32"/>
  <c r="N23" i="32"/>
  <c r="N21" i="32"/>
  <c r="N19" i="32"/>
  <c r="AI27" i="32"/>
  <c r="U26" i="32"/>
  <c r="H26" i="32" s="1"/>
  <c r="AJ27" i="32"/>
  <c r="L16" i="32"/>
  <c r="L14" i="32"/>
  <c r="L12" i="32"/>
  <c r="L26" i="32" s="1"/>
  <c r="M33" i="32" s="1"/>
  <c r="R33" i="32"/>
  <c r="AG23" i="32"/>
  <c r="AG21" i="32"/>
  <c r="AG19" i="32"/>
  <c r="R32" i="32"/>
  <c r="X29" i="32"/>
  <c r="AJ14" i="32"/>
  <c r="AJ12" i="32"/>
  <c r="AJ26" i="32" s="1"/>
  <c r="AJ16" i="32"/>
  <c r="AF26" i="32"/>
  <c r="N12" i="32"/>
  <c r="AC12" i="32"/>
  <c r="N14" i="32"/>
  <c r="AC14" i="32"/>
  <c r="N16" i="32"/>
  <c r="AC16" i="32"/>
  <c r="H19" i="32"/>
  <c r="U19" i="32" s="1"/>
  <c r="AE19" i="32"/>
  <c r="H21" i="32"/>
  <c r="U21" i="32" s="1"/>
  <c r="AE21" i="32"/>
  <c r="H23" i="32"/>
  <c r="U23" i="32" s="1"/>
  <c r="AE23" i="32"/>
  <c r="Q26" i="31"/>
  <c r="J16" i="31"/>
  <c r="J14" i="31"/>
  <c r="J12" i="31"/>
  <c r="J19" i="31" s="1"/>
  <c r="M25" i="31" s="1"/>
  <c r="AG16" i="31"/>
  <c r="AG14" i="31"/>
  <c r="AG12" i="31"/>
  <c r="AF12" i="31"/>
  <c r="AF19" i="31" s="1"/>
  <c r="L16" i="31"/>
  <c r="L14" i="31"/>
  <c r="L12" i="31"/>
  <c r="L19" i="31" s="1"/>
  <c r="M27" i="31" s="1"/>
  <c r="Y19" i="31"/>
  <c r="M23" i="31"/>
  <c r="AF20" i="31"/>
  <c r="Z19" i="31"/>
  <c r="AG20" i="31"/>
  <c r="Q25" i="31"/>
  <c r="X16" i="31"/>
  <c r="X14" i="31"/>
  <c r="X12" i="31"/>
  <c r="K16" i="31"/>
  <c r="K14" i="31"/>
  <c r="K12" i="31"/>
  <c r="K19" i="31" s="1"/>
  <c r="M26" i="31" s="1"/>
  <c r="W22" i="31"/>
  <c r="Q27" i="31"/>
  <c r="M16" i="31"/>
  <c r="M14" i="31"/>
  <c r="M12" i="31"/>
  <c r="AF14" i="31"/>
  <c r="AB12" i="31"/>
  <c r="AB14" i="31"/>
  <c r="AB16" i="31"/>
  <c r="T19" i="30"/>
  <c r="H19" i="30" s="1"/>
  <c r="L16" i="30"/>
  <c r="L14" i="30"/>
  <c r="L12" i="30"/>
  <c r="Q26" i="30"/>
  <c r="AA12" i="30"/>
  <c r="AA19" i="30" s="1"/>
  <c r="AC19" i="30" s="1"/>
  <c r="AB16" i="30"/>
  <c r="AB14" i="30"/>
  <c r="AB12" i="30"/>
  <c r="AB19" i="30" s="1"/>
  <c r="AD19" i="30" s="1"/>
  <c r="J16" i="30"/>
  <c r="J12" i="30"/>
  <c r="J14" i="30"/>
  <c r="M23" i="30"/>
  <c r="AA20" i="30"/>
  <c r="V19" i="30"/>
  <c r="Q25" i="30"/>
  <c r="K16" i="30"/>
  <c r="K14" i="30"/>
  <c r="K12" i="30"/>
  <c r="Q27" i="30"/>
  <c r="M12" i="30"/>
  <c r="M14" i="30"/>
  <c r="Z14" i="29"/>
  <c r="J14" i="29"/>
  <c r="Z16" i="29"/>
  <c r="J16" i="29"/>
  <c r="Z12" i="29"/>
  <c r="Z19" i="29" s="1"/>
  <c r="J12" i="29"/>
  <c r="J19" i="29" s="1"/>
  <c r="L25" i="29" s="1"/>
  <c r="Y14" i="29"/>
  <c r="K16" i="29"/>
  <c r="K12" i="29"/>
  <c r="K19" i="29" s="1"/>
  <c r="L26" i="29" s="1"/>
  <c r="P25" i="29"/>
  <c r="K14" i="29"/>
  <c r="L23" i="29"/>
  <c r="Y20" i="29"/>
  <c r="U19" i="29"/>
  <c r="L16" i="29"/>
  <c r="L12" i="29"/>
  <c r="L19" i="29" s="1"/>
  <c r="L27" i="29" s="1"/>
  <c r="AB19" i="29"/>
  <c r="L14" i="29"/>
  <c r="Z20" i="29"/>
  <c r="V19" i="29"/>
  <c r="Y12" i="29"/>
  <c r="Y19" i="29" s="1"/>
  <c r="W14" i="29"/>
  <c r="W19" i="29" s="1"/>
  <c r="P27" i="29" s="1"/>
  <c r="Y16" i="29"/>
  <c r="V18" i="28"/>
  <c r="N18" i="28" s="1"/>
  <c r="N25" i="28" s="1"/>
  <c r="N21" i="28"/>
  <c r="L15" i="28"/>
  <c r="L13" i="28"/>
  <c r="L11" i="28"/>
  <c r="P23" i="28"/>
  <c r="M15" i="28"/>
  <c r="M13" i="28"/>
  <c r="M11" i="28"/>
  <c r="J13" i="27"/>
  <c r="J11" i="27"/>
  <c r="J15" i="27"/>
  <c r="L11" i="27"/>
  <c r="L23" i="27"/>
  <c r="L21" i="27"/>
  <c r="L19" i="27"/>
  <c r="L13" i="27"/>
  <c r="L15" i="27"/>
  <c r="M12" i="26"/>
  <c r="M14" i="26"/>
  <c r="M10" i="26"/>
  <c r="M25" i="26" s="1"/>
  <c r="M33" i="26" s="1"/>
  <c r="K25" i="26"/>
  <c r="M31" i="26" s="1"/>
  <c r="N12" i="26"/>
  <c r="R18" i="26"/>
  <c r="R25" i="26" s="1"/>
  <c r="F25" i="26" s="1"/>
  <c r="M29" i="26" s="1"/>
  <c r="N22" i="26"/>
  <c r="N10" i="26"/>
  <c r="N15" i="25"/>
  <c r="F15" i="25" s="1"/>
  <c r="U19" i="25" s="1"/>
  <c r="W22" i="25"/>
  <c r="S12" i="25"/>
  <c r="J10" i="25"/>
  <c r="J12" i="25"/>
  <c r="S10" i="25"/>
  <c r="W21" i="25"/>
  <c r="T10" i="25"/>
  <c r="T12" i="25"/>
  <c r="N23" i="24"/>
  <c r="F23" i="24" s="1"/>
  <c r="G78" i="24"/>
  <c r="I74" i="24" s="1"/>
  <c r="G51" i="24"/>
  <c r="I45" i="24" s="1"/>
  <c r="I13" i="24"/>
  <c r="I11" i="24"/>
  <c r="I15" i="24"/>
  <c r="I17" i="24"/>
  <c r="I9" i="24"/>
  <c r="I47" i="24"/>
  <c r="P76" i="24"/>
  <c r="N76" i="24"/>
  <c r="N78" i="24" s="1"/>
  <c r="C78" i="24"/>
  <c r="C23" i="24"/>
  <c r="I19" i="24"/>
  <c r="P19" i="24"/>
  <c r="P23" i="24" s="1"/>
  <c r="P21" i="24"/>
  <c r="C49" i="24"/>
  <c r="P72" i="24"/>
  <c r="T19" i="24"/>
  <c r="T21" i="24"/>
  <c r="I21" i="24"/>
  <c r="N19" i="24"/>
  <c r="W19" i="24"/>
  <c r="W23" i="24" s="1"/>
  <c r="N21" i="24"/>
  <c r="T23" i="24"/>
  <c r="F49" i="24" s="1"/>
  <c r="T78" i="23"/>
  <c r="T82" i="23"/>
  <c r="T84" i="23"/>
  <c r="S78" i="23"/>
  <c r="J84" i="23"/>
  <c r="N25" i="23"/>
  <c r="F25" i="23" s="1"/>
  <c r="L29" i="23" s="1"/>
  <c r="S80" i="23"/>
  <c r="J82" i="23"/>
  <c r="S82" i="23"/>
  <c r="J80" i="23"/>
  <c r="S84" i="23"/>
  <c r="T87" i="23"/>
  <c r="U94" i="23" s="1"/>
  <c r="U91" i="23"/>
  <c r="L91" i="23"/>
  <c r="W94" i="23"/>
  <c r="W93" i="23"/>
  <c r="S49" i="23"/>
  <c r="J47" i="23"/>
  <c r="S51" i="23"/>
  <c r="J49" i="23"/>
  <c r="S47" i="23"/>
  <c r="J51" i="23"/>
  <c r="J22" i="23"/>
  <c r="S16" i="23"/>
  <c r="J14" i="23"/>
  <c r="S22" i="23"/>
  <c r="S18" i="23"/>
  <c r="J16" i="23"/>
  <c r="J20" i="23"/>
  <c r="S14" i="23"/>
  <c r="S20" i="23"/>
  <c r="J18" i="23"/>
  <c r="T18" i="23"/>
  <c r="T16" i="23"/>
  <c r="T20" i="23"/>
  <c r="W31" i="23"/>
  <c r="T22" i="23"/>
  <c r="T14" i="23"/>
  <c r="L58" i="23"/>
  <c r="U58" i="23"/>
  <c r="W61" i="23"/>
  <c r="W32" i="23"/>
  <c r="W60" i="23"/>
  <c r="T47" i="23"/>
  <c r="T51" i="23"/>
  <c r="Y8" i="22"/>
  <c r="BK8" i="22" s="1"/>
  <c r="BK35" i="22" s="1"/>
  <c r="DC45" i="22"/>
  <c r="AB10" i="22"/>
  <c r="BL10" i="22" s="1"/>
  <c r="BL37" i="22" s="1"/>
  <c r="AN14" i="22"/>
  <c r="DC39" i="22"/>
  <c r="DC28" i="22"/>
  <c r="Y10" i="22"/>
  <c r="BK10" i="22" s="1"/>
  <c r="BK37" i="22" s="1"/>
  <c r="AW14" i="22"/>
  <c r="X14" i="22"/>
  <c r="T10" i="22"/>
  <c r="U10" i="22" s="1"/>
  <c r="Q12" i="22"/>
  <c r="R12" i="22" s="1"/>
  <c r="BH8" i="22"/>
  <c r="BH35" i="22" s="1"/>
  <c r="AW39" i="22"/>
  <c r="DA10" i="22"/>
  <c r="DA14" i="22"/>
  <c r="AW22" i="22"/>
  <c r="AW50" i="22" s="1"/>
  <c r="DA22" i="22"/>
  <c r="CW53" i="22"/>
  <c r="DA8" i="22"/>
  <c r="AO10" i="22"/>
  <c r="CK10" i="22" s="1"/>
  <c r="CK37" i="22" s="1"/>
  <c r="DA12" i="22"/>
  <c r="DA20" i="22"/>
  <c r="AU24" i="22"/>
  <c r="AU52" i="22" s="1"/>
  <c r="BU35" i="22"/>
  <c r="CI14" i="22"/>
  <c r="CI35" i="22"/>
  <c r="CI41" i="22" s="1"/>
  <c r="S14" i="22"/>
  <c r="BV8" i="22"/>
  <c r="AV10" i="22"/>
  <c r="Q10" i="22"/>
  <c r="AY10" i="22" s="1"/>
  <c r="AY37" i="22" s="1"/>
  <c r="Z10" i="22"/>
  <c r="BY10" i="22"/>
  <c r="BY37" i="22" s="1"/>
  <c r="AK10" i="22"/>
  <c r="CS47" i="22"/>
  <c r="AU20" i="22"/>
  <c r="AU48" i="22" s="1"/>
  <c r="T8" i="22"/>
  <c r="AZ8" i="22" s="1"/>
  <c r="AZ35" i="22" s="1"/>
  <c r="AC10" i="22"/>
  <c r="CH37" i="22"/>
  <c r="P14" i="22"/>
  <c r="AV8" i="22"/>
  <c r="Z8" i="22"/>
  <c r="BH37" i="22"/>
  <c r="BO10" i="22"/>
  <c r="BX12" i="22"/>
  <c r="BX39" i="22" s="1"/>
  <c r="AH12" i="22"/>
  <c r="K28" i="22"/>
  <c r="AG8" i="22"/>
  <c r="BX8" i="22" s="1"/>
  <c r="BX35" i="22" s="1"/>
  <c r="Q8" i="22"/>
  <c r="AY8" i="22" s="1"/>
  <c r="AY35" i="22" s="1"/>
  <c r="AO8" i="22"/>
  <c r="BU10" i="22"/>
  <c r="AG10" i="22"/>
  <c r="BX10" i="22" s="1"/>
  <c r="BX37" i="22" s="1"/>
  <c r="AP10" i="22"/>
  <c r="BI12" i="22"/>
  <c r="BI39" i="22" s="1"/>
  <c r="AB12" i="22"/>
  <c r="BL12" i="22" s="1"/>
  <c r="BL39" i="22" s="1"/>
  <c r="T12" i="22"/>
  <c r="AJ8" i="22"/>
  <c r="BY8" i="22" s="1"/>
  <c r="BY35" i="22" s="1"/>
  <c r="AF14" i="22"/>
  <c r="BI10" i="22"/>
  <c r="BI37" i="22" s="1"/>
  <c r="BH39" i="22"/>
  <c r="DA16" i="22"/>
  <c r="CT43" i="22"/>
  <c r="DC43" i="22" s="1"/>
  <c r="CT35" i="22"/>
  <c r="DC35" i="22" s="1"/>
  <c r="CT28" i="22"/>
  <c r="CT55" i="22" s="1"/>
  <c r="CX28" i="22"/>
  <c r="CZ16" i="22" s="1"/>
  <c r="AR10" i="22"/>
  <c r="CL10" i="22" s="1"/>
  <c r="CL37" i="22" s="1"/>
  <c r="Y12" i="22"/>
  <c r="BK12" i="22" s="1"/>
  <c r="BK39" i="22" s="1"/>
  <c r="AV39" i="22"/>
  <c r="AV26" i="22"/>
  <c r="AV22" i="22"/>
  <c r="BU39" i="22"/>
  <c r="DA24" i="22"/>
  <c r="CT51" i="22"/>
  <c r="DC51" i="22" s="1"/>
  <c r="AV24" i="22"/>
  <c r="AB8" i="22"/>
  <c r="AR8" i="22"/>
  <c r="CH8" i="22"/>
  <c r="AS10" i="22"/>
  <c r="Z12" i="22"/>
  <c r="AJ12" i="22"/>
  <c r="AW20" i="22"/>
  <c r="AW24" i="22"/>
  <c r="AW52" i="22" s="1"/>
  <c r="AW35" i="22"/>
  <c r="AY22" i="22"/>
  <c r="AY50" i="22" s="1"/>
  <c r="DA26" i="22"/>
  <c r="CS49" i="22"/>
  <c r="CS53" i="22"/>
  <c r="DA18" i="22"/>
  <c r="AV20" i="22"/>
  <c r="K13" i="21"/>
  <c r="M26" i="21"/>
  <c r="K11" i="21"/>
  <c r="K15" i="21"/>
  <c r="K17" i="21"/>
  <c r="M56" i="21"/>
  <c r="K54" i="21"/>
  <c r="K76" i="21"/>
  <c r="K70" i="21"/>
  <c r="K79" i="21" s="1"/>
  <c r="K84" i="21" s="1"/>
  <c r="K74" i="21"/>
  <c r="M85" i="21"/>
  <c r="K72" i="21"/>
  <c r="K109" i="21"/>
  <c r="M111" i="21"/>
  <c r="J48" i="21"/>
  <c r="J46" i="21"/>
  <c r="J44" i="21"/>
  <c r="J42" i="21"/>
  <c r="J99" i="21"/>
  <c r="J97" i="21"/>
  <c r="J101" i="21"/>
  <c r="J103" i="21"/>
  <c r="M25" i="21"/>
  <c r="K23" i="21"/>
  <c r="K46" i="21"/>
  <c r="K44" i="21"/>
  <c r="K48" i="21"/>
  <c r="M57" i="21"/>
  <c r="K42" i="21"/>
  <c r="K51" i="21" s="1"/>
  <c r="K56" i="21" s="1"/>
  <c r="K82" i="21"/>
  <c r="M84" i="21"/>
  <c r="M112" i="21"/>
  <c r="K97" i="21"/>
  <c r="K106" i="21" s="1"/>
  <c r="K111" i="21" s="1"/>
  <c r="K99" i="21"/>
  <c r="K103" i="21"/>
  <c r="K101" i="21"/>
  <c r="J15" i="21"/>
  <c r="J17" i="21"/>
  <c r="J13" i="21"/>
  <c r="J11" i="21"/>
  <c r="J70" i="21"/>
  <c r="J79" i="21" s="1"/>
  <c r="K85" i="21" s="1"/>
  <c r="J76" i="21"/>
  <c r="J74" i="21"/>
  <c r="J72" i="21"/>
  <c r="K20" i="20"/>
  <c r="M22" i="20"/>
  <c r="J12" i="20"/>
  <c r="M23" i="20"/>
  <c r="J11" i="20"/>
  <c r="J14" i="20"/>
  <c r="J10" i="20"/>
  <c r="J13" i="20"/>
  <c r="I13" i="20"/>
  <c r="I11" i="20"/>
  <c r="I12" i="20"/>
  <c r="I14" i="20"/>
  <c r="I10" i="20"/>
  <c r="I11" i="19"/>
  <c r="I15" i="19"/>
  <c r="G89" i="19"/>
  <c r="I13" i="19"/>
  <c r="I84" i="19" s="1"/>
  <c r="F89" i="19"/>
  <c r="K92" i="19" s="1"/>
  <c r="M24" i="19"/>
  <c r="K21" i="19"/>
  <c r="I47" i="19"/>
  <c r="I49" i="19"/>
  <c r="I45" i="19"/>
  <c r="M58" i="19"/>
  <c r="K55" i="19"/>
  <c r="J45" i="19"/>
  <c r="M57" i="19"/>
  <c r="J49" i="19"/>
  <c r="J47" i="19"/>
  <c r="J15" i="19"/>
  <c r="J86" i="19" s="1"/>
  <c r="J11" i="19"/>
  <c r="M23" i="19"/>
  <c r="J13" i="19"/>
  <c r="J84" i="19" s="1"/>
  <c r="J11" i="18"/>
  <c r="J13" i="18"/>
  <c r="J15" i="18"/>
  <c r="M23" i="18"/>
  <c r="M24" i="18"/>
  <c r="K21" i="18"/>
  <c r="I13" i="18"/>
  <c r="I11" i="18"/>
  <c r="I18" i="18" s="1"/>
  <c r="K23" i="18" s="1"/>
  <c r="I15" i="18"/>
  <c r="L25" i="17"/>
  <c r="M26" i="15"/>
  <c r="F58" i="14"/>
  <c r="H58" i="14" s="1"/>
  <c r="H57" i="14"/>
  <c r="G59" i="14"/>
  <c r="D129" i="13"/>
  <c r="D133" i="13" s="1"/>
  <c r="D142" i="13"/>
  <c r="D146" i="13" s="1"/>
  <c r="D155" i="13"/>
  <c r="D159" i="13" s="1"/>
  <c r="AS44" i="3"/>
  <c r="AH44" i="3"/>
  <c r="AD16" i="3"/>
  <c r="AD36" i="3"/>
  <c r="AF20" i="3"/>
  <c r="AG28" i="3"/>
  <c r="AH12" i="3"/>
  <c r="AV16" i="3"/>
  <c r="V13" i="3"/>
  <c r="AD24" i="3"/>
  <c r="AD45" i="3"/>
  <c r="AG12" i="3"/>
  <c r="AG36" i="3"/>
  <c r="AN36" i="3"/>
  <c r="AT16" i="3"/>
  <c r="AV40" i="3"/>
  <c r="V29" i="3"/>
  <c r="AD28" i="3"/>
  <c r="AE13" i="3"/>
  <c r="AG16" i="3"/>
  <c r="AH28" i="3"/>
  <c r="AP32" i="3"/>
  <c r="AU20" i="3"/>
  <c r="AW36" i="3"/>
  <c r="AD13" i="3"/>
  <c r="AD33" i="3"/>
  <c r="AE32" i="3"/>
  <c r="AG24" i="3"/>
  <c r="AG45" i="3"/>
  <c r="AS12" i="3"/>
  <c r="AU28" i="3"/>
  <c r="AW44" i="3"/>
  <c r="V14" i="3"/>
  <c r="V17" i="3"/>
  <c r="V30" i="3"/>
  <c r="AD17" i="3"/>
  <c r="AD29" i="3"/>
  <c r="AD40" i="3"/>
  <c r="AE20" i="3"/>
  <c r="AF24" i="3"/>
  <c r="AG20" i="3"/>
  <c r="AG40" i="3"/>
  <c r="AH36" i="3"/>
  <c r="AI17" i="3"/>
  <c r="AN20" i="3"/>
  <c r="AO32" i="3"/>
  <c r="AS28" i="3"/>
  <c r="AT40" i="3"/>
  <c r="AU36" i="3"/>
  <c r="AW12" i="3"/>
  <c r="AD12" i="3"/>
  <c r="AD20" i="3"/>
  <c r="AD32" i="3"/>
  <c r="AD44" i="3"/>
  <c r="AE24" i="3"/>
  <c r="AF32" i="3"/>
  <c r="AG32" i="3"/>
  <c r="AG44" i="3"/>
  <c r="AH40" i="3"/>
  <c r="AP24" i="3"/>
  <c r="V34" i="3"/>
  <c r="AW11" i="3"/>
  <c r="AV11" i="3"/>
  <c r="AU11" i="3"/>
  <c r="AT11" i="3"/>
  <c r="AS11" i="3"/>
  <c r="AN11" i="3"/>
  <c r="AI11" i="3"/>
  <c r="AH11" i="3"/>
  <c r="AW19" i="3"/>
  <c r="AV19" i="3"/>
  <c r="AU19" i="3"/>
  <c r="AT19" i="3"/>
  <c r="AS19" i="3"/>
  <c r="AN19" i="3"/>
  <c r="AI19" i="3"/>
  <c r="AH19" i="3"/>
  <c r="AW31" i="3"/>
  <c r="AV31" i="3"/>
  <c r="AU31" i="3"/>
  <c r="AT31" i="3"/>
  <c r="AS31" i="3"/>
  <c r="AN31" i="3"/>
  <c r="AI31" i="3"/>
  <c r="AH31" i="3"/>
  <c r="AG31" i="3"/>
  <c r="AU39" i="3"/>
  <c r="AP39" i="3"/>
  <c r="AO39" i="3"/>
  <c r="AN39" i="3"/>
  <c r="AM39" i="3"/>
  <c r="AL39" i="3"/>
  <c r="AG39" i="3"/>
  <c r="V23" i="3"/>
  <c r="V39" i="3"/>
  <c r="AD19" i="3"/>
  <c r="AU13" i="3"/>
  <c r="AN13" i="3"/>
  <c r="AO13" i="3"/>
  <c r="AP13" i="3"/>
  <c r="AW17" i="3"/>
  <c r="AV17" i="3"/>
  <c r="AU17" i="3"/>
  <c r="AT17" i="3"/>
  <c r="AS17" i="3"/>
  <c r="AN17" i="3"/>
  <c r="AW21" i="3"/>
  <c r="AV21" i="3"/>
  <c r="AU21" i="3"/>
  <c r="AT21" i="3"/>
  <c r="AS21" i="3"/>
  <c r="AN21" i="3"/>
  <c r="AW25" i="3"/>
  <c r="AV25" i="3"/>
  <c r="AU25" i="3"/>
  <c r="AT25" i="3"/>
  <c r="AS25" i="3"/>
  <c r="AW29" i="3"/>
  <c r="AV29" i="3"/>
  <c r="AU29" i="3"/>
  <c r="AT29" i="3"/>
  <c r="AS29" i="3"/>
  <c r="AN29" i="3"/>
  <c r="AU33" i="3"/>
  <c r="AP33" i="3"/>
  <c r="AM33" i="3"/>
  <c r="AN33" i="3"/>
  <c r="AO33" i="3"/>
  <c r="AW37" i="3"/>
  <c r="AV37" i="3"/>
  <c r="AU37" i="3"/>
  <c r="AT37" i="3"/>
  <c r="AS37" i="3"/>
  <c r="AN37" i="3"/>
  <c r="AW41" i="3"/>
  <c r="AV41" i="3"/>
  <c r="AU41" i="3"/>
  <c r="AT41" i="3"/>
  <c r="AS41" i="3"/>
  <c r="AW45" i="3"/>
  <c r="AV45" i="3"/>
  <c r="AU45" i="3"/>
  <c r="AT45" i="3"/>
  <c r="AS45" i="3"/>
  <c r="AN45" i="3"/>
  <c r="V19" i="3"/>
  <c r="V25" i="3"/>
  <c r="V35" i="3"/>
  <c r="V41" i="3"/>
  <c r="AD15" i="3"/>
  <c r="AD25" i="3"/>
  <c r="AD31" i="3"/>
  <c r="AD41" i="3"/>
  <c r="AE27" i="3"/>
  <c r="AF23" i="3"/>
  <c r="AF33" i="3"/>
  <c r="AF39" i="3"/>
  <c r="AG13" i="3"/>
  <c r="AG19" i="3"/>
  <c r="AG25" i="3"/>
  <c r="AG33" i="3"/>
  <c r="AG41" i="3"/>
  <c r="AH21" i="3"/>
  <c r="AH29" i="3"/>
  <c r="AH37" i="3"/>
  <c r="AH45" i="3"/>
  <c r="AI25" i="3"/>
  <c r="AI41" i="3"/>
  <c r="AN41" i="3"/>
  <c r="AW10" i="3"/>
  <c r="AU10" i="3"/>
  <c r="AS10" i="3"/>
  <c r="AV10" i="3"/>
  <c r="AT10" i="3"/>
  <c r="AN10" i="3"/>
  <c r="AI10" i="3"/>
  <c r="AH10" i="3"/>
  <c r="AG10" i="3"/>
  <c r="AD10" i="3"/>
  <c r="AV14" i="3"/>
  <c r="AT14" i="3"/>
  <c r="AW14" i="3"/>
  <c r="AU14" i="3"/>
  <c r="AS14" i="3"/>
  <c r="AI14" i="3"/>
  <c r="AH14" i="3"/>
  <c r="AG14" i="3"/>
  <c r="AD14" i="3"/>
  <c r="AU18" i="3"/>
  <c r="AN18" i="3"/>
  <c r="AO18" i="3"/>
  <c r="AP18" i="3"/>
  <c r="AM18" i="3"/>
  <c r="AL18" i="3"/>
  <c r="AG18" i="3"/>
  <c r="AF18" i="3"/>
  <c r="AE18" i="3"/>
  <c r="AD18" i="3"/>
  <c r="AV22" i="3"/>
  <c r="AT22" i="3"/>
  <c r="AN22" i="3"/>
  <c r="AW22" i="3"/>
  <c r="AU22" i="3"/>
  <c r="AS22" i="3"/>
  <c r="AI22" i="3"/>
  <c r="AH22" i="3"/>
  <c r="AG22" i="3"/>
  <c r="AD22" i="3"/>
  <c r="AU26" i="3"/>
  <c r="AP26" i="3"/>
  <c r="AN26" i="3"/>
  <c r="AM26" i="3"/>
  <c r="AL26" i="3"/>
  <c r="AG26" i="3"/>
  <c r="AF26" i="3"/>
  <c r="AE26" i="3"/>
  <c r="AD26" i="3"/>
  <c r="AP30" i="3"/>
  <c r="AO30" i="3"/>
  <c r="AU30" i="3"/>
  <c r="AM30" i="3"/>
  <c r="AL30" i="3"/>
  <c r="AG30" i="3"/>
  <c r="AF30" i="3"/>
  <c r="AE30" i="3"/>
  <c r="AD30" i="3"/>
  <c r="AU34" i="3"/>
  <c r="AN34" i="3"/>
  <c r="AO34" i="3"/>
  <c r="AP34" i="3"/>
  <c r="AL34" i="3"/>
  <c r="AG34" i="3"/>
  <c r="AF34" i="3"/>
  <c r="AE34" i="3"/>
  <c r="AD34" i="3"/>
  <c r="AV38" i="3"/>
  <c r="AT38" i="3"/>
  <c r="AN38" i="3"/>
  <c r="AW38" i="3"/>
  <c r="AU38" i="3"/>
  <c r="AS38" i="3"/>
  <c r="AI38" i="3"/>
  <c r="AH38" i="3"/>
  <c r="AG38" i="3"/>
  <c r="AD38" i="3"/>
  <c r="AW42" i="3"/>
  <c r="AU42" i="3"/>
  <c r="AS42" i="3"/>
  <c r="AV42" i="3"/>
  <c r="AT42" i="3"/>
  <c r="AN42" i="3"/>
  <c r="AI42" i="3"/>
  <c r="AH42" i="3"/>
  <c r="AG42" i="3"/>
  <c r="AD42" i="3"/>
  <c r="V10" i="3"/>
  <c r="V15" i="3"/>
  <c r="V21" i="3"/>
  <c r="V26" i="3"/>
  <c r="V31" i="3"/>
  <c r="V37" i="3"/>
  <c r="V42" i="3"/>
  <c r="AD11" i="3"/>
  <c r="AD21" i="3"/>
  <c r="AD37" i="3"/>
  <c r="AE33" i="3"/>
  <c r="AE39" i="3"/>
  <c r="AF13" i="3"/>
  <c r="AI29" i="3"/>
  <c r="AI45" i="3"/>
  <c r="AN25" i="3"/>
  <c r="AU27" i="3"/>
  <c r="AP27" i="3"/>
  <c r="AO27" i="3"/>
  <c r="AN27" i="3"/>
  <c r="AM27" i="3"/>
  <c r="AL27" i="3"/>
  <c r="AG27" i="3"/>
  <c r="AW43" i="3"/>
  <c r="AV43" i="3"/>
  <c r="AU43" i="3"/>
  <c r="AT43" i="3"/>
  <c r="AS43" i="3"/>
  <c r="AN43" i="3"/>
  <c r="AI43" i="3"/>
  <c r="AH43" i="3"/>
  <c r="AG43" i="3"/>
  <c r="V27" i="3"/>
  <c r="AG11" i="3"/>
  <c r="AW15" i="3"/>
  <c r="AV15" i="3"/>
  <c r="AU15" i="3"/>
  <c r="AT15" i="3"/>
  <c r="AS15" i="3"/>
  <c r="AN15" i="3"/>
  <c r="AI15" i="3"/>
  <c r="AH15" i="3"/>
  <c r="AU23" i="3"/>
  <c r="AP23" i="3"/>
  <c r="AO23" i="3"/>
  <c r="AN23" i="3"/>
  <c r="AM23" i="3"/>
  <c r="AL23" i="3"/>
  <c r="AG23" i="3"/>
  <c r="AW35" i="3"/>
  <c r="AV35" i="3"/>
  <c r="AU35" i="3"/>
  <c r="AT35" i="3"/>
  <c r="AS35" i="3"/>
  <c r="AN35" i="3"/>
  <c r="AI35" i="3"/>
  <c r="AH35" i="3"/>
  <c r="AG35" i="3"/>
  <c r="V11" i="3"/>
  <c r="V43" i="3"/>
  <c r="AD23" i="3"/>
  <c r="AD39" i="3"/>
  <c r="AD35" i="3"/>
  <c r="AF27" i="3"/>
  <c r="AG17" i="3"/>
  <c r="AI21" i="3"/>
  <c r="AI37" i="3"/>
  <c r="AL33" i="3"/>
  <c r="AM13" i="3"/>
  <c r="V12" i="3"/>
  <c r="V16" i="3"/>
  <c r="V20" i="3"/>
  <c r="V24" i="3"/>
  <c r="V28" i="3"/>
  <c r="V32" i="3"/>
  <c r="V36" i="3"/>
  <c r="V40" i="3"/>
  <c r="V44" i="3"/>
  <c r="AN16" i="3"/>
  <c r="AN32" i="3"/>
  <c r="AM32" i="3"/>
  <c r="AN12" i="3"/>
  <c r="AN28" i="3"/>
  <c r="AN44" i="3"/>
  <c r="AO24" i="3"/>
  <c r="AP20" i="3"/>
  <c r="AS16" i="3"/>
  <c r="AS40" i="3"/>
  <c r="AT12" i="3"/>
  <c r="AT28" i="3"/>
  <c r="AT36" i="3"/>
  <c r="AT44" i="3"/>
  <c r="AU16" i="3"/>
  <c r="AU24" i="3"/>
  <c r="AU32" i="3"/>
  <c r="AU40" i="3"/>
  <c r="AV12" i="3"/>
  <c r="AV28" i="3"/>
  <c r="AV36" i="3"/>
  <c r="AV44" i="3"/>
  <c r="AW16" i="3"/>
  <c r="AW40" i="3"/>
  <c r="AI12" i="3"/>
  <c r="AI16" i="3"/>
  <c r="AI28" i="3"/>
  <c r="AI36" i="3"/>
  <c r="AI40" i="3"/>
  <c r="AI44" i="3"/>
  <c r="AL20" i="3"/>
  <c r="AL24" i="3"/>
  <c r="AM20" i="3"/>
  <c r="AM24" i="3"/>
  <c r="O47" i="3"/>
  <c r="O49" i="3" s="1"/>
  <c r="P38" i="3" s="1"/>
  <c r="K57" i="33" l="1"/>
  <c r="R53" i="33"/>
  <c r="R57" i="33" s="1"/>
  <c r="P11" i="33"/>
  <c r="E370" i="13"/>
  <c r="D395" i="13"/>
  <c r="E368" i="13"/>
  <c r="D343" i="13"/>
  <c r="E364" i="13"/>
  <c r="E366" i="13"/>
  <c r="E372" i="13"/>
  <c r="E374" i="13"/>
  <c r="G275" i="13"/>
  <c r="G277" i="13" s="1"/>
  <c r="F343" i="13"/>
  <c r="F275" i="13"/>
  <c r="F277" i="13" s="1"/>
  <c r="E275" i="13"/>
  <c r="E277" i="13" s="1"/>
  <c r="D275" i="13"/>
  <c r="D277" i="13" s="1"/>
  <c r="D244" i="13"/>
  <c r="F552" i="13"/>
  <c r="F551" i="13"/>
  <c r="F553" i="13"/>
  <c r="AW116" i="41"/>
  <c r="U116" i="41"/>
  <c r="G116" i="41"/>
  <c r="AW93" i="41"/>
  <c r="AI93" i="41"/>
  <c r="U93" i="41"/>
  <c r="G93" i="41"/>
  <c r="G191" i="41" s="1"/>
  <c r="G190" i="41"/>
  <c r="G192" i="41" s="1"/>
  <c r="P17" i="44"/>
  <c r="S13" i="44"/>
  <c r="W21" i="44"/>
  <c r="Q11" i="44"/>
  <c r="Q17" i="44" s="1"/>
  <c r="S15" i="44"/>
  <c r="T17" i="44"/>
  <c r="T25" i="44" s="1"/>
  <c r="R7" i="44"/>
  <c r="R5" i="44" s="1"/>
  <c r="R17" i="44" s="1"/>
  <c r="T23" i="44" s="1"/>
  <c r="AC17" i="44"/>
  <c r="M17" i="44" s="1"/>
  <c r="R13" i="44"/>
  <c r="R11" i="44" s="1"/>
  <c r="O32" i="43"/>
  <c r="L24" i="43"/>
  <c r="D22" i="43"/>
  <c r="O6" i="43"/>
  <c r="O22" i="43" s="1"/>
  <c r="I6" i="43"/>
  <c r="I22" i="43" s="1"/>
  <c r="L26" i="43" s="1"/>
  <c r="P22" i="43"/>
  <c r="L12" i="43"/>
  <c r="L6" i="43" s="1"/>
  <c r="L22" i="43" s="1"/>
  <c r="L32" i="43" s="1"/>
  <c r="L16" i="43"/>
  <c r="L15" i="42"/>
  <c r="O20" i="42" s="1"/>
  <c r="O24" i="42" s="1"/>
  <c r="T83" i="39"/>
  <c r="Y16" i="39"/>
  <c r="W9" i="39"/>
  <c r="J16" i="39"/>
  <c r="J137" i="39"/>
  <c r="I139" i="39"/>
  <c r="V11" i="39"/>
  <c r="J80" i="39"/>
  <c r="K86" i="39" s="1"/>
  <c r="Y80" i="39"/>
  <c r="W73" i="39"/>
  <c r="W80" i="39" s="1"/>
  <c r="I48" i="39"/>
  <c r="K53" i="39" s="1"/>
  <c r="K56" i="39" s="1"/>
  <c r="V41" i="39"/>
  <c r="V48" i="39" s="1"/>
  <c r="X48" i="39"/>
  <c r="J139" i="39"/>
  <c r="W11" i="39"/>
  <c r="I80" i="39"/>
  <c r="K85" i="39" s="1"/>
  <c r="K88" i="39" s="1"/>
  <c r="V73" i="39"/>
  <c r="V80" i="39" s="1"/>
  <c r="X80" i="39"/>
  <c r="X16" i="39"/>
  <c r="I16" i="39"/>
  <c r="T115" i="39"/>
  <c r="T19" i="39"/>
  <c r="I137" i="39"/>
  <c r="I112" i="39"/>
  <c r="K117" i="39" s="1"/>
  <c r="K120" i="39" s="1"/>
  <c r="V105" i="39"/>
  <c r="V112" i="39" s="1"/>
  <c r="X112" i="39"/>
  <c r="I141" i="39"/>
  <c r="V13" i="39"/>
  <c r="J112" i="39"/>
  <c r="K118" i="39" s="1"/>
  <c r="Y112" i="39"/>
  <c r="W105" i="39"/>
  <c r="W112" i="39" s="1"/>
  <c r="T51" i="39"/>
  <c r="Y48" i="39"/>
  <c r="J48" i="39"/>
  <c r="K54" i="39" s="1"/>
  <c r="W41" i="39"/>
  <c r="W48" i="39" s="1"/>
  <c r="W13" i="39"/>
  <c r="J141" i="39"/>
  <c r="O109" i="38"/>
  <c r="N109" i="38"/>
  <c r="N141" i="38" s="1"/>
  <c r="O50" i="38"/>
  <c r="O107" i="38"/>
  <c r="N111" i="38"/>
  <c r="J18" i="38"/>
  <c r="L24" i="38" s="1"/>
  <c r="N11" i="38"/>
  <c r="O77" i="38"/>
  <c r="O141" i="38" s="1"/>
  <c r="J82" i="38"/>
  <c r="L88" i="38" s="1"/>
  <c r="L91" i="38" s="1"/>
  <c r="J50" i="38"/>
  <c r="L56" i="38" s="1"/>
  <c r="L59" i="38" s="1"/>
  <c r="N43" i="38"/>
  <c r="N50" i="38" s="1"/>
  <c r="N143" i="38"/>
  <c r="J114" i="38"/>
  <c r="L120" i="38" s="1"/>
  <c r="L123" i="38" s="1"/>
  <c r="L27" i="38"/>
  <c r="O82" i="38"/>
  <c r="J113" i="37"/>
  <c r="L119" i="37" s="1"/>
  <c r="L122" i="37" s="1"/>
  <c r="J81" i="37"/>
  <c r="L87" i="37" s="1"/>
  <c r="L90" i="37" s="1"/>
  <c r="O51" i="37"/>
  <c r="P163" i="37"/>
  <c r="O147" i="37"/>
  <c r="J49" i="37"/>
  <c r="L55" i="37" s="1"/>
  <c r="L58" i="37" s="1"/>
  <c r="J17" i="37"/>
  <c r="L23" i="37" s="1"/>
  <c r="L26" i="37"/>
  <c r="J50" i="36"/>
  <c r="L56" i="36" s="1"/>
  <c r="L59" i="36" s="1"/>
  <c r="N43" i="36"/>
  <c r="N50" i="36" s="1"/>
  <c r="O82" i="36"/>
  <c r="J18" i="36"/>
  <c r="L24" i="36" s="1"/>
  <c r="N11" i="36"/>
  <c r="O141" i="36"/>
  <c r="N143" i="36"/>
  <c r="O139" i="36"/>
  <c r="O146" i="36" s="1"/>
  <c r="P153" i="36" s="1"/>
  <c r="O18" i="36"/>
  <c r="J82" i="36"/>
  <c r="L88" i="36" s="1"/>
  <c r="L91" i="36" s="1"/>
  <c r="N75" i="36"/>
  <c r="N82" i="36" s="1"/>
  <c r="L27" i="36"/>
  <c r="O114" i="36"/>
  <c r="J114" i="36"/>
  <c r="L120" i="36" s="1"/>
  <c r="L123" i="36" s="1"/>
  <c r="N107" i="36"/>
  <c r="N114" i="36" s="1"/>
  <c r="N141" i="36"/>
  <c r="L58" i="35"/>
  <c r="J49" i="35"/>
  <c r="L55" i="35" s="1"/>
  <c r="O147" i="35"/>
  <c r="N108" i="35" s="1"/>
  <c r="P152" i="35"/>
  <c r="J81" i="35"/>
  <c r="L87" i="35" s="1"/>
  <c r="L90" i="35"/>
  <c r="J113" i="35"/>
  <c r="L119" i="35" s="1"/>
  <c r="L26" i="35"/>
  <c r="L122" i="35"/>
  <c r="J17" i="35"/>
  <c r="L23" i="35" s="1"/>
  <c r="O19" i="34"/>
  <c r="W19" i="34"/>
  <c r="D114" i="34"/>
  <c r="L114" i="34"/>
  <c r="M114" i="34" s="1"/>
  <c r="M37" i="34"/>
  <c r="W89" i="34"/>
  <c r="S98" i="34"/>
  <c r="F134" i="34"/>
  <c r="O98" i="34"/>
  <c r="O23" i="34"/>
  <c r="W23" i="34"/>
  <c r="Z14" i="34"/>
  <c r="O21" i="34"/>
  <c r="W21" i="34"/>
  <c r="C35" i="34"/>
  <c r="K35" i="34"/>
  <c r="E61" i="34"/>
  <c r="I63" i="34" s="1"/>
  <c r="D96" i="34"/>
  <c r="W96" i="34"/>
  <c r="W102" i="34" s="1"/>
  <c r="M102" i="34" s="1"/>
  <c r="E114" i="34"/>
  <c r="AB14" i="34"/>
  <c r="AC16" i="34" s="1"/>
  <c r="W12" i="34"/>
  <c r="W8" i="34"/>
  <c r="D100" i="34"/>
  <c r="W100" i="34"/>
  <c r="M116" i="34"/>
  <c r="H61" i="34"/>
  <c r="I64" i="34" s="1"/>
  <c r="E37" i="34"/>
  <c r="M57" i="33"/>
  <c r="P51" i="33" s="1"/>
  <c r="O19" i="33"/>
  <c r="S24" i="33" s="1"/>
  <c r="U64" i="33"/>
  <c r="P13" i="33"/>
  <c r="S60" i="33"/>
  <c r="Q13" i="33"/>
  <c r="Q19" i="33" s="1"/>
  <c r="S26" i="33" s="1"/>
  <c r="R19" i="33"/>
  <c r="S27" i="33" s="1"/>
  <c r="U62" i="33"/>
  <c r="O57" i="33"/>
  <c r="Q53" i="33"/>
  <c r="Q49" i="33"/>
  <c r="U63" i="33"/>
  <c r="Q51" i="33"/>
  <c r="AA51" i="33"/>
  <c r="P53" i="33"/>
  <c r="AA49" i="33"/>
  <c r="AA53" i="33"/>
  <c r="P49" i="33"/>
  <c r="P19" i="33"/>
  <c r="S25" i="33" s="1"/>
  <c r="AC26" i="32"/>
  <c r="R35" i="32" s="1"/>
  <c r="Z26" i="32"/>
  <c r="AH27" i="32"/>
  <c r="N26" i="32"/>
  <c r="M35" i="32" s="1"/>
  <c r="M30" i="32"/>
  <c r="AG26" i="32"/>
  <c r="AE26" i="32"/>
  <c r="R34" i="32"/>
  <c r="AI16" i="32"/>
  <c r="AI14" i="32"/>
  <c r="AI12" i="32"/>
  <c r="AH26" i="32"/>
  <c r="AB19" i="31"/>
  <c r="Q28" i="31" s="1"/>
  <c r="AG19" i="31"/>
  <c r="AI19" i="31" s="1"/>
  <c r="M19" i="31"/>
  <c r="M28" i="31" s="1"/>
  <c r="X19" i="31"/>
  <c r="K19" i="30"/>
  <c r="M26" i="30" s="1"/>
  <c r="J19" i="30"/>
  <c r="M25" i="30" s="1"/>
  <c r="L19" i="30"/>
  <c r="M19" i="30"/>
  <c r="M28" i="30" s="1"/>
  <c r="AD21" i="30"/>
  <c r="M21" i="30" s="1"/>
  <c r="M29" i="30" s="1"/>
  <c r="AB20" i="30"/>
  <c r="W19" i="30"/>
  <c r="V23" i="30" s="1"/>
  <c r="AA19" i="29"/>
  <c r="AB21" i="29" s="1"/>
  <c r="L21" i="29" s="1"/>
  <c r="L28" i="29" s="1"/>
  <c r="L29" i="29"/>
  <c r="M18" i="28"/>
  <c r="N24" i="28" s="1"/>
  <c r="N27" i="28" s="1"/>
  <c r="L18" i="28"/>
  <c r="N23" i="28" s="1"/>
  <c r="J26" i="27"/>
  <c r="L32" i="27" s="1"/>
  <c r="L36" i="27" s="1"/>
  <c r="L26" i="27"/>
  <c r="L34" i="27" s="1"/>
  <c r="N25" i="26"/>
  <c r="M34" i="26" s="1"/>
  <c r="M37" i="26" s="1"/>
  <c r="L19" i="25"/>
  <c r="J15" i="25"/>
  <c r="L21" i="25" s="1"/>
  <c r="T15" i="25"/>
  <c r="U22" i="25" s="1"/>
  <c r="S15" i="25"/>
  <c r="U21" i="25" s="1"/>
  <c r="U24" i="25" s="1"/>
  <c r="N28" i="24"/>
  <c r="J15" i="24"/>
  <c r="L72" i="24" s="1"/>
  <c r="J11" i="24"/>
  <c r="K74" i="24" s="1"/>
  <c r="J72" i="24"/>
  <c r="J78" i="24" s="1"/>
  <c r="K84" i="24" s="1"/>
  <c r="J17" i="24"/>
  <c r="L74" i="24" s="1"/>
  <c r="J9" i="24"/>
  <c r="J74" i="24"/>
  <c r="J13" i="24"/>
  <c r="K76" i="24" s="1"/>
  <c r="J47" i="24"/>
  <c r="J76" i="24"/>
  <c r="J21" i="24"/>
  <c r="J19" i="24"/>
  <c r="L76" i="24" s="1"/>
  <c r="J45" i="24"/>
  <c r="P49" i="24"/>
  <c r="P51" i="24" s="1"/>
  <c r="I49" i="24"/>
  <c r="J49" i="24"/>
  <c r="N49" i="24"/>
  <c r="N51" i="24" s="1"/>
  <c r="C51" i="24"/>
  <c r="I51" i="24"/>
  <c r="K56" i="24" s="1"/>
  <c r="F78" i="24"/>
  <c r="K81" i="24" s="1"/>
  <c r="F51" i="24"/>
  <c r="K54" i="24" s="1"/>
  <c r="N29" i="24"/>
  <c r="K26" i="24"/>
  <c r="I72" i="24"/>
  <c r="I78" i="24" s="1"/>
  <c r="K83" i="24" s="1"/>
  <c r="P78" i="24"/>
  <c r="I76" i="24"/>
  <c r="I23" i="24"/>
  <c r="K28" i="24" s="1"/>
  <c r="S87" i="23"/>
  <c r="U93" i="23" s="1"/>
  <c r="S25" i="23"/>
  <c r="U31" i="23" s="1"/>
  <c r="J87" i="23"/>
  <c r="L93" i="23" s="1"/>
  <c r="T54" i="23"/>
  <c r="U61" i="23" s="1"/>
  <c r="U29" i="23"/>
  <c r="T25" i="23"/>
  <c r="U32" i="23" s="1"/>
  <c r="S54" i="23"/>
  <c r="U60" i="23" s="1"/>
  <c r="L96" i="23"/>
  <c r="U96" i="23"/>
  <c r="J25" i="23"/>
  <c r="L31" i="23" s="1"/>
  <c r="L34" i="23" s="1"/>
  <c r="J54" i="23"/>
  <c r="L60" i="23" s="1"/>
  <c r="L63" i="23"/>
  <c r="CW28" i="22"/>
  <c r="CW55" i="22" s="1"/>
  <c r="I28" i="22"/>
  <c r="AW41" i="22"/>
  <c r="DC55" i="22"/>
  <c r="BI41" i="22"/>
  <c r="CZ20" i="22"/>
  <c r="BH14" i="22"/>
  <c r="AZ10" i="22"/>
  <c r="AZ37" i="22" s="1"/>
  <c r="AH8" i="22"/>
  <c r="AY12" i="22"/>
  <c r="AY28" i="22" s="1"/>
  <c r="AY56" i="22" s="1"/>
  <c r="DA28" i="22"/>
  <c r="AH10" i="22"/>
  <c r="R10" i="22"/>
  <c r="BO12" i="22"/>
  <c r="R8" i="22"/>
  <c r="AV54" i="22"/>
  <c r="BC26" i="22"/>
  <c r="CQ37" i="22"/>
  <c r="CB8" i="22"/>
  <c r="BC20" i="22"/>
  <c r="AV48" i="22"/>
  <c r="AV28" i="22"/>
  <c r="BY12" i="22"/>
  <c r="AK12" i="22"/>
  <c r="CH35" i="22"/>
  <c r="CH14" i="22"/>
  <c r="BQ39" i="22"/>
  <c r="AY39" i="22"/>
  <c r="BU37" i="22"/>
  <c r="CB10" i="22"/>
  <c r="BQ37" i="22"/>
  <c r="BV14" i="22"/>
  <c r="BV35" i="22"/>
  <c r="BV41" i="22" s="1"/>
  <c r="BU14" i="22"/>
  <c r="CX55" i="22"/>
  <c r="CW57" i="22" s="1"/>
  <c r="CZ22" i="22"/>
  <c r="CZ12" i="22"/>
  <c r="CZ26" i="22"/>
  <c r="CZ14" i="22"/>
  <c r="CZ8" i="22"/>
  <c r="CL8" i="22"/>
  <c r="CL35" i="22" s="1"/>
  <c r="AS8" i="22"/>
  <c r="AS14" i="22" s="1"/>
  <c r="CL14" i="22" s="1"/>
  <c r="AV52" i="22"/>
  <c r="BC24" i="22"/>
  <c r="CK8" i="22"/>
  <c r="CK35" i="22" s="1"/>
  <c r="AP8" i="22"/>
  <c r="AP14" i="22" s="1"/>
  <c r="CK14" i="22" s="1"/>
  <c r="CK41" i="22" s="1"/>
  <c r="Z14" i="22"/>
  <c r="BK14" i="22" s="1"/>
  <c r="BK41" i="22" s="1"/>
  <c r="AK8" i="22"/>
  <c r="CD35" i="22"/>
  <c r="AW48" i="22"/>
  <c r="AW56" i="22" s="1"/>
  <c r="AW28" i="22"/>
  <c r="BI14" i="22"/>
  <c r="CZ18" i="22"/>
  <c r="CZ10" i="22"/>
  <c r="BL8" i="22"/>
  <c r="AC8" i="22"/>
  <c r="CZ24" i="22"/>
  <c r="AV50" i="22"/>
  <c r="BC22" i="22"/>
  <c r="BH41" i="22"/>
  <c r="AZ12" i="22"/>
  <c r="BC12" i="22" s="1"/>
  <c r="U12" i="22"/>
  <c r="AC12" i="22"/>
  <c r="AV35" i="22"/>
  <c r="BC8" i="22"/>
  <c r="AV14" i="22"/>
  <c r="CO10" i="22"/>
  <c r="AV37" i="22"/>
  <c r="U8" i="22"/>
  <c r="J20" i="21"/>
  <c r="K26" i="21" s="1"/>
  <c r="J106" i="21"/>
  <c r="K112" i="21" s="1"/>
  <c r="K59" i="21"/>
  <c r="K20" i="21"/>
  <c r="K25" i="21" s="1"/>
  <c r="K28" i="21" s="1"/>
  <c r="K87" i="21"/>
  <c r="J51" i="21"/>
  <c r="K57" i="21" s="1"/>
  <c r="K114" i="21"/>
  <c r="J17" i="20"/>
  <c r="K22" i="20" s="1"/>
  <c r="I17" i="20"/>
  <c r="K23" i="20" s="1"/>
  <c r="K25" i="20"/>
  <c r="J82" i="19"/>
  <c r="J18" i="19"/>
  <c r="I52" i="19"/>
  <c r="K57" i="19" s="1"/>
  <c r="K60" i="19" s="1"/>
  <c r="I86" i="19"/>
  <c r="J52" i="19"/>
  <c r="K58" i="19" s="1"/>
  <c r="I18" i="19"/>
  <c r="I82" i="19"/>
  <c r="J18" i="18"/>
  <c r="K24" i="18" s="1"/>
  <c r="K26" i="18" s="1"/>
  <c r="H59" i="14"/>
  <c r="I58" i="14" s="1"/>
  <c r="K58" i="14" s="1"/>
  <c r="I57" i="14"/>
  <c r="H553" i="13"/>
  <c r="H550" i="13"/>
  <c r="H552" i="13"/>
  <c r="H551" i="13"/>
  <c r="P32" i="3"/>
  <c r="Q32" i="3" s="1"/>
  <c r="P14" i="3"/>
  <c r="W14" i="3" s="1"/>
  <c r="P33" i="3"/>
  <c r="P39" i="3"/>
  <c r="P42" i="3"/>
  <c r="P29" i="3"/>
  <c r="P35" i="3"/>
  <c r="Q38" i="3"/>
  <c r="W38" i="3"/>
  <c r="P36" i="3"/>
  <c r="P10" i="3"/>
  <c r="P17" i="3"/>
  <c r="P20" i="3"/>
  <c r="P23" i="3"/>
  <c r="P26" i="3"/>
  <c r="P45" i="3"/>
  <c r="P13" i="3"/>
  <c r="P16" i="3"/>
  <c r="P19" i="3"/>
  <c r="P30" i="3"/>
  <c r="P41" i="3"/>
  <c r="P25" i="3"/>
  <c r="P44" i="3"/>
  <c r="P28" i="3"/>
  <c r="P12" i="3"/>
  <c r="P31" i="3"/>
  <c r="P15" i="3"/>
  <c r="P18" i="3"/>
  <c r="P34" i="3"/>
  <c r="P37" i="3"/>
  <c r="P21" i="3"/>
  <c r="P40" i="3"/>
  <c r="P24" i="3"/>
  <c r="P43" i="3"/>
  <c r="P27" i="3"/>
  <c r="P11" i="3"/>
  <c r="P22" i="3"/>
  <c r="S29" i="33" l="1"/>
  <c r="E376" i="13"/>
  <c r="Q14" i="3"/>
  <c r="T21" i="44"/>
  <c r="T27" i="44" s="1"/>
  <c r="O28" i="43"/>
  <c r="K10" i="43"/>
  <c r="K14" i="43"/>
  <c r="K9" i="43"/>
  <c r="K8" i="43" s="1"/>
  <c r="O30" i="43"/>
  <c r="K13" i="43"/>
  <c r="O26" i="43"/>
  <c r="J8" i="43"/>
  <c r="J12" i="43"/>
  <c r="J18" i="43"/>
  <c r="J20" i="43"/>
  <c r="S43" i="39"/>
  <c r="S41" i="39"/>
  <c r="S48" i="39" s="1"/>
  <c r="T54" i="39" s="1"/>
  <c r="S45" i="39"/>
  <c r="R45" i="39"/>
  <c r="R43" i="39"/>
  <c r="R41" i="39"/>
  <c r="R48" i="39" s="1"/>
  <c r="T53" i="39" s="1"/>
  <c r="T56" i="39" s="1"/>
  <c r="S107" i="39"/>
  <c r="S109" i="39"/>
  <c r="S105" i="39"/>
  <c r="S112" i="39" s="1"/>
  <c r="T118" i="39" s="1"/>
  <c r="V16" i="39"/>
  <c r="I144" i="39"/>
  <c r="K149" i="39" s="1"/>
  <c r="K21" i="39"/>
  <c r="K24" i="39" s="1"/>
  <c r="R77" i="39"/>
  <c r="R75" i="39"/>
  <c r="R73" i="39"/>
  <c r="R80" i="39" s="1"/>
  <c r="T85" i="39" s="1"/>
  <c r="S75" i="39"/>
  <c r="S73" i="39"/>
  <c r="S77" i="39"/>
  <c r="J144" i="39"/>
  <c r="K150" i="39" s="1"/>
  <c r="K22" i="39"/>
  <c r="W16" i="39"/>
  <c r="R109" i="39"/>
  <c r="R107" i="39"/>
  <c r="R105" i="39"/>
  <c r="O114" i="38"/>
  <c r="N18" i="38"/>
  <c r="N75" i="38"/>
  <c r="O139" i="38"/>
  <c r="O146" i="38" s="1"/>
  <c r="P153" i="38" s="1"/>
  <c r="O46" i="37"/>
  <c r="O42" i="37"/>
  <c r="O78" i="37"/>
  <c r="O44" i="37"/>
  <c r="O74" i="37"/>
  <c r="O115" i="37"/>
  <c r="O108" i="37" s="1"/>
  <c r="N46" i="37"/>
  <c r="N42" i="37"/>
  <c r="O160" i="37"/>
  <c r="N44" i="37"/>
  <c r="O19" i="37"/>
  <c r="O12" i="37" s="1"/>
  <c r="O140" i="37" s="1"/>
  <c r="O83" i="37"/>
  <c r="O76" i="37" s="1"/>
  <c r="N74" i="37"/>
  <c r="N76" i="37"/>
  <c r="N139" i="36"/>
  <c r="N146" i="36" s="1"/>
  <c r="P152" i="36" s="1"/>
  <c r="P155" i="36" s="1"/>
  <c r="N18" i="36"/>
  <c r="O12" i="35"/>
  <c r="O44" i="35"/>
  <c r="O106" i="35"/>
  <c r="O113" i="35" s="1"/>
  <c r="N10" i="35"/>
  <c r="N46" i="35"/>
  <c r="N42" i="35"/>
  <c r="O76" i="35"/>
  <c r="O14" i="35"/>
  <c r="O108" i="35"/>
  <c r="O46" i="35"/>
  <c r="O10" i="35"/>
  <c r="O78" i="35"/>
  <c r="N78" i="35"/>
  <c r="N12" i="35"/>
  <c r="N74" i="35"/>
  <c r="N76" i="35"/>
  <c r="O110" i="35"/>
  <c r="N14" i="35"/>
  <c r="N142" i="35" s="1"/>
  <c r="N106" i="35"/>
  <c r="N113" i="35" s="1"/>
  <c r="N44" i="35"/>
  <c r="N110" i="35"/>
  <c r="O74" i="35"/>
  <c r="O42" i="35"/>
  <c r="O49" i="35" s="1"/>
  <c r="M35" i="34"/>
  <c r="R87" i="34"/>
  <c r="D87" i="34" s="1"/>
  <c r="O87" i="34"/>
  <c r="W14" i="34"/>
  <c r="M14" i="34" s="1"/>
  <c r="F132" i="34"/>
  <c r="O96" i="34"/>
  <c r="S96" i="34"/>
  <c r="S102" i="34" s="1"/>
  <c r="D102" i="34" s="1"/>
  <c r="W25" i="34"/>
  <c r="M25" i="34" s="1"/>
  <c r="F136" i="34"/>
  <c r="O100" i="34"/>
  <c r="S100" i="34"/>
  <c r="P21" i="34"/>
  <c r="Q21" i="34" s="1"/>
  <c r="X21" i="34" s="1"/>
  <c r="P10" i="34"/>
  <c r="Q10" i="34" s="1"/>
  <c r="O10" i="34"/>
  <c r="P23" i="34"/>
  <c r="Q23" i="34" s="1"/>
  <c r="X23" i="34" s="1"/>
  <c r="P12" i="34"/>
  <c r="Q12" i="34" s="1"/>
  <c r="O12" i="34"/>
  <c r="E35" i="34"/>
  <c r="AA16" i="34"/>
  <c r="I66" i="34"/>
  <c r="P19" i="34"/>
  <c r="Q19" i="34" s="1"/>
  <c r="X19" i="34" s="1"/>
  <c r="X25" i="34" s="1"/>
  <c r="O8" i="34"/>
  <c r="O14" i="34" s="1"/>
  <c r="K41" i="34" s="1"/>
  <c r="K43" i="34" s="1"/>
  <c r="M43" i="34" s="1"/>
  <c r="P8" i="34"/>
  <c r="Q8" i="34" s="1"/>
  <c r="P57" i="33"/>
  <c r="S62" i="33"/>
  <c r="AA57" i="33"/>
  <c r="Q57" i="33"/>
  <c r="S64" i="33"/>
  <c r="AI26" i="32"/>
  <c r="AK27" i="32" s="1"/>
  <c r="M12" i="32"/>
  <c r="AM27" i="32"/>
  <c r="M16" i="32"/>
  <c r="M14" i="32"/>
  <c r="AL27" i="32"/>
  <c r="M30" i="31"/>
  <c r="AH19" i="31"/>
  <c r="AI21" i="31" s="1"/>
  <c r="M21" i="31" s="1"/>
  <c r="M29" i="31" s="1"/>
  <c r="V25" i="30"/>
  <c r="V27" i="30" s="1"/>
  <c r="M27" i="30"/>
  <c r="M30" i="30" s="1"/>
  <c r="L24" i="25"/>
  <c r="K72" i="24"/>
  <c r="K78" i="24" s="1"/>
  <c r="K85" i="24" s="1"/>
  <c r="K88" i="24" s="1"/>
  <c r="J23" i="24"/>
  <c r="K29" i="24" s="1"/>
  <c r="K31" i="24" s="1"/>
  <c r="L78" i="24"/>
  <c r="K86" i="24" s="1"/>
  <c r="J51" i="24"/>
  <c r="K57" i="24" s="1"/>
  <c r="K59" i="24" s="1"/>
  <c r="U63" i="23"/>
  <c r="U34" i="23"/>
  <c r="U14" i="22"/>
  <c r="AZ14" i="22" s="1"/>
  <c r="AZ41" i="22" s="1"/>
  <c r="CZ43" i="22"/>
  <c r="R14" i="22"/>
  <c r="AY14" i="22" s="1"/>
  <c r="AY41" i="22" s="1"/>
  <c r="AY43" i="22" s="1"/>
  <c r="BC10" i="22"/>
  <c r="BC14" i="22" s="1"/>
  <c r="AH14" i="22"/>
  <c r="BX14" i="22" s="1"/>
  <c r="BX41" i="22" s="1"/>
  <c r="CD37" i="22"/>
  <c r="AV41" i="22"/>
  <c r="BB35" i="22"/>
  <c r="BE35" i="22"/>
  <c r="CZ28" i="22"/>
  <c r="BB10" i="22"/>
  <c r="BE52" i="22"/>
  <c r="CZ39" i="22"/>
  <c r="CZ41" i="22"/>
  <c r="CZ37" i="22"/>
  <c r="CZ49" i="22"/>
  <c r="CZ53" i="22"/>
  <c r="CZ47" i="22"/>
  <c r="CZ45" i="22"/>
  <c r="CZ51" i="22"/>
  <c r="BB37" i="22"/>
  <c r="BE37" i="22"/>
  <c r="AZ39" i="22"/>
  <c r="AZ28" i="22"/>
  <c r="BB12" i="22"/>
  <c r="CO8" i="22"/>
  <c r="CO14" i="22" s="1"/>
  <c r="AV56" i="22"/>
  <c r="BE48" i="22"/>
  <c r="AK14" i="22"/>
  <c r="BY14" i="22" s="1"/>
  <c r="CA12" i="22" s="1"/>
  <c r="CN8" i="22"/>
  <c r="BY39" i="22"/>
  <c r="CB12" i="22"/>
  <c r="CB14" i="22" s="1"/>
  <c r="BC28" i="22"/>
  <c r="AC14" i="22"/>
  <c r="BL14" i="22" s="1"/>
  <c r="BB8" i="22"/>
  <c r="BE50" i="22"/>
  <c r="BL35" i="22"/>
  <c r="BO8" i="22"/>
  <c r="BO14" i="22" s="1"/>
  <c r="BU41" i="22"/>
  <c r="CZ35" i="22"/>
  <c r="CL41" i="22"/>
  <c r="CN37" i="22" s="1"/>
  <c r="CN10" i="22"/>
  <c r="CQ35" i="22"/>
  <c r="CQ41" i="22" s="1"/>
  <c r="CO37" i="22" s="1"/>
  <c r="CO35" i="22"/>
  <c r="CO41" i="22" s="1"/>
  <c r="CH41" i="22"/>
  <c r="BE54" i="22"/>
  <c r="J89" i="19"/>
  <c r="K95" i="19" s="1"/>
  <c r="K24" i="19"/>
  <c r="K23" i="19"/>
  <c r="K26" i="19" s="1"/>
  <c r="I89" i="19"/>
  <c r="K94" i="19" s="1"/>
  <c r="K97" i="19" s="1"/>
  <c r="K57" i="14"/>
  <c r="J59" i="14"/>
  <c r="H555" i="13"/>
  <c r="W32" i="3"/>
  <c r="Q27" i="3"/>
  <c r="W27" i="3"/>
  <c r="Q15" i="3"/>
  <c r="W15" i="3"/>
  <c r="Q19" i="3"/>
  <c r="W19" i="3"/>
  <c r="Q26" i="3"/>
  <c r="W26" i="3"/>
  <c r="Q37" i="3"/>
  <c r="W37" i="3"/>
  <c r="Q25" i="3"/>
  <c r="W25" i="3"/>
  <c r="Q36" i="3"/>
  <c r="W36" i="3"/>
  <c r="Q24" i="3"/>
  <c r="W24" i="3"/>
  <c r="Q13" i="3"/>
  <c r="W13" i="3"/>
  <c r="Q42" i="3"/>
  <c r="W42" i="3"/>
  <c r="Q21" i="3"/>
  <c r="W21" i="3"/>
  <c r="Q44" i="3"/>
  <c r="W44" i="3"/>
  <c r="Q10" i="3"/>
  <c r="W10" i="3"/>
  <c r="Q33" i="3"/>
  <c r="W33" i="3"/>
  <c r="Q43" i="3"/>
  <c r="W43" i="3"/>
  <c r="Q31" i="3"/>
  <c r="W31" i="3"/>
  <c r="Q16" i="3"/>
  <c r="W16" i="3"/>
  <c r="Q23" i="3"/>
  <c r="W23" i="3"/>
  <c r="Q22" i="3"/>
  <c r="W22" i="3"/>
  <c r="Q34" i="3"/>
  <c r="W34" i="3"/>
  <c r="Q12" i="3"/>
  <c r="W12" i="3"/>
  <c r="Q41" i="3"/>
  <c r="W41" i="3"/>
  <c r="Q20" i="3"/>
  <c r="W20" i="3"/>
  <c r="Q35" i="3"/>
  <c r="W35" i="3"/>
  <c r="Q11" i="3"/>
  <c r="W11" i="3"/>
  <c r="Q40" i="3"/>
  <c r="W40" i="3"/>
  <c r="Q18" i="3"/>
  <c r="W18" i="3"/>
  <c r="Q28" i="3"/>
  <c r="W28" i="3"/>
  <c r="Q30" i="3"/>
  <c r="W30" i="3"/>
  <c r="Q45" i="3"/>
  <c r="W45" i="3"/>
  <c r="Q17" i="3"/>
  <c r="W17" i="3"/>
  <c r="Q29" i="3"/>
  <c r="W29" i="3"/>
  <c r="Q39" i="3"/>
  <c r="W39" i="3"/>
  <c r="K12" i="43" l="1"/>
  <c r="K6" i="43" s="1"/>
  <c r="K22" i="43" s="1"/>
  <c r="L30" i="43" s="1"/>
  <c r="J16" i="43"/>
  <c r="J6" i="43"/>
  <c r="J22" i="43" s="1"/>
  <c r="L28" i="43" s="1"/>
  <c r="S9" i="39"/>
  <c r="S11" i="39"/>
  <c r="AI11" i="39" s="1"/>
  <c r="S13" i="39"/>
  <c r="AI13" i="39" s="1"/>
  <c r="R13" i="39"/>
  <c r="AH13" i="39" s="1"/>
  <c r="R9" i="39"/>
  <c r="R11" i="39"/>
  <c r="AH11" i="39" s="1"/>
  <c r="R112" i="39"/>
  <c r="T117" i="39" s="1"/>
  <c r="T120" i="39" s="1"/>
  <c r="S80" i="39"/>
  <c r="T86" i="39" s="1"/>
  <c r="T88" i="39" s="1"/>
  <c r="K152" i="39"/>
  <c r="N82" i="38"/>
  <c r="N107" i="38"/>
  <c r="N114" i="38" s="1"/>
  <c r="O81" i="37"/>
  <c r="N49" i="37"/>
  <c r="O110" i="37"/>
  <c r="N106" i="37"/>
  <c r="N78" i="37"/>
  <c r="N81" i="37" s="1"/>
  <c r="O106" i="37"/>
  <c r="O113" i="37" s="1"/>
  <c r="N12" i="37"/>
  <c r="N140" i="37" s="1"/>
  <c r="N14" i="37"/>
  <c r="O10" i="37"/>
  <c r="N10" i="37"/>
  <c r="N110" i="37"/>
  <c r="N108" i="37"/>
  <c r="O49" i="37"/>
  <c r="O14" i="37"/>
  <c r="O138" i="35"/>
  <c r="O145" i="35" s="1"/>
  <c r="P155" i="35" s="1"/>
  <c r="O17" i="35"/>
  <c r="O142" i="35"/>
  <c r="N81" i="35"/>
  <c r="N140" i="35"/>
  <c r="N49" i="35"/>
  <c r="N138" i="35"/>
  <c r="N17" i="35"/>
  <c r="O81" i="35"/>
  <c r="O140" i="35"/>
  <c r="O89" i="34"/>
  <c r="R89" i="34"/>
  <c r="D89" i="34" s="1"/>
  <c r="H136" i="34"/>
  <c r="S87" i="34"/>
  <c r="E134" i="34"/>
  <c r="I134" i="34" s="1"/>
  <c r="P25" i="34"/>
  <c r="Q25" i="34" s="1"/>
  <c r="O25" i="34"/>
  <c r="D112" i="34"/>
  <c r="O102" i="34"/>
  <c r="P91" i="34" s="1"/>
  <c r="C118" i="34" s="1"/>
  <c r="L112" i="34"/>
  <c r="F138" i="34"/>
  <c r="H134" i="34" s="1"/>
  <c r="P102" i="34"/>
  <c r="AF12" i="34"/>
  <c r="X12" i="34"/>
  <c r="AF10" i="34"/>
  <c r="X10" i="34"/>
  <c r="R85" i="34"/>
  <c r="D85" i="34" s="1"/>
  <c r="O85" i="34"/>
  <c r="O91" i="34" s="1"/>
  <c r="K118" i="34" s="1"/>
  <c r="AF8" i="34"/>
  <c r="AF14" i="34" s="1"/>
  <c r="X8" i="34"/>
  <c r="X14" i="34" s="1"/>
  <c r="S63" i="33"/>
  <c r="M26" i="32"/>
  <c r="M34" i="32" s="1"/>
  <c r="AK30" i="32"/>
  <c r="N28" i="32" s="1"/>
  <c r="M36" i="32" s="1"/>
  <c r="CK43" i="22"/>
  <c r="BL41" i="22"/>
  <c r="BN35" i="22" s="1"/>
  <c r="BN10" i="22"/>
  <c r="BN12" i="22"/>
  <c r="CN14" i="22"/>
  <c r="AZ56" i="22"/>
  <c r="AY58" i="22" s="1"/>
  <c r="BB20" i="22"/>
  <c r="BB26" i="22"/>
  <c r="BB22" i="22"/>
  <c r="BB24" i="22"/>
  <c r="BN8" i="22"/>
  <c r="CD39" i="22"/>
  <c r="CD41" i="22" s="1"/>
  <c r="CN35" i="22"/>
  <c r="CN41" i="22" s="1"/>
  <c r="CZ55" i="22"/>
  <c r="BQ35" i="22"/>
  <c r="BQ41" i="22" s="1"/>
  <c r="BO35" i="22" s="1"/>
  <c r="BB14" i="22"/>
  <c r="BY41" i="22"/>
  <c r="CA39" i="22" s="1"/>
  <c r="CA10" i="22"/>
  <c r="CA8" i="22"/>
  <c r="BE39" i="22"/>
  <c r="BE41" i="22" s="1"/>
  <c r="BB39" i="22"/>
  <c r="BB41" i="22" s="1"/>
  <c r="BE56" i="22"/>
  <c r="DA37" i="22"/>
  <c r="DA47" i="22"/>
  <c r="DA45" i="22"/>
  <c r="DA41" i="22"/>
  <c r="DA39" i="22"/>
  <c r="DA49" i="22"/>
  <c r="DA53" i="22"/>
  <c r="DA51" i="22"/>
  <c r="DA43" i="22"/>
  <c r="DA35" i="22"/>
  <c r="L57" i="14"/>
  <c r="M59" i="14" s="1"/>
  <c r="O59" i="14" s="1"/>
  <c r="K59" i="14"/>
  <c r="L58" i="14" s="1"/>
  <c r="F564" i="13"/>
  <c r="F563" i="13"/>
  <c r="F561" i="13"/>
  <c r="F562" i="13"/>
  <c r="Q47" i="3"/>
  <c r="L34" i="43" l="1"/>
  <c r="S16" i="39"/>
  <c r="T22" i="39" s="1"/>
  <c r="AI9" i="39"/>
  <c r="AI16" i="39" s="1"/>
  <c r="AJ22" i="39" s="1"/>
  <c r="R16" i="39"/>
  <c r="T21" i="39" s="1"/>
  <c r="AH9" i="39"/>
  <c r="AH16" i="39" s="1"/>
  <c r="AJ21" i="39" s="1"/>
  <c r="N139" i="38"/>
  <c r="N146" i="38" s="1"/>
  <c r="P152" i="38" s="1"/>
  <c r="P155" i="38" s="1"/>
  <c r="O142" i="37"/>
  <c r="N138" i="37"/>
  <c r="N17" i="37"/>
  <c r="O138" i="37"/>
  <c r="O145" i="37" s="1"/>
  <c r="P166" i="37" s="1"/>
  <c r="O17" i="37"/>
  <c r="N142" i="37"/>
  <c r="N113" i="37"/>
  <c r="N145" i="35"/>
  <c r="P154" i="35" s="1"/>
  <c r="P157" i="35" s="1"/>
  <c r="H132" i="34"/>
  <c r="H138" i="34" s="1"/>
  <c r="I141" i="34" s="1"/>
  <c r="E136" i="34"/>
  <c r="I136" i="34" s="1"/>
  <c r="S89" i="34"/>
  <c r="D118" i="34"/>
  <c r="L118" i="34"/>
  <c r="M118" i="34" s="1"/>
  <c r="D41" i="34"/>
  <c r="L41" i="34"/>
  <c r="M41" i="34" s="1"/>
  <c r="M45" i="34" s="1"/>
  <c r="S85" i="34"/>
  <c r="S91" i="34" s="1"/>
  <c r="D91" i="34" s="1"/>
  <c r="E132" i="34"/>
  <c r="I132" i="34" s="1"/>
  <c r="I138" i="34" s="1"/>
  <c r="I142" i="34" s="1"/>
  <c r="E118" i="34"/>
  <c r="P14" i="34"/>
  <c r="AD14" i="34"/>
  <c r="AE12" i="34"/>
  <c r="AE10" i="34"/>
  <c r="AE8" i="34"/>
  <c r="AE14" i="34" s="1"/>
  <c r="S67" i="33"/>
  <c r="M37" i="32"/>
  <c r="BN14" i="22"/>
  <c r="BX43" i="22"/>
  <c r="CA14" i="22"/>
  <c r="BC35" i="22"/>
  <c r="BC37" i="22"/>
  <c r="BC39" i="22"/>
  <c r="CB35" i="22"/>
  <c r="CB37" i="22"/>
  <c r="BC52" i="22"/>
  <c r="BC48" i="22"/>
  <c r="BC54" i="22"/>
  <c r="BC50" i="22"/>
  <c r="CB39" i="22"/>
  <c r="BB28" i="22"/>
  <c r="DA55" i="22"/>
  <c r="CA35" i="22"/>
  <c r="CA37" i="22"/>
  <c r="BO37" i="22"/>
  <c r="BO41" i="22" s="1"/>
  <c r="BO39" i="22"/>
  <c r="BB50" i="22"/>
  <c r="BB54" i="22"/>
  <c r="BB52" i="22"/>
  <c r="BB48" i="22"/>
  <c r="BN37" i="22"/>
  <c r="BN39" i="22"/>
  <c r="BK43" i="22"/>
  <c r="H564" i="13"/>
  <c r="H562" i="13"/>
  <c r="H561" i="13"/>
  <c r="H563" i="13"/>
  <c r="AJ24" i="39" l="1"/>
  <c r="T24" i="39"/>
  <c r="N145" i="37"/>
  <c r="P165" i="37" s="1"/>
  <c r="P168" i="37" s="1"/>
  <c r="C41" i="34"/>
  <c r="Q14" i="34"/>
  <c r="AE16" i="34"/>
  <c r="AF16" i="34"/>
  <c r="C112" i="34"/>
  <c r="K112" i="34"/>
  <c r="E138" i="34"/>
  <c r="I140" i="34" s="1"/>
  <c r="I143" i="34" s="1"/>
  <c r="BN41" i="22"/>
  <c r="CB41" i="22"/>
  <c r="CA41" i="22"/>
  <c r="BC56" i="22"/>
  <c r="BB56" i="22"/>
  <c r="BC41" i="22"/>
  <c r="H566" i="13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AC30" i="11"/>
  <c r="E30" i="11"/>
  <c r="D30" i="11"/>
  <c r="O7" i="11" s="1"/>
  <c r="AE28" i="11"/>
  <c r="AD28" i="11"/>
  <c r="U28" i="11"/>
  <c r="S28" i="11"/>
  <c r="I28" i="11"/>
  <c r="J28" i="11" s="1"/>
  <c r="AE27" i="11"/>
  <c r="AF27" i="11" s="1"/>
  <c r="AD27" i="11"/>
  <c r="U27" i="11"/>
  <c r="S27" i="11"/>
  <c r="J27" i="11"/>
  <c r="I27" i="11"/>
  <c r="AE26" i="11"/>
  <c r="AD26" i="11"/>
  <c r="U26" i="11"/>
  <c r="S26" i="11"/>
  <c r="I26" i="11"/>
  <c r="J26" i="11" s="1"/>
  <c r="AE25" i="11"/>
  <c r="AF25" i="11" s="1"/>
  <c r="AD25" i="11"/>
  <c r="U25" i="11"/>
  <c r="S25" i="11"/>
  <c r="I25" i="11"/>
  <c r="J25" i="11" s="1"/>
  <c r="AE24" i="11"/>
  <c r="AD24" i="11"/>
  <c r="U24" i="11"/>
  <c r="S24" i="11"/>
  <c r="I24" i="11"/>
  <c r="J24" i="11" s="1"/>
  <c r="AE23" i="11"/>
  <c r="AF23" i="11" s="1"/>
  <c r="AD23" i="11"/>
  <c r="U23" i="11"/>
  <c r="S23" i="11"/>
  <c r="I23" i="11"/>
  <c r="J23" i="11" s="1"/>
  <c r="AE22" i="11"/>
  <c r="AF22" i="11" s="1"/>
  <c r="AD22" i="11"/>
  <c r="U22" i="11"/>
  <c r="S22" i="11"/>
  <c r="I22" i="11"/>
  <c r="J22" i="11" s="1"/>
  <c r="AE21" i="11"/>
  <c r="AD21" i="11"/>
  <c r="U21" i="11"/>
  <c r="S21" i="11"/>
  <c r="I21" i="11"/>
  <c r="J21" i="11" s="1"/>
  <c r="AF20" i="11"/>
  <c r="AE20" i="11"/>
  <c r="AD20" i="11"/>
  <c r="U20" i="11"/>
  <c r="S20" i="11"/>
  <c r="O20" i="11"/>
  <c r="I20" i="11"/>
  <c r="J20" i="11" s="1"/>
  <c r="AE19" i="11"/>
  <c r="AD19" i="11"/>
  <c r="U19" i="11"/>
  <c r="S19" i="11"/>
  <c r="O19" i="11"/>
  <c r="I19" i="11"/>
  <c r="J19" i="11" s="1"/>
  <c r="AE18" i="11"/>
  <c r="AD18" i="11"/>
  <c r="U18" i="11"/>
  <c r="S18" i="11"/>
  <c r="I18" i="11"/>
  <c r="J18" i="11" s="1"/>
  <c r="AE17" i="11"/>
  <c r="AD17" i="11"/>
  <c r="U17" i="11"/>
  <c r="S17" i="11"/>
  <c r="I17" i="11"/>
  <c r="J17" i="11" s="1"/>
  <c r="AE16" i="11"/>
  <c r="AD16" i="11"/>
  <c r="U16" i="11"/>
  <c r="S16" i="11"/>
  <c r="I16" i="11"/>
  <c r="J16" i="11" s="1"/>
  <c r="AF15" i="11"/>
  <c r="AE15" i="11"/>
  <c r="AD15" i="11"/>
  <c r="U15" i="11"/>
  <c r="S15" i="11"/>
  <c r="I15" i="11"/>
  <c r="J15" i="11" s="1"/>
  <c r="AE14" i="11"/>
  <c r="AD14" i="11"/>
  <c r="U14" i="11"/>
  <c r="S14" i="11"/>
  <c r="I14" i="11"/>
  <c r="J14" i="11" s="1"/>
  <c r="AE13" i="11"/>
  <c r="AF13" i="11" s="1"/>
  <c r="AD13" i="11"/>
  <c r="U13" i="11"/>
  <c r="S13" i="11"/>
  <c r="I13" i="11"/>
  <c r="J13" i="11" s="1"/>
  <c r="AE12" i="11"/>
  <c r="AD12" i="11"/>
  <c r="U12" i="11"/>
  <c r="S12" i="11"/>
  <c r="I12" i="11"/>
  <c r="J12" i="11" s="1"/>
  <c r="AE11" i="11"/>
  <c r="AD11" i="11"/>
  <c r="U11" i="11"/>
  <c r="S11" i="11"/>
  <c r="I11" i="11"/>
  <c r="J11" i="11" s="1"/>
  <c r="AE10" i="11"/>
  <c r="AD10" i="11"/>
  <c r="U10" i="11"/>
  <c r="S10" i="11"/>
  <c r="I10" i="11"/>
  <c r="J10" i="11" s="1"/>
  <c r="AE9" i="11"/>
  <c r="AD9" i="11"/>
  <c r="AF9" i="11" s="1"/>
  <c r="U9" i="11"/>
  <c r="S9" i="11"/>
  <c r="I9" i="11"/>
  <c r="J9" i="11" s="1"/>
  <c r="M112" i="34" l="1"/>
  <c r="K120" i="34"/>
  <c r="M120" i="34" s="1"/>
  <c r="C120" i="34"/>
  <c r="E120" i="34" s="1"/>
  <c r="E112" i="34"/>
  <c r="E41" i="34"/>
  <c r="C43" i="34"/>
  <c r="E43" i="34" s="1"/>
  <c r="F574" i="13"/>
  <c r="H574" i="13" s="1"/>
  <c r="F593" i="13" s="1"/>
  <c r="F575" i="13"/>
  <c r="H575" i="13" s="1"/>
  <c r="G593" i="13" s="1"/>
  <c r="F572" i="13"/>
  <c r="H572" i="13" s="1"/>
  <c r="D593" i="13" s="1"/>
  <c r="F573" i="13"/>
  <c r="H573" i="13" s="1"/>
  <c r="E593" i="13" s="1"/>
  <c r="AF10" i="11"/>
  <c r="AF11" i="11"/>
  <c r="AF18" i="11"/>
  <c r="AF26" i="11"/>
  <c r="AF28" i="11"/>
  <c r="S30" i="11"/>
  <c r="AF19" i="11"/>
  <c r="AF21" i="11"/>
  <c r="AF24" i="11"/>
  <c r="AF12" i="11"/>
  <c r="AF14" i="11"/>
  <c r="AF16" i="11"/>
  <c r="AF17" i="11"/>
  <c r="U30" i="11"/>
  <c r="J30" i="11"/>
  <c r="I30" i="11"/>
  <c r="F34" i="11" s="1"/>
  <c r="F32" i="11" s="1"/>
  <c r="H593" i="13" l="1"/>
  <c r="E122" i="34"/>
  <c r="E45" i="34"/>
  <c r="M122" i="34"/>
  <c r="H577" i="13"/>
  <c r="H584" i="13" s="1"/>
  <c r="E595" i="13" s="1"/>
  <c r="AF30" i="11"/>
  <c r="AP10" i="11"/>
  <c r="O13" i="11"/>
  <c r="O15" i="11" s="1"/>
  <c r="Z7" i="11"/>
  <c r="F27" i="11"/>
  <c r="G27" i="11" s="1"/>
  <c r="F24" i="11"/>
  <c r="G24" i="11" s="1"/>
  <c r="O22" i="11"/>
  <c r="F22" i="11"/>
  <c r="G22" i="11" s="1"/>
  <c r="F20" i="11"/>
  <c r="G20" i="11" s="1"/>
  <c r="F17" i="11"/>
  <c r="G17" i="11" s="1"/>
  <c r="F15" i="11"/>
  <c r="G15" i="11" s="1"/>
  <c r="F13" i="11"/>
  <c r="G13" i="11" s="1"/>
  <c r="F11" i="11"/>
  <c r="G11" i="11" s="1"/>
  <c r="F19" i="11"/>
  <c r="G19" i="11" s="1"/>
  <c r="F16" i="11"/>
  <c r="G16" i="11" s="1"/>
  <c r="F14" i="11"/>
  <c r="G14" i="11" s="1"/>
  <c r="F10" i="11"/>
  <c r="G10" i="11" s="1"/>
  <c r="F23" i="11"/>
  <c r="G23" i="11" s="1"/>
  <c r="F21" i="11"/>
  <c r="G21" i="11" s="1"/>
  <c r="F12" i="11"/>
  <c r="G12" i="11" s="1"/>
  <c r="F9" i="11"/>
  <c r="F26" i="11"/>
  <c r="G26" i="11" s="1"/>
  <c r="F28" i="11"/>
  <c r="G28" i="11" s="1"/>
  <c r="F25" i="11"/>
  <c r="G25" i="11" s="1"/>
  <c r="F18" i="11"/>
  <c r="G18" i="11" s="1"/>
  <c r="AP8" i="11"/>
  <c r="AK11" i="11"/>
  <c r="AK7" i="11"/>
  <c r="AK9" i="11" s="1"/>
  <c r="H583" i="13" l="1"/>
  <c r="D595" i="13" s="1"/>
  <c r="H585" i="13"/>
  <c r="F595" i="13" s="1"/>
  <c r="H586" i="13"/>
  <c r="G595" i="13" s="1"/>
  <c r="AP16" i="11"/>
  <c r="AP14" i="11"/>
  <c r="G9" i="11"/>
  <c r="G30" i="11" s="1"/>
  <c r="O9" i="11" s="1"/>
  <c r="O11" i="11" s="1"/>
  <c r="F30" i="11"/>
  <c r="AP22" i="11"/>
  <c r="AP20" i="11"/>
  <c r="O26" i="11"/>
  <c r="O28" i="11"/>
  <c r="H595" i="13" l="1"/>
  <c r="H588" i="13"/>
  <c r="AE28" i="1"/>
  <c r="AE26" i="1"/>
  <c r="AE24" i="1"/>
  <c r="AE22" i="1"/>
  <c r="AE7" i="4" l="1"/>
  <c r="AG7" i="4" s="1"/>
  <c r="H62" i="4"/>
  <c r="H60" i="4"/>
  <c r="H58" i="4"/>
  <c r="L6" i="4"/>
  <c r="L10" i="4" l="1"/>
  <c r="AE8" i="4"/>
  <c r="AE9" i="4" l="1"/>
  <c r="AG8" i="4"/>
  <c r="AE10" i="4" l="1"/>
  <c r="AG9" i="4"/>
  <c r="AE11" i="4" l="1"/>
  <c r="AG10" i="4"/>
  <c r="AE12" i="4" l="1"/>
  <c r="AG11" i="4"/>
  <c r="AE13" i="4" l="1"/>
  <c r="AG12" i="4"/>
  <c r="AE14" i="4" l="1"/>
  <c r="AG13" i="4"/>
  <c r="AE15" i="4" l="1"/>
  <c r="AG14" i="4"/>
  <c r="AE16" i="4" l="1"/>
  <c r="AG15" i="4"/>
  <c r="AE17" i="4" l="1"/>
  <c r="AG16" i="4"/>
  <c r="AE18" i="4" l="1"/>
  <c r="AG17" i="4"/>
  <c r="AE19" i="4" l="1"/>
  <c r="AG18" i="4"/>
  <c r="AE20" i="4" l="1"/>
  <c r="AG19" i="4"/>
  <c r="AE21" i="4" l="1"/>
  <c r="AG20" i="4"/>
  <c r="AE22" i="4" l="1"/>
  <c r="AG21" i="4"/>
  <c r="AE23" i="4" l="1"/>
  <c r="AG22" i="4"/>
  <c r="AE24" i="4" l="1"/>
  <c r="AG23" i="4"/>
  <c r="AE25" i="4" l="1"/>
  <c r="AG24" i="4"/>
  <c r="AE26" i="4" l="1"/>
  <c r="AG25" i="4"/>
  <c r="AE27" i="4" l="1"/>
  <c r="AG26" i="4"/>
  <c r="AE28" i="4" l="1"/>
  <c r="AG27" i="4"/>
  <c r="AE29" i="4" l="1"/>
  <c r="AG28" i="4"/>
  <c r="AE30" i="4" l="1"/>
  <c r="AG29" i="4"/>
  <c r="AE31" i="4" l="1"/>
  <c r="AG30" i="4"/>
  <c r="AE32" i="4" l="1"/>
  <c r="AG31" i="4"/>
  <c r="AE33" i="4" l="1"/>
  <c r="AG32" i="4"/>
  <c r="AE34" i="4" l="1"/>
  <c r="AG33" i="4"/>
  <c r="AE35" i="4" l="1"/>
  <c r="AG34" i="4"/>
  <c r="AE36" i="4" l="1"/>
  <c r="AG35" i="4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AE37" i="4" l="1"/>
  <c r="AG36" i="4"/>
  <c r="F71" i="4"/>
  <c r="H71" i="4" s="1"/>
  <c r="F69" i="4"/>
  <c r="H69" i="4" s="1"/>
  <c r="F67" i="4"/>
  <c r="H67" i="4" s="1"/>
  <c r="Y39" i="4"/>
  <c r="Y35" i="4"/>
  <c r="Y30" i="4"/>
  <c r="Y29" i="4"/>
  <c r="Y28" i="4"/>
  <c r="Y26" i="4"/>
  <c r="Y23" i="4"/>
  <c r="Y22" i="4"/>
  <c r="Y20" i="4"/>
  <c r="Y19" i="4"/>
  <c r="Y16" i="4"/>
  <c r="Y14" i="4"/>
  <c r="Y9" i="4"/>
  <c r="X42" i="4"/>
  <c r="Y42" i="4" s="1"/>
  <c r="X41" i="4"/>
  <c r="Z41" i="4" s="1"/>
  <c r="X39" i="4"/>
  <c r="Z39" i="4" s="1"/>
  <c r="X38" i="4"/>
  <c r="Y38" i="4" s="1"/>
  <c r="X37" i="4"/>
  <c r="Z37" i="4" s="1"/>
  <c r="X35" i="4"/>
  <c r="Z35" i="4" s="1"/>
  <c r="X34" i="4"/>
  <c r="Y34" i="4" s="1"/>
  <c r="X33" i="4"/>
  <c r="Z33" i="4" s="1"/>
  <c r="X32" i="4"/>
  <c r="Y32" i="4" s="1"/>
  <c r="X28" i="4"/>
  <c r="Z28" i="4" s="1"/>
  <c r="X26" i="4"/>
  <c r="Z26" i="4" s="1"/>
  <c r="X25" i="4"/>
  <c r="X22" i="4"/>
  <c r="Z22" i="4" s="1"/>
  <c r="X19" i="4"/>
  <c r="Z19" i="4" s="1"/>
  <c r="X18" i="4"/>
  <c r="Y18" i="4" s="1"/>
  <c r="X16" i="4"/>
  <c r="Z16" i="4" s="1"/>
  <c r="X14" i="4"/>
  <c r="Z14" i="4" s="1"/>
  <c r="X13" i="4"/>
  <c r="Z13" i="4" s="1"/>
  <c r="X12" i="4"/>
  <c r="Y12" i="4" s="1"/>
  <c r="X11" i="4"/>
  <c r="X9" i="4"/>
  <c r="Z9" i="4" s="1"/>
  <c r="X8" i="4"/>
  <c r="Z8" i="4" s="1"/>
  <c r="X7" i="4"/>
  <c r="Y7" i="4" s="1"/>
  <c r="V7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E40" i="4"/>
  <c r="E36" i="4"/>
  <c r="E31" i="4"/>
  <c r="E27" i="4"/>
  <c r="E24" i="4"/>
  <c r="E21" i="4"/>
  <c r="E17" i="4"/>
  <c r="E15" i="4"/>
  <c r="E10" i="4"/>
  <c r="AI7" i="4" l="1"/>
  <c r="W7" i="4"/>
  <c r="AE38" i="4"/>
  <c r="AG37" i="4"/>
  <c r="R6" i="4"/>
  <c r="R10" i="4"/>
  <c r="Y37" i="4"/>
  <c r="Z11" i="4"/>
  <c r="Y11" i="4"/>
  <c r="Z25" i="4"/>
  <c r="Y25" i="4"/>
  <c r="Y33" i="4"/>
  <c r="Y41" i="4"/>
  <c r="Y13" i="4"/>
  <c r="Z7" i="4"/>
  <c r="AA7" i="4"/>
  <c r="AB7" i="4" s="1"/>
  <c r="V8" i="4"/>
  <c r="G44" i="4"/>
  <c r="L22" i="4" s="1"/>
  <c r="Z18" i="4"/>
  <c r="Z34" i="4"/>
  <c r="Z38" i="4"/>
  <c r="Z42" i="4"/>
  <c r="Y8" i="4"/>
  <c r="Z12" i="4"/>
  <c r="Z32" i="4"/>
  <c r="F44" i="4"/>
  <c r="L18" i="4" s="1"/>
  <c r="AE39" i="4" l="1"/>
  <c r="AG38" i="4"/>
  <c r="AI8" i="4"/>
  <c r="AJ8" i="4"/>
  <c r="AA8" i="4"/>
  <c r="AB8" i="4" s="1"/>
  <c r="V9" i="4"/>
  <c r="W8" i="4"/>
  <c r="AC7" i="4"/>
  <c r="AE40" i="4" l="1"/>
  <c r="AG39" i="4"/>
  <c r="AK9" i="4"/>
  <c r="AJ9" i="4"/>
  <c r="AI9" i="4"/>
  <c r="AC8" i="4"/>
  <c r="V10" i="4"/>
  <c r="AA9" i="4"/>
  <c r="W9" i="4"/>
  <c r="W10" i="4" s="1"/>
  <c r="AE41" i="4" l="1"/>
  <c r="AG40" i="4"/>
  <c r="AA10" i="4"/>
  <c r="AB9" i="4"/>
  <c r="AC9" i="4" s="1"/>
  <c r="AI10" i="4"/>
  <c r="AK10" i="4"/>
  <c r="AL10" i="4"/>
  <c r="AJ10" i="4"/>
  <c r="V11" i="4"/>
  <c r="AA11" i="4" s="1"/>
  <c r="AB10" i="4"/>
  <c r="AC10" i="4" s="1"/>
  <c r="X10" i="4"/>
  <c r="AE42" i="4" l="1"/>
  <c r="AG42" i="4" s="1"/>
  <c r="AG41" i="4"/>
  <c r="AL11" i="4"/>
  <c r="AM11" i="4"/>
  <c r="AK11" i="4"/>
  <c r="AJ11" i="4"/>
  <c r="AI11" i="4"/>
  <c r="AN12" i="4"/>
  <c r="Z10" i="4"/>
  <c r="Y10" i="4"/>
  <c r="V12" i="4"/>
  <c r="AA12" i="4" s="1"/>
  <c r="W11" i="4"/>
  <c r="AB11" i="4"/>
  <c r="AN13" i="4" l="1"/>
  <c r="AI12" i="4"/>
  <c r="AL12" i="4"/>
  <c r="AJ12" i="4"/>
  <c r="AK12" i="4"/>
  <c r="AM12" i="4"/>
  <c r="AC11" i="4"/>
  <c r="V13" i="4"/>
  <c r="AA13" i="4" s="1"/>
  <c r="AB12" i="4"/>
  <c r="AC12" i="4" s="1"/>
  <c r="W12" i="4"/>
  <c r="AL13" i="4" l="1"/>
  <c r="AK13" i="4"/>
  <c r="AJ13" i="4"/>
  <c r="AN14" i="4"/>
  <c r="AO13" i="4"/>
  <c r="AM13" i="4"/>
  <c r="AI13" i="4"/>
  <c r="V14" i="4"/>
  <c r="AA14" i="4" s="1"/>
  <c r="AB13" i="4"/>
  <c r="AC13" i="4" s="1"/>
  <c r="W13" i="4"/>
  <c r="AN15" i="4" l="1"/>
  <c r="AO14" i="4"/>
  <c r="AP14" i="4"/>
  <c r="AI14" i="4"/>
  <c r="AK14" i="4"/>
  <c r="AL14" i="4"/>
  <c r="AM14" i="4"/>
  <c r="AJ14" i="4"/>
  <c r="V15" i="4"/>
  <c r="AA15" i="4" s="1"/>
  <c r="AB14" i="4"/>
  <c r="AC14" i="4" s="1"/>
  <c r="W14" i="4"/>
  <c r="W15" i="4" s="1"/>
  <c r="AL15" i="4" l="1"/>
  <c r="AQ15" i="4"/>
  <c r="AK15" i="4"/>
  <c r="AJ15" i="4"/>
  <c r="AP15" i="4"/>
  <c r="AI15" i="4"/>
  <c r="AM15" i="4"/>
  <c r="AN16" i="4"/>
  <c r="AO15" i="4"/>
  <c r="V16" i="4"/>
  <c r="AA16" i="4" s="1"/>
  <c r="X15" i="4"/>
  <c r="AB15" i="4"/>
  <c r="AC15" i="4" s="1"/>
  <c r="AN17" i="4" l="1"/>
  <c r="AO16" i="4"/>
  <c r="AP16" i="4"/>
  <c r="AI16" i="4"/>
  <c r="AL16" i="4"/>
  <c r="AQ16" i="4"/>
  <c r="AJ16" i="4"/>
  <c r="AR16" i="4"/>
  <c r="AK16" i="4"/>
  <c r="AM16" i="4"/>
  <c r="V17" i="4"/>
  <c r="AB16" i="4"/>
  <c r="AC16" i="4" s="1"/>
  <c r="W16" i="4"/>
  <c r="W17" i="4" s="1"/>
  <c r="Z15" i="4"/>
  <c r="Y15" i="4"/>
  <c r="AL17" i="4" l="1"/>
  <c r="AQ17" i="4"/>
  <c r="AK17" i="4"/>
  <c r="AJ17" i="4"/>
  <c r="AN18" i="4"/>
  <c r="AO17" i="4"/>
  <c r="AR17" i="4"/>
  <c r="AM17" i="4"/>
  <c r="AP17" i="4"/>
  <c r="AS17" i="4"/>
  <c r="AI17" i="4"/>
  <c r="V18" i="4"/>
  <c r="X17" i="4"/>
  <c r="AA17" i="4"/>
  <c r="AB17" i="4" s="1"/>
  <c r="AC17" i="4" s="1"/>
  <c r="AO18" i="4" l="1"/>
  <c r="AP18" i="4"/>
  <c r="AR18" i="4"/>
  <c r="AS18" i="4"/>
  <c r="AT18" i="4"/>
  <c r="AI18" i="4"/>
  <c r="AK18" i="4"/>
  <c r="AL18" i="4"/>
  <c r="AQ18" i="4"/>
  <c r="AN19" i="4"/>
  <c r="AJ18" i="4"/>
  <c r="AM18" i="4"/>
  <c r="V19" i="4"/>
  <c r="W18" i="4"/>
  <c r="Z17" i="4"/>
  <c r="Y17" i="4"/>
  <c r="AA18" i="4"/>
  <c r="AU19" i="4" l="1"/>
  <c r="AS19" i="4"/>
  <c r="AQ19" i="4"/>
  <c r="AO19" i="4"/>
  <c r="AM19" i="4"/>
  <c r="AK19" i="4"/>
  <c r="AI19" i="4"/>
  <c r="AT19" i="4"/>
  <c r="AP19" i="4"/>
  <c r="AL19" i="4"/>
  <c r="AN20" i="4"/>
  <c r="AR19" i="4"/>
  <c r="AJ19" i="4"/>
  <c r="AI48" i="4"/>
  <c r="F50" i="4" s="1"/>
  <c r="V20" i="4"/>
  <c r="W19" i="4"/>
  <c r="W20" i="4" s="1"/>
  <c r="W21" i="4" s="1"/>
  <c r="AA19" i="4"/>
  <c r="AB19" i="4" s="1"/>
  <c r="AC19" i="4" s="1"/>
  <c r="AB18" i="4"/>
  <c r="AC18" i="4" s="1"/>
  <c r="AT20" i="4" l="1"/>
  <c r="AU20" i="4"/>
  <c r="AS20" i="4"/>
  <c r="AQ20" i="4"/>
  <c r="AO20" i="4"/>
  <c r="AN21" i="4"/>
  <c r="AM20" i="4"/>
  <c r="AV20" i="4"/>
  <c r="AR20" i="4"/>
  <c r="AP20" i="4"/>
  <c r="V21" i="4"/>
  <c r="AK20" i="4"/>
  <c r="AI20" i="4"/>
  <c r="AL20" i="4"/>
  <c r="AJ20" i="4"/>
  <c r="X20" i="4"/>
  <c r="Z20" i="4" s="1"/>
  <c r="AA20" i="4"/>
  <c r="AV21" i="4" l="1"/>
  <c r="AU21" i="4"/>
  <c r="AS21" i="4"/>
  <c r="AQ21" i="4"/>
  <c r="AW21" i="4"/>
  <c r="AR21" i="4"/>
  <c r="AT21" i="4"/>
  <c r="AO21" i="4"/>
  <c r="AP21" i="4"/>
  <c r="AN22" i="4"/>
  <c r="AM21" i="4"/>
  <c r="V22" i="4"/>
  <c r="AK21" i="4"/>
  <c r="AI21" i="4"/>
  <c r="X21" i="4"/>
  <c r="AL21" i="4"/>
  <c r="AJ21" i="4"/>
  <c r="AA21" i="4"/>
  <c r="AB20" i="4"/>
  <c r="AC20" i="4" s="1"/>
  <c r="AA22" i="4" l="1"/>
  <c r="AW22" i="4"/>
  <c r="AX22" i="4"/>
  <c r="AT22" i="4"/>
  <c r="AR22" i="4"/>
  <c r="AP22" i="4"/>
  <c r="AV22" i="4"/>
  <c r="AQ22" i="4"/>
  <c r="AO22" i="4"/>
  <c r="AN23" i="4"/>
  <c r="AM22" i="4"/>
  <c r="AU22" i="4"/>
  <c r="AS22" i="4"/>
  <c r="V23" i="4"/>
  <c r="AL22" i="4"/>
  <c r="AJ22" i="4"/>
  <c r="AB22" i="4"/>
  <c r="AC22" i="4" s="1"/>
  <c r="W22" i="4"/>
  <c r="W23" i="4" s="1"/>
  <c r="W24" i="4" s="1"/>
  <c r="AK22" i="4"/>
  <c r="AI22" i="4"/>
  <c r="AB21" i="4"/>
  <c r="AC21" i="4" s="1"/>
  <c r="Z21" i="4"/>
  <c r="Y21" i="4"/>
  <c r="AA23" i="4" l="1"/>
  <c r="AV23" i="4"/>
  <c r="AY23" i="4"/>
  <c r="AU23" i="4"/>
  <c r="AS23" i="4"/>
  <c r="AQ23" i="4"/>
  <c r="AX23" i="4"/>
  <c r="AT23" i="4"/>
  <c r="AP23" i="4"/>
  <c r="AW23" i="4"/>
  <c r="AR23" i="4"/>
  <c r="AN24" i="4"/>
  <c r="AM23" i="4"/>
  <c r="AO23" i="4"/>
  <c r="V24" i="4"/>
  <c r="AA24" i="4" s="1"/>
  <c r="AL23" i="4"/>
  <c r="AJ23" i="4"/>
  <c r="X23" i="4"/>
  <c r="Z23" i="4" s="1"/>
  <c r="AK23" i="4"/>
  <c r="AI23" i="4"/>
  <c r="AB23" i="4"/>
  <c r="AC23" i="4" s="1"/>
  <c r="AW24" i="4" l="1"/>
  <c r="AX24" i="4"/>
  <c r="AT24" i="4"/>
  <c r="AR24" i="4"/>
  <c r="AP24" i="4"/>
  <c r="AY24" i="4"/>
  <c r="AZ24" i="4"/>
  <c r="AU24" i="4"/>
  <c r="AS24" i="4"/>
  <c r="AO24" i="4"/>
  <c r="AN25" i="4"/>
  <c r="AM24" i="4"/>
  <c r="AV24" i="4"/>
  <c r="AQ24" i="4"/>
  <c r="V25" i="4"/>
  <c r="AK24" i="4"/>
  <c r="AI24" i="4"/>
  <c r="AB24" i="4"/>
  <c r="AC24" i="4" s="1"/>
  <c r="AL24" i="4"/>
  <c r="AJ24" i="4"/>
  <c r="X24" i="4"/>
  <c r="AV25" i="4" l="1"/>
  <c r="AY25" i="4"/>
  <c r="AZ25" i="4"/>
  <c r="AU25" i="4"/>
  <c r="AS25" i="4"/>
  <c r="AQ25" i="4"/>
  <c r="AW25" i="4"/>
  <c r="AR25" i="4"/>
  <c r="AX25" i="4"/>
  <c r="BA25" i="4"/>
  <c r="AP25" i="4"/>
  <c r="AO25" i="4"/>
  <c r="AT25" i="4"/>
  <c r="AN26" i="4"/>
  <c r="AM25" i="4"/>
  <c r="V26" i="4"/>
  <c r="AK25" i="4"/>
  <c r="AI25" i="4"/>
  <c r="W25" i="4"/>
  <c r="AL25" i="4"/>
  <c r="AJ25" i="4"/>
  <c r="Y24" i="4"/>
  <c r="Z24" i="4"/>
  <c r="AA25" i="4"/>
  <c r="AA26" i="4" l="1"/>
  <c r="AW26" i="4"/>
  <c r="AX26" i="4"/>
  <c r="BA26" i="4"/>
  <c r="BB26" i="4"/>
  <c r="AT26" i="4"/>
  <c r="AR26" i="4"/>
  <c r="AP26" i="4"/>
  <c r="AV26" i="4"/>
  <c r="AQ26" i="4"/>
  <c r="AO26" i="4"/>
  <c r="AN27" i="4"/>
  <c r="AM26" i="4"/>
  <c r="AY26" i="4"/>
  <c r="AZ26" i="4"/>
  <c r="AU26" i="4"/>
  <c r="AS26" i="4"/>
  <c r="V27" i="4"/>
  <c r="AA27" i="4" s="1"/>
  <c r="AL26" i="4"/>
  <c r="AJ26" i="4"/>
  <c r="AB26" i="4"/>
  <c r="AC26" i="4" s="1"/>
  <c r="AK26" i="4"/>
  <c r="AI26" i="4"/>
  <c r="W26" i="4"/>
  <c r="W27" i="4" s="1"/>
  <c r="AB25" i="4"/>
  <c r="AC25" i="4" s="1"/>
  <c r="AV27" i="4" l="1"/>
  <c r="AY27" i="4"/>
  <c r="AZ27" i="4"/>
  <c r="BC27" i="4"/>
  <c r="AU27" i="4"/>
  <c r="AS27" i="4"/>
  <c r="AQ27" i="4"/>
  <c r="AX27" i="4"/>
  <c r="BA27" i="4"/>
  <c r="AT27" i="4"/>
  <c r="AP27" i="4"/>
  <c r="AW27" i="4"/>
  <c r="BB27" i="4"/>
  <c r="AN28" i="4"/>
  <c r="AM27" i="4"/>
  <c r="AR27" i="4"/>
  <c r="AO27" i="4"/>
  <c r="V28" i="4"/>
  <c r="AL27" i="4"/>
  <c r="AJ27" i="4"/>
  <c r="X27" i="4"/>
  <c r="AK27" i="4"/>
  <c r="AI27" i="4"/>
  <c r="AB27" i="4"/>
  <c r="AC27" i="4" s="1"/>
  <c r="AW28" i="4" l="1"/>
  <c r="AX28" i="4"/>
  <c r="BA28" i="4"/>
  <c r="BB28" i="4"/>
  <c r="AT28" i="4"/>
  <c r="AR28" i="4"/>
  <c r="AP28" i="4"/>
  <c r="AY28" i="4"/>
  <c r="AZ28" i="4"/>
  <c r="BD28" i="4"/>
  <c r="AU28" i="4"/>
  <c r="AS28" i="4"/>
  <c r="AO28" i="4"/>
  <c r="AN29" i="4"/>
  <c r="AM28" i="4"/>
  <c r="AV28" i="4"/>
  <c r="BC28" i="4"/>
  <c r="AQ28" i="4"/>
  <c r="V29" i="4"/>
  <c r="AK28" i="4"/>
  <c r="AI28" i="4"/>
  <c r="AL28" i="4"/>
  <c r="AJ28" i="4"/>
  <c r="W28" i="4"/>
  <c r="W29" i="4" s="1"/>
  <c r="W30" i="4" s="1"/>
  <c r="W31" i="4" s="1"/>
  <c r="Z27" i="4"/>
  <c r="Y27" i="4"/>
  <c r="AA28" i="4"/>
  <c r="AA29" i="4" s="1"/>
  <c r="AV29" i="4" l="1"/>
  <c r="AY29" i="4"/>
  <c r="AZ29" i="4"/>
  <c r="BC29" i="4"/>
  <c r="BD29" i="4"/>
  <c r="AU29" i="4"/>
  <c r="AS29" i="4"/>
  <c r="AQ29" i="4"/>
  <c r="AW29" i="4"/>
  <c r="BB29" i="4"/>
  <c r="BE29" i="4"/>
  <c r="AR29" i="4"/>
  <c r="AX29" i="4"/>
  <c r="BA29" i="4"/>
  <c r="AT29" i="4"/>
  <c r="AO29" i="4"/>
  <c r="AP29" i="4"/>
  <c r="AN30" i="4"/>
  <c r="AM29" i="4"/>
  <c r="V30" i="4"/>
  <c r="AA30" i="4" s="1"/>
  <c r="AK29" i="4"/>
  <c r="AI29" i="4"/>
  <c r="X29" i="4"/>
  <c r="Z29" i="4" s="1"/>
  <c r="AL29" i="4"/>
  <c r="AJ29" i="4"/>
  <c r="AB29" i="4"/>
  <c r="AC29" i="4" s="1"/>
  <c r="AB28" i="4"/>
  <c r="AC28" i="4" s="1"/>
  <c r="AW30" i="4" l="1"/>
  <c r="AX30" i="4"/>
  <c r="BA30" i="4"/>
  <c r="BB30" i="4"/>
  <c r="BE30" i="4"/>
  <c r="BF30" i="4"/>
  <c r="AT30" i="4"/>
  <c r="AR30" i="4"/>
  <c r="AP30" i="4"/>
  <c r="AV30" i="4"/>
  <c r="BC30" i="4"/>
  <c r="AQ30" i="4"/>
  <c r="AO30" i="4"/>
  <c r="AN31" i="4"/>
  <c r="AM30" i="4"/>
  <c r="AY30" i="4"/>
  <c r="AZ30" i="4"/>
  <c r="BD30" i="4"/>
  <c r="AU30" i="4"/>
  <c r="AS30" i="4"/>
  <c r="V31" i="4"/>
  <c r="AA31" i="4" s="1"/>
  <c r="AL30" i="4"/>
  <c r="AJ30" i="4"/>
  <c r="AB30" i="4"/>
  <c r="AC30" i="4" s="1"/>
  <c r="AK30" i="4"/>
  <c r="AI30" i="4"/>
  <c r="X30" i="4"/>
  <c r="Z30" i="4" s="1"/>
  <c r="BG31" i="4" l="1"/>
  <c r="BE31" i="4"/>
  <c r="BC31" i="4"/>
  <c r="BA31" i="4"/>
  <c r="AY31" i="4"/>
  <c r="AW31" i="4"/>
  <c r="AU31" i="4"/>
  <c r="AS31" i="4"/>
  <c r="AQ31" i="4"/>
  <c r="BD31" i="4"/>
  <c r="AZ31" i="4"/>
  <c r="AV31" i="4"/>
  <c r="AT31" i="4"/>
  <c r="AP31" i="4"/>
  <c r="BF31" i="4"/>
  <c r="BB31" i="4"/>
  <c r="AX31" i="4"/>
  <c r="AR31" i="4"/>
  <c r="AN32" i="4"/>
  <c r="AM31" i="4"/>
  <c r="AO31" i="4"/>
  <c r="AI49" i="4"/>
  <c r="F52" i="4" s="1"/>
  <c r="V32" i="4"/>
  <c r="AA32" i="4" s="1"/>
  <c r="AL31" i="4"/>
  <c r="AJ31" i="4"/>
  <c r="X31" i="4"/>
  <c r="AK31" i="4"/>
  <c r="AI31" i="4"/>
  <c r="AB31" i="4"/>
  <c r="AC31" i="4" s="1"/>
  <c r="BE32" i="4" l="1"/>
  <c r="BC32" i="4"/>
  <c r="BA32" i="4"/>
  <c r="AY32" i="4"/>
  <c r="AW32" i="4"/>
  <c r="AU32" i="4"/>
  <c r="AT32" i="4"/>
  <c r="AR32" i="4"/>
  <c r="AP32" i="4"/>
  <c r="BG32" i="4"/>
  <c r="BH32" i="4"/>
  <c r="BD32" i="4"/>
  <c r="AZ32" i="4"/>
  <c r="AV32" i="4"/>
  <c r="AS32" i="4"/>
  <c r="AO32" i="4"/>
  <c r="AN33" i="4"/>
  <c r="AM32" i="4"/>
  <c r="BF32" i="4"/>
  <c r="BB32" i="4"/>
  <c r="AX32" i="4"/>
  <c r="AQ32" i="4"/>
  <c r="V33" i="4"/>
  <c r="AA33" i="4" s="1"/>
  <c r="AK32" i="4"/>
  <c r="AI32" i="4"/>
  <c r="AB32" i="4"/>
  <c r="AC32" i="4" s="1"/>
  <c r="AL32" i="4"/>
  <c r="AJ32" i="4"/>
  <c r="W32" i="4"/>
  <c r="Z31" i="4"/>
  <c r="Y31" i="4"/>
  <c r="BG33" i="4" l="1"/>
  <c r="BH33" i="4"/>
  <c r="BE33" i="4"/>
  <c r="BC33" i="4"/>
  <c r="BA33" i="4"/>
  <c r="AY33" i="4"/>
  <c r="AW33" i="4"/>
  <c r="AU33" i="4"/>
  <c r="AS33" i="4"/>
  <c r="AQ33" i="4"/>
  <c r="BD33" i="4"/>
  <c r="AZ33" i="4"/>
  <c r="AV33" i="4"/>
  <c r="AR33" i="4"/>
  <c r="BI33" i="4"/>
  <c r="BF33" i="4"/>
  <c r="BB33" i="4"/>
  <c r="AX33" i="4"/>
  <c r="AP33" i="4"/>
  <c r="AO33" i="4"/>
  <c r="AT33" i="4"/>
  <c r="AN34" i="4"/>
  <c r="AM33" i="4"/>
  <c r="V34" i="4"/>
  <c r="AK33" i="4"/>
  <c r="AI33" i="4"/>
  <c r="W33" i="4"/>
  <c r="AL33" i="4"/>
  <c r="AJ33" i="4"/>
  <c r="AB33" i="4"/>
  <c r="AC33" i="4" s="1"/>
  <c r="BI34" i="4" l="1"/>
  <c r="BJ34" i="4"/>
  <c r="BE34" i="4"/>
  <c r="BC34" i="4"/>
  <c r="BA34" i="4"/>
  <c r="AY34" i="4"/>
  <c r="AW34" i="4"/>
  <c r="AU34" i="4"/>
  <c r="AT34" i="4"/>
  <c r="AR34" i="4"/>
  <c r="AP34" i="4"/>
  <c r="BD34" i="4"/>
  <c r="AZ34" i="4"/>
  <c r="AV34" i="4"/>
  <c r="AQ34" i="4"/>
  <c r="AO34" i="4"/>
  <c r="AN35" i="4"/>
  <c r="AM34" i="4"/>
  <c r="BG34" i="4"/>
  <c r="BH34" i="4"/>
  <c r="BF34" i="4"/>
  <c r="BB34" i="4"/>
  <c r="AX34" i="4"/>
  <c r="AS34" i="4"/>
  <c r="V35" i="4"/>
  <c r="AL34" i="4"/>
  <c r="AJ34" i="4"/>
  <c r="AK34" i="4"/>
  <c r="AI34" i="4"/>
  <c r="W34" i="4"/>
  <c r="AA34" i="4"/>
  <c r="AA35" i="4" s="1"/>
  <c r="BG35" i="4" l="1"/>
  <c r="BH35" i="4"/>
  <c r="BK35" i="4"/>
  <c r="BE35" i="4"/>
  <c r="BC35" i="4"/>
  <c r="BA35" i="4"/>
  <c r="AY35" i="4"/>
  <c r="AW35" i="4"/>
  <c r="AU35" i="4"/>
  <c r="AS35" i="4"/>
  <c r="AQ35" i="4"/>
  <c r="BI35" i="4"/>
  <c r="BD35" i="4"/>
  <c r="AZ35" i="4"/>
  <c r="AV35" i="4"/>
  <c r="AT35" i="4"/>
  <c r="AP35" i="4"/>
  <c r="BJ35" i="4"/>
  <c r="BF35" i="4"/>
  <c r="BB35" i="4"/>
  <c r="AX35" i="4"/>
  <c r="AN36" i="4"/>
  <c r="AM35" i="4"/>
  <c r="AR35" i="4"/>
  <c r="AO35" i="4"/>
  <c r="V36" i="4"/>
  <c r="AL35" i="4"/>
  <c r="AJ35" i="4"/>
  <c r="W35" i="4"/>
  <c r="W36" i="4" s="1"/>
  <c r="AK35" i="4"/>
  <c r="AI35" i="4"/>
  <c r="AB35" i="4"/>
  <c r="AC35" i="4" s="1"/>
  <c r="AB34" i="4"/>
  <c r="AC34" i="4" s="1"/>
  <c r="BI36" i="4" l="1"/>
  <c r="BJ36" i="4"/>
  <c r="BE36" i="4"/>
  <c r="BC36" i="4"/>
  <c r="BA36" i="4"/>
  <c r="AY36" i="4"/>
  <c r="AW36" i="4"/>
  <c r="AU36" i="4"/>
  <c r="AT36" i="4"/>
  <c r="AR36" i="4"/>
  <c r="AP36" i="4"/>
  <c r="BG36" i="4"/>
  <c r="BH36" i="4"/>
  <c r="BD36" i="4"/>
  <c r="AZ36" i="4"/>
  <c r="AV36" i="4"/>
  <c r="AS36" i="4"/>
  <c r="AO36" i="4"/>
  <c r="AN37" i="4"/>
  <c r="AM36" i="4"/>
  <c r="BK36" i="4"/>
  <c r="BL36" i="4"/>
  <c r="BF36" i="4"/>
  <c r="BB36" i="4"/>
  <c r="AX36" i="4"/>
  <c r="AQ36" i="4"/>
  <c r="AA36" i="4"/>
  <c r="AB36" i="4" s="1"/>
  <c r="AC36" i="4" s="1"/>
  <c r="V37" i="4"/>
  <c r="AK36" i="4"/>
  <c r="AI36" i="4"/>
  <c r="AL36" i="4"/>
  <c r="AJ36" i="4"/>
  <c r="X36" i="4"/>
  <c r="AA37" i="4" l="1"/>
  <c r="BG37" i="4"/>
  <c r="BH37" i="4"/>
  <c r="BK37" i="4"/>
  <c r="BL37" i="4"/>
  <c r="BE37" i="4"/>
  <c r="BC37" i="4"/>
  <c r="BA37" i="4"/>
  <c r="AY37" i="4"/>
  <c r="AW37" i="4"/>
  <c r="AU37" i="4"/>
  <c r="AS37" i="4"/>
  <c r="AQ37" i="4"/>
  <c r="BJ37" i="4"/>
  <c r="BM37" i="4"/>
  <c r="BD37" i="4"/>
  <c r="AZ37" i="4"/>
  <c r="AV37" i="4"/>
  <c r="AR37" i="4"/>
  <c r="BI37" i="4"/>
  <c r="BF37" i="4"/>
  <c r="BB37" i="4"/>
  <c r="AX37" i="4"/>
  <c r="AT37" i="4"/>
  <c r="AO37" i="4"/>
  <c r="AP37" i="4"/>
  <c r="AN38" i="4"/>
  <c r="AM37" i="4"/>
  <c r="Y36" i="4"/>
  <c r="Z36" i="4"/>
  <c r="V38" i="4"/>
  <c r="AK37" i="4"/>
  <c r="AI37" i="4"/>
  <c r="AL37" i="4"/>
  <c r="AJ37" i="4"/>
  <c r="AB37" i="4"/>
  <c r="AC37" i="4" s="1"/>
  <c r="W37" i="4"/>
  <c r="AA38" i="4" l="1"/>
  <c r="BI38" i="4"/>
  <c r="BJ38" i="4"/>
  <c r="BM38" i="4"/>
  <c r="BN38" i="4"/>
  <c r="BE38" i="4"/>
  <c r="BC38" i="4"/>
  <c r="BA38" i="4"/>
  <c r="AY38" i="4"/>
  <c r="AW38" i="4"/>
  <c r="AU38" i="4"/>
  <c r="AT38" i="4"/>
  <c r="AR38" i="4"/>
  <c r="AP38" i="4"/>
  <c r="BK38" i="4"/>
  <c r="BL38" i="4"/>
  <c r="BD38" i="4"/>
  <c r="AZ38" i="4"/>
  <c r="AV38" i="4"/>
  <c r="AQ38" i="4"/>
  <c r="AO38" i="4"/>
  <c r="AN39" i="4"/>
  <c r="AM38" i="4"/>
  <c r="BG38" i="4"/>
  <c r="BH38" i="4"/>
  <c r="BF38" i="4"/>
  <c r="BB38" i="4"/>
  <c r="AX38" i="4"/>
  <c r="AS38" i="4"/>
  <c r="V39" i="4"/>
  <c r="AL38" i="4"/>
  <c r="AJ38" i="4"/>
  <c r="AB38" i="4"/>
  <c r="AC38" i="4" s="1"/>
  <c r="W38" i="4"/>
  <c r="AK38" i="4"/>
  <c r="AI38" i="4"/>
  <c r="BG39" i="4" l="1"/>
  <c r="BH39" i="4"/>
  <c r="BK39" i="4"/>
  <c r="BL39" i="4"/>
  <c r="BO39" i="4"/>
  <c r="BE39" i="4"/>
  <c r="BC39" i="4"/>
  <c r="BA39" i="4"/>
  <c r="AY39" i="4"/>
  <c r="AW39" i="4"/>
  <c r="AU39" i="4"/>
  <c r="AS39" i="4"/>
  <c r="AQ39" i="4"/>
  <c r="BI39" i="4"/>
  <c r="BN39" i="4"/>
  <c r="BD39" i="4"/>
  <c r="AZ39" i="4"/>
  <c r="AV39" i="4"/>
  <c r="AT39" i="4"/>
  <c r="AP39" i="4"/>
  <c r="BJ39" i="4"/>
  <c r="BM39" i="4"/>
  <c r="BF39" i="4"/>
  <c r="BB39" i="4"/>
  <c r="AX39" i="4"/>
  <c r="AR39" i="4"/>
  <c r="AN40" i="4"/>
  <c r="AM39" i="4"/>
  <c r="AO39" i="4"/>
  <c r="AA39" i="4"/>
  <c r="AB39" i="4" s="1"/>
  <c r="AC39" i="4" s="1"/>
  <c r="V40" i="4"/>
  <c r="AA40" i="4" s="1"/>
  <c r="AL39" i="4"/>
  <c r="AJ39" i="4"/>
  <c r="AK39" i="4"/>
  <c r="AI39" i="4"/>
  <c r="W39" i="4"/>
  <c r="W40" i="4" s="1"/>
  <c r="BI40" i="4" l="1"/>
  <c r="BJ40" i="4"/>
  <c r="BM40" i="4"/>
  <c r="BN40" i="4"/>
  <c r="BE40" i="4"/>
  <c r="BC40" i="4"/>
  <c r="BA40" i="4"/>
  <c r="AY40" i="4"/>
  <c r="AW40" i="4"/>
  <c r="AU40" i="4"/>
  <c r="AT40" i="4"/>
  <c r="AR40" i="4"/>
  <c r="AP40" i="4"/>
  <c r="BG40" i="4"/>
  <c r="BH40" i="4"/>
  <c r="BO40" i="4"/>
  <c r="BP40" i="4"/>
  <c r="BD40" i="4"/>
  <c r="AZ40" i="4"/>
  <c r="AV40" i="4"/>
  <c r="AS40" i="4"/>
  <c r="AO40" i="4"/>
  <c r="AN41" i="4"/>
  <c r="AM40" i="4"/>
  <c r="BK40" i="4"/>
  <c r="BL40" i="4"/>
  <c r="BF40" i="4"/>
  <c r="BB40" i="4"/>
  <c r="AX40" i="4"/>
  <c r="AQ40" i="4"/>
  <c r="V41" i="4"/>
  <c r="AA41" i="4" s="1"/>
  <c r="AK40" i="4"/>
  <c r="AI40" i="4"/>
  <c r="AB40" i="4"/>
  <c r="AC40" i="4" s="1"/>
  <c r="AL40" i="4"/>
  <c r="AJ40" i="4"/>
  <c r="X40" i="4"/>
  <c r="BG41" i="4" l="1"/>
  <c r="BH41" i="4"/>
  <c r="BK41" i="4"/>
  <c r="BL41" i="4"/>
  <c r="BO41" i="4"/>
  <c r="BP41" i="4"/>
  <c r="BE41" i="4"/>
  <c r="BC41" i="4"/>
  <c r="BA41" i="4"/>
  <c r="AY41" i="4"/>
  <c r="AW41" i="4"/>
  <c r="AU41" i="4"/>
  <c r="AS41" i="4"/>
  <c r="AQ41" i="4"/>
  <c r="BJ41" i="4"/>
  <c r="BM41" i="4"/>
  <c r="BD41" i="4"/>
  <c r="AZ41" i="4"/>
  <c r="AV41" i="4"/>
  <c r="AR41" i="4"/>
  <c r="BI41" i="4"/>
  <c r="BN41" i="4"/>
  <c r="BQ41" i="4"/>
  <c r="BF41" i="4"/>
  <c r="BB41" i="4"/>
  <c r="AX41" i="4"/>
  <c r="AP41" i="4"/>
  <c r="AO41" i="4"/>
  <c r="AT41" i="4"/>
  <c r="AN42" i="4"/>
  <c r="AM41" i="4"/>
  <c r="Y40" i="4"/>
  <c r="Z40" i="4"/>
  <c r="V42" i="4"/>
  <c r="AA42" i="4" s="1"/>
  <c r="AK41" i="4"/>
  <c r="AI41" i="4"/>
  <c r="W41" i="4"/>
  <c r="AL41" i="4"/>
  <c r="AJ41" i="4"/>
  <c r="AB41" i="4"/>
  <c r="AC41" i="4" s="1"/>
  <c r="BI42" i="4" l="1"/>
  <c r="BJ42" i="4"/>
  <c r="BM42" i="4"/>
  <c r="BN42" i="4"/>
  <c r="BQ42" i="4"/>
  <c r="BR42" i="4"/>
  <c r="BE42" i="4"/>
  <c r="BC42" i="4"/>
  <c r="BA42" i="4"/>
  <c r="AY42" i="4"/>
  <c r="AW42" i="4"/>
  <c r="AU42" i="4"/>
  <c r="AT42" i="4"/>
  <c r="AR42" i="4"/>
  <c r="AP42" i="4"/>
  <c r="BK42" i="4"/>
  <c r="BL42" i="4"/>
  <c r="BD42" i="4"/>
  <c r="AZ42" i="4"/>
  <c r="AV42" i="4"/>
  <c r="AQ42" i="4"/>
  <c r="AO42" i="4"/>
  <c r="AM42" i="4"/>
  <c r="BG42" i="4"/>
  <c r="BH42" i="4"/>
  <c r="BO42" i="4"/>
  <c r="BP42" i="4"/>
  <c r="BF42" i="4"/>
  <c r="BB42" i="4"/>
  <c r="AX42" i="4"/>
  <c r="AS42" i="4"/>
  <c r="AL42" i="4"/>
  <c r="AJ42" i="4"/>
  <c r="AB42" i="4"/>
  <c r="AK42" i="4"/>
  <c r="AI42" i="4"/>
  <c r="W42" i="4"/>
  <c r="AI45" i="4" l="1"/>
  <c r="F48" i="4" s="1"/>
  <c r="AI50" i="4"/>
  <c r="F54" i="4" s="1"/>
  <c r="L14" i="4" s="1"/>
  <c r="AC42" i="4"/>
  <c r="AC44" i="4" s="1"/>
  <c r="AB44" i="4"/>
  <c r="C10" i="5" l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AR10" i="3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K10" i="3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BJ22" i="1"/>
  <c r="BJ20" i="1"/>
  <c r="AZ20" i="1"/>
  <c r="AZ22" i="1"/>
  <c r="AP22" i="1"/>
  <c r="AP20" i="1"/>
  <c r="E51" i="5" l="1"/>
  <c r="H43" i="5"/>
  <c r="H39" i="5"/>
  <c r="H34" i="5"/>
  <c r="H33" i="5"/>
  <c r="H32" i="5"/>
  <c r="H30" i="5"/>
  <c r="H27" i="5"/>
  <c r="H26" i="5"/>
  <c r="H24" i="5"/>
  <c r="H23" i="5"/>
  <c r="H20" i="5"/>
  <c r="H18" i="5"/>
  <c r="H13" i="5"/>
  <c r="H10" i="5"/>
  <c r="G45" i="5"/>
  <c r="H45" i="5" s="1"/>
  <c r="G44" i="5"/>
  <c r="H44" i="5" s="1"/>
  <c r="G43" i="5"/>
  <c r="G42" i="5"/>
  <c r="H42" i="5" s="1"/>
  <c r="G41" i="5"/>
  <c r="H41" i="5" s="1"/>
  <c r="G40" i="5"/>
  <c r="H40" i="5" s="1"/>
  <c r="G39" i="5"/>
  <c r="G38" i="5"/>
  <c r="H38" i="5" s="1"/>
  <c r="G37" i="5"/>
  <c r="H37" i="5" s="1"/>
  <c r="G36" i="5"/>
  <c r="H36" i="5" s="1"/>
  <c r="G35" i="5"/>
  <c r="H35" i="5" s="1"/>
  <c r="G34" i="5"/>
  <c r="G33" i="5"/>
  <c r="G32" i="5"/>
  <c r="G31" i="5"/>
  <c r="H31" i="5" s="1"/>
  <c r="G30" i="5"/>
  <c r="G29" i="5"/>
  <c r="H29" i="5" s="1"/>
  <c r="G28" i="5"/>
  <c r="H28" i="5" s="1"/>
  <c r="G27" i="5"/>
  <c r="G26" i="5"/>
  <c r="G25" i="5"/>
  <c r="H25" i="5" s="1"/>
  <c r="G24" i="5"/>
  <c r="G23" i="5"/>
  <c r="G22" i="5"/>
  <c r="H22" i="5" s="1"/>
  <c r="G21" i="5"/>
  <c r="H21" i="5" s="1"/>
  <c r="G20" i="5"/>
  <c r="G19" i="5"/>
  <c r="H19" i="5" s="1"/>
  <c r="G18" i="5"/>
  <c r="G17" i="5"/>
  <c r="H17" i="5" s="1"/>
  <c r="G16" i="5"/>
  <c r="H16" i="5" s="1"/>
  <c r="G15" i="5"/>
  <c r="H15" i="5" s="1"/>
  <c r="G14" i="5"/>
  <c r="H14" i="5" s="1"/>
  <c r="G13" i="5"/>
  <c r="G12" i="5"/>
  <c r="H12" i="5" s="1"/>
  <c r="G11" i="5"/>
  <c r="H11" i="5" s="1"/>
  <c r="G10" i="5"/>
  <c r="F45" i="5"/>
  <c r="F44" i="5"/>
  <c r="F42" i="5"/>
  <c r="F41" i="5"/>
  <c r="F40" i="5"/>
  <c r="F38" i="5"/>
  <c r="F37" i="5"/>
  <c r="F36" i="5"/>
  <c r="F35" i="5"/>
  <c r="F31" i="5"/>
  <c r="F29" i="5"/>
  <c r="F28" i="5"/>
  <c r="F25" i="5"/>
  <c r="F22" i="5"/>
  <c r="F21" i="5"/>
  <c r="F19" i="5"/>
  <c r="F17" i="5"/>
  <c r="F16" i="5"/>
  <c r="F15" i="5"/>
  <c r="F14" i="5"/>
  <c r="F12" i="5"/>
  <c r="F11" i="5"/>
  <c r="F43" i="5"/>
  <c r="F39" i="5"/>
  <c r="F34" i="5"/>
  <c r="F33" i="5"/>
  <c r="F32" i="5"/>
  <c r="F30" i="5"/>
  <c r="F27" i="5"/>
  <c r="F26" i="5"/>
  <c r="F24" i="5"/>
  <c r="F23" i="5"/>
  <c r="F20" i="5"/>
  <c r="F18" i="5"/>
  <c r="F13" i="5"/>
  <c r="F10" i="5"/>
  <c r="G47" i="5" l="1"/>
  <c r="N16" i="5" s="1"/>
  <c r="H47" i="5"/>
  <c r="N18" i="5" s="1"/>
  <c r="N22" i="5" s="1"/>
  <c r="E47" i="5"/>
  <c r="N10" i="5" s="1"/>
  <c r="F47" i="5"/>
  <c r="N12" i="5" s="1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D44" i="2"/>
  <c r="I7" i="2"/>
  <c r="E44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T11" i="3" l="1"/>
  <c r="AL11" i="3"/>
  <c r="T19" i="3"/>
  <c r="AL19" i="3"/>
  <c r="T31" i="3"/>
  <c r="AL31" i="3"/>
  <c r="T35" i="3"/>
  <c r="AL35" i="3"/>
  <c r="T12" i="3"/>
  <c r="AL12" i="3"/>
  <c r="T16" i="3"/>
  <c r="AL16" i="3"/>
  <c r="T20" i="3"/>
  <c r="AS20" i="3"/>
  <c r="T24" i="3"/>
  <c r="AS24" i="3"/>
  <c r="T28" i="3"/>
  <c r="AL28" i="3"/>
  <c r="T32" i="3"/>
  <c r="AS32" i="3"/>
  <c r="T36" i="3"/>
  <c r="AL36" i="3"/>
  <c r="T40" i="3"/>
  <c r="AL40" i="3"/>
  <c r="T44" i="3"/>
  <c r="AL44" i="3"/>
  <c r="T23" i="3"/>
  <c r="AS23" i="3"/>
  <c r="T43" i="3"/>
  <c r="AL43" i="3"/>
  <c r="T13" i="3"/>
  <c r="AS13" i="3"/>
  <c r="T17" i="3"/>
  <c r="AL17" i="3"/>
  <c r="T21" i="3"/>
  <c r="AL21" i="3"/>
  <c r="T25" i="3"/>
  <c r="AL25" i="3"/>
  <c r="T29" i="3"/>
  <c r="AL29" i="3"/>
  <c r="T33" i="3"/>
  <c r="AS33" i="3"/>
  <c r="T37" i="3"/>
  <c r="AL37" i="3"/>
  <c r="T41" i="3"/>
  <c r="AL41" i="3"/>
  <c r="T45" i="3"/>
  <c r="AL45" i="3"/>
  <c r="T15" i="3"/>
  <c r="AL15" i="3"/>
  <c r="T27" i="3"/>
  <c r="AS27" i="3"/>
  <c r="T39" i="3"/>
  <c r="AS39" i="3"/>
  <c r="T10" i="3"/>
  <c r="AL10" i="3"/>
  <c r="T14" i="3"/>
  <c r="AL14" i="3"/>
  <c r="T18" i="3"/>
  <c r="AS18" i="3"/>
  <c r="T22" i="3"/>
  <c r="AL22" i="3"/>
  <c r="T26" i="3"/>
  <c r="AS26" i="3"/>
  <c r="T30" i="3"/>
  <c r="AS30" i="3"/>
  <c r="T34" i="3"/>
  <c r="AS34" i="3"/>
  <c r="T38" i="3"/>
  <c r="AL38" i="3"/>
  <c r="T42" i="3"/>
  <c r="AL42" i="3"/>
  <c r="N20" i="5"/>
  <c r="N28" i="5" s="1"/>
  <c r="N14" i="5"/>
  <c r="N26" i="5" s="1"/>
  <c r="J46" i="2"/>
  <c r="J11" i="2" s="1"/>
  <c r="K11" i="2" s="1"/>
  <c r="E46" i="2"/>
  <c r="F39" i="2" s="1"/>
  <c r="G39" i="2" s="1"/>
  <c r="Z44" i="2"/>
  <c r="Z46" i="2" s="1"/>
  <c r="T44" i="2"/>
  <c r="T46" i="2" s="1"/>
  <c r="I47" i="3"/>
  <c r="I49" i="3" s="1"/>
  <c r="F18" i="2" l="1"/>
  <c r="G18" i="2" s="1"/>
  <c r="F13" i="2"/>
  <c r="G13" i="2" s="1"/>
  <c r="J12" i="2"/>
  <c r="K12" i="2" s="1"/>
  <c r="F29" i="2"/>
  <c r="G29" i="2" s="1"/>
  <c r="J35" i="2"/>
  <c r="K35" i="2" s="1"/>
  <c r="F34" i="2"/>
  <c r="G34" i="2" s="1"/>
  <c r="J28" i="2"/>
  <c r="K28" i="2" s="1"/>
  <c r="AA42" i="2"/>
  <c r="AL47" i="3"/>
  <c r="AL49" i="3"/>
  <c r="AG47" i="3"/>
  <c r="AG49" i="3"/>
  <c r="AD49" i="3"/>
  <c r="AD47" i="3"/>
  <c r="AS49" i="3"/>
  <c r="AS47" i="3"/>
  <c r="AB42" i="2"/>
  <c r="U11" i="2"/>
  <c r="AA38" i="2"/>
  <c r="AA22" i="2"/>
  <c r="AA30" i="2"/>
  <c r="AA14" i="2"/>
  <c r="F10" i="2"/>
  <c r="G10" i="2" s="1"/>
  <c r="F26" i="2"/>
  <c r="G26" i="2" s="1"/>
  <c r="F42" i="2"/>
  <c r="G42" i="2" s="1"/>
  <c r="F21" i="2"/>
  <c r="G21" i="2" s="1"/>
  <c r="F37" i="2"/>
  <c r="G37" i="2" s="1"/>
  <c r="J36" i="2"/>
  <c r="K36" i="2" s="1"/>
  <c r="J20" i="2"/>
  <c r="K20" i="2" s="1"/>
  <c r="J9" i="2"/>
  <c r="K9" i="2" s="1"/>
  <c r="J25" i="2"/>
  <c r="K25" i="2" s="1"/>
  <c r="AA34" i="2"/>
  <c r="AA26" i="2"/>
  <c r="AA18" i="2"/>
  <c r="AA10" i="2"/>
  <c r="F14" i="2"/>
  <c r="G14" i="2" s="1"/>
  <c r="F22" i="2"/>
  <c r="G22" i="2" s="1"/>
  <c r="F30" i="2"/>
  <c r="G30" i="2" s="1"/>
  <c r="F38" i="2"/>
  <c r="G38" i="2" s="1"/>
  <c r="F9" i="2"/>
  <c r="G9" i="2" s="1"/>
  <c r="F17" i="2"/>
  <c r="G17" i="2" s="1"/>
  <c r="F25" i="2"/>
  <c r="G25" i="2" s="1"/>
  <c r="F33" i="2"/>
  <c r="G33" i="2" s="1"/>
  <c r="F41" i="2"/>
  <c r="G41" i="2" s="1"/>
  <c r="J40" i="2"/>
  <c r="K40" i="2" s="1"/>
  <c r="J32" i="2"/>
  <c r="K32" i="2" s="1"/>
  <c r="J24" i="2"/>
  <c r="K24" i="2" s="1"/>
  <c r="J16" i="2"/>
  <c r="K16" i="2" s="1"/>
  <c r="J8" i="2"/>
  <c r="K8" i="2" s="1"/>
  <c r="J39" i="2"/>
  <c r="K39" i="2" s="1"/>
  <c r="J31" i="2"/>
  <c r="K31" i="2" s="1"/>
  <c r="J17" i="2"/>
  <c r="K17" i="2" s="1"/>
  <c r="AA40" i="2"/>
  <c r="AA36" i="2"/>
  <c r="AA32" i="2"/>
  <c r="AA28" i="2"/>
  <c r="AA24" i="2"/>
  <c r="AA20" i="2"/>
  <c r="AA16" i="2"/>
  <c r="AA12" i="2"/>
  <c r="AA8" i="2"/>
  <c r="F8" i="2"/>
  <c r="G8" i="2" s="1"/>
  <c r="F12" i="2"/>
  <c r="G12" i="2" s="1"/>
  <c r="F16" i="2"/>
  <c r="G16" i="2" s="1"/>
  <c r="F20" i="2"/>
  <c r="G20" i="2" s="1"/>
  <c r="F24" i="2"/>
  <c r="G24" i="2" s="1"/>
  <c r="F28" i="2"/>
  <c r="G28" i="2" s="1"/>
  <c r="F32" i="2"/>
  <c r="G32" i="2" s="1"/>
  <c r="F36" i="2"/>
  <c r="G36" i="2" s="1"/>
  <c r="F40" i="2"/>
  <c r="G40" i="2" s="1"/>
  <c r="F7" i="2"/>
  <c r="G7" i="2" s="1"/>
  <c r="F11" i="2"/>
  <c r="G11" i="2" s="1"/>
  <c r="F15" i="2"/>
  <c r="G15" i="2" s="1"/>
  <c r="F19" i="2"/>
  <c r="G19" i="2" s="1"/>
  <c r="F23" i="2"/>
  <c r="G23" i="2" s="1"/>
  <c r="F27" i="2"/>
  <c r="G27" i="2" s="1"/>
  <c r="F31" i="2"/>
  <c r="G31" i="2" s="1"/>
  <c r="F35" i="2"/>
  <c r="G35" i="2" s="1"/>
  <c r="J42" i="2"/>
  <c r="K42" i="2" s="1"/>
  <c r="J38" i="2"/>
  <c r="K38" i="2" s="1"/>
  <c r="J34" i="2"/>
  <c r="K34" i="2" s="1"/>
  <c r="J30" i="2"/>
  <c r="K30" i="2" s="1"/>
  <c r="J26" i="2"/>
  <c r="K26" i="2" s="1"/>
  <c r="J22" i="2"/>
  <c r="K22" i="2" s="1"/>
  <c r="J18" i="2"/>
  <c r="K18" i="2" s="1"/>
  <c r="J14" i="2"/>
  <c r="K14" i="2" s="1"/>
  <c r="J10" i="2"/>
  <c r="K10" i="2" s="1"/>
  <c r="J7" i="2"/>
  <c r="K7" i="2" s="1"/>
  <c r="J41" i="2"/>
  <c r="K41" i="2" s="1"/>
  <c r="J37" i="2"/>
  <c r="K37" i="2" s="1"/>
  <c r="J33" i="2"/>
  <c r="K33" i="2" s="1"/>
  <c r="J29" i="2"/>
  <c r="K29" i="2" s="1"/>
  <c r="J21" i="2"/>
  <c r="K21" i="2" s="1"/>
  <c r="J13" i="2"/>
  <c r="K13" i="2" s="1"/>
  <c r="J27" i="2"/>
  <c r="K27" i="2" s="1"/>
  <c r="J23" i="2"/>
  <c r="K23" i="2" s="1"/>
  <c r="J19" i="2"/>
  <c r="K19" i="2" s="1"/>
  <c r="J15" i="2"/>
  <c r="K15" i="2" s="1"/>
  <c r="U40" i="2"/>
  <c r="U36" i="2"/>
  <c r="U32" i="2"/>
  <c r="U28" i="2"/>
  <c r="U24" i="2"/>
  <c r="U20" i="2"/>
  <c r="U16" i="2"/>
  <c r="U12" i="2"/>
  <c r="U8" i="2"/>
  <c r="U17" i="2"/>
  <c r="U7" i="2"/>
  <c r="AA39" i="2"/>
  <c r="AA35" i="2"/>
  <c r="AA31" i="2"/>
  <c r="AA27" i="2"/>
  <c r="AA23" i="2"/>
  <c r="AA19" i="2"/>
  <c r="AA15" i="2"/>
  <c r="AA11" i="2"/>
  <c r="AA7" i="2"/>
  <c r="U39" i="2"/>
  <c r="U35" i="2"/>
  <c r="U31" i="2"/>
  <c r="U27" i="2"/>
  <c r="U23" i="2"/>
  <c r="U15" i="2"/>
  <c r="U9" i="2"/>
  <c r="U42" i="2"/>
  <c r="U38" i="2"/>
  <c r="U34" i="2"/>
  <c r="U30" i="2"/>
  <c r="U26" i="2"/>
  <c r="U22" i="2"/>
  <c r="U18" i="2"/>
  <c r="U14" i="2"/>
  <c r="U10" i="2"/>
  <c r="U21" i="2"/>
  <c r="U13" i="2"/>
  <c r="AA41" i="2"/>
  <c r="AA37" i="2"/>
  <c r="AA33" i="2"/>
  <c r="AA29" i="2"/>
  <c r="AA25" i="2"/>
  <c r="AA21" i="2"/>
  <c r="AA17" i="2"/>
  <c r="AA13" i="2"/>
  <c r="AA9" i="2"/>
  <c r="U41" i="2"/>
  <c r="U37" i="2"/>
  <c r="U33" i="2"/>
  <c r="U29" i="2"/>
  <c r="U25" i="2"/>
  <c r="U19" i="2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16" i="3"/>
  <c r="J14" i="3"/>
  <c r="J12" i="3"/>
  <c r="J10" i="3"/>
  <c r="J43" i="3"/>
  <c r="J39" i="3"/>
  <c r="J35" i="3"/>
  <c r="J31" i="3"/>
  <c r="J27" i="3"/>
  <c r="J23" i="3"/>
  <c r="J19" i="3"/>
  <c r="J15" i="3"/>
  <c r="J11" i="3"/>
  <c r="J45" i="3"/>
  <c r="J41" i="3"/>
  <c r="J37" i="3"/>
  <c r="J33" i="3"/>
  <c r="J29" i="3"/>
  <c r="J25" i="3"/>
  <c r="J21" i="3"/>
  <c r="J17" i="3"/>
  <c r="J13" i="3"/>
  <c r="K44" i="2" l="1"/>
  <c r="P24" i="2" s="1"/>
  <c r="P26" i="2" s="1"/>
  <c r="AG51" i="3"/>
  <c r="F44" i="2"/>
  <c r="K13" i="3"/>
  <c r="U13" i="3"/>
  <c r="X13" i="3" s="1"/>
  <c r="K21" i="3"/>
  <c r="U21" i="3"/>
  <c r="X21" i="3" s="1"/>
  <c r="K29" i="3"/>
  <c r="U29" i="3"/>
  <c r="X29" i="3" s="1"/>
  <c r="K37" i="3"/>
  <c r="U37" i="3"/>
  <c r="X37" i="3" s="1"/>
  <c r="K45" i="3"/>
  <c r="U45" i="3"/>
  <c r="X45" i="3" s="1"/>
  <c r="K15" i="3"/>
  <c r="U15" i="3"/>
  <c r="X15" i="3" s="1"/>
  <c r="K23" i="3"/>
  <c r="U23" i="3"/>
  <c r="X23" i="3" s="1"/>
  <c r="K31" i="3"/>
  <c r="U31" i="3"/>
  <c r="X31" i="3" s="1"/>
  <c r="K39" i="3"/>
  <c r="U39" i="3"/>
  <c r="X39" i="3" s="1"/>
  <c r="K10" i="3"/>
  <c r="U10" i="3"/>
  <c r="X10" i="3" s="1"/>
  <c r="K14" i="3"/>
  <c r="U14" i="3"/>
  <c r="X14" i="3" s="1"/>
  <c r="K18" i="3"/>
  <c r="U18" i="3"/>
  <c r="X18" i="3" s="1"/>
  <c r="K22" i="3"/>
  <c r="U22" i="3"/>
  <c r="X22" i="3" s="1"/>
  <c r="K26" i="3"/>
  <c r="U26" i="3"/>
  <c r="X26" i="3" s="1"/>
  <c r="K30" i="3"/>
  <c r="U30" i="3"/>
  <c r="X30" i="3" s="1"/>
  <c r="K34" i="3"/>
  <c r="U34" i="3"/>
  <c r="X34" i="3" s="1"/>
  <c r="K38" i="3"/>
  <c r="U38" i="3"/>
  <c r="X38" i="3" s="1"/>
  <c r="K42" i="3"/>
  <c r="U42" i="3"/>
  <c r="X42" i="3" s="1"/>
  <c r="K17" i="3"/>
  <c r="U17" i="3"/>
  <c r="X17" i="3" s="1"/>
  <c r="K25" i="3"/>
  <c r="U25" i="3"/>
  <c r="X25" i="3" s="1"/>
  <c r="K33" i="3"/>
  <c r="U33" i="3"/>
  <c r="X33" i="3" s="1"/>
  <c r="K41" i="3"/>
  <c r="U41" i="3"/>
  <c r="X41" i="3" s="1"/>
  <c r="K11" i="3"/>
  <c r="U11" i="3"/>
  <c r="X11" i="3" s="1"/>
  <c r="K19" i="3"/>
  <c r="U19" i="3"/>
  <c r="X19" i="3" s="1"/>
  <c r="K27" i="3"/>
  <c r="U27" i="3"/>
  <c r="X27" i="3" s="1"/>
  <c r="K35" i="3"/>
  <c r="U35" i="3"/>
  <c r="X35" i="3" s="1"/>
  <c r="K43" i="3"/>
  <c r="U43" i="3"/>
  <c r="X43" i="3" s="1"/>
  <c r="K12" i="3"/>
  <c r="U12" i="3"/>
  <c r="X12" i="3" s="1"/>
  <c r="K16" i="3"/>
  <c r="U16" i="3"/>
  <c r="X16" i="3" s="1"/>
  <c r="K20" i="3"/>
  <c r="U20" i="3"/>
  <c r="X20" i="3" s="1"/>
  <c r="K24" i="3"/>
  <c r="U24" i="3"/>
  <c r="X24" i="3" s="1"/>
  <c r="K28" i="3"/>
  <c r="U28" i="3"/>
  <c r="X28" i="3" s="1"/>
  <c r="K32" i="3"/>
  <c r="U32" i="3"/>
  <c r="X32" i="3" s="1"/>
  <c r="K36" i="3"/>
  <c r="U36" i="3"/>
  <c r="X36" i="3" s="1"/>
  <c r="K40" i="3"/>
  <c r="U40" i="3"/>
  <c r="X40" i="3" s="1"/>
  <c r="K44" i="3"/>
  <c r="U44" i="3"/>
  <c r="X44" i="3" s="1"/>
  <c r="AS51" i="3"/>
  <c r="AD51" i="3"/>
  <c r="AL51" i="3"/>
  <c r="V25" i="2"/>
  <c r="V33" i="2"/>
  <c r="V41" i="2"/>
  <c r="AB13" i="2"/>
  <c r="AB21" i="2"/>
  <c r="AB29" i="2"/>
  <c r="AB37" i="2"/>
  <c r="V13" i="2"/>
  <c r="V10" i="2"/>
  <c r="V18" i="2"/>
  <c r="V26" i="2"/>
  <c r="V34" i="2"/>
  <c r="V42" i="2"/>
  <c r="V9" i="2"/>
  <c r="V23" i="2"/>
  <c r="V31" i="2"/>
  <c r="V39" i="2"/>
  <c r="AB11" i="2"/>
  <c r="AB19" i="2"/>
  <c r="AB27" i="2"/>
  <c r="AB35" i="2"/>
  <c r="V7" i="2"/>
  <c r="V8" i="2"/>
  <c r="V16" i="2"/>
  <c r="V24" i="2"/>
  <c r="V32" i="2"/>
  <c r="V40" i="2"/>
  <c r="AB8" i="2"/>
  <c r="AB16" i="2"/>
  <c r="AB24" i="2"/>
  <c r="AB32" i="2"/>
  <c r="AB40" i="2"/>
  <c r="AB10" i="2"/>
  <c r="AB26" i="2"/>
  <c r="AB30" i="2"/>
  <c r="AB38" i="2"/>
  <c r="V19" i="2"/>
  <c r="V29" i="2"/>
  <c r="V37" i="2"/>
  <c r="AB9" i="2"/>
  <c r="AB17" i="2"/>
  <c r="AB25" i="2"/>
  <c r="AB33" i="2"/>
  <c r="AB41" i="2"/>
  <c r="V21" i="2"/>
  <c r="V14" i="2"/>
  <c r="V22" i="2"/>
  <c r="V30" i="2"/>
  <c r="V38" i="2"/>
  <c r="V15" i="2"/>
  <c r="V27" i="2"/>
  <c r="V35" i="2"/>
  <c r="AB7" i="2"/>
  <c r="AB15" i="2"/>
  <c r="AB23" i="2"/>
  <c r="AB31" i="2"/>
  <c r="AB39" i="2"/>
  <c r="V17" i="2"/>
  <c r="V12" i="2"/>
  <c r="V20" i="2"/>
  <c r="V28" i="2"/>
  <c r="V36" i="2"/>
  <c r="AB12" i="2"/>
  <c r="AB20" i="2"/>
  <c r="AB28" i="2"/>
  <c r="AB36" i="2"/>
  <c r="AB18" i="2"/>
  <c r="AB34" i="2"/>
  <c r="AB14" i="2"/>
  <c r="AB22" i="2"/>
  <c r="V11" i="2"/>
  <c r="G44" i="2"/>
  <c r="P10" i="2" s="1"/>
  <c r="P12" i="2" s="1"/>
  <c r="AM37" i="3" l="1"/>
  <c r="AM16" i="3"/>
  <c r="AM15" i="3"/>
  <c r="AM17" i="3"/>
  <c r="AM28" i="3"/>
  <c r="AM11" i="3"/>
  <c r="AM42" i="3"/>
  <c r="AM10" i="3"/>
  <c r="AM29" i="3"/>
  <c r="AM40" i="3"/>
  <c r="AM35" i="3"/>
  <c r="AM22" i="3"/>
  <c r="AM41" i="3"/>
  <c r="AM43" i="3"/>
  <c r="AM21" i="3"/>
  <c r="AM19" i="3"/>
  <c r="AM14" i="3"/>
  <c r="AM44" i="3"/>
  <c r="AM12" i="3"/>
  <c r="AM45" i="3"/>
  <c r="AM38" i="3"/>
  <c r="AM25" i="3"/>
  <c r="AM36" i="3"/>
  <c r="AM31" i="3"/>
  <c r="AT18" i="3"/>
  <c r="AT23" i="3"/>
  <c r="AT30" i="3"/>
  <c r="AT20" i="3"/>
  <c r="AT34" i="3"/>
  <c r="AT27" i="3"/>
  <c r="AT32" i="3"/>
  <c r="AT33" i="3"/>
  <c r="AT26" i="3"/>
  <c r="AT13" i="3"/>
  <c r="AT24" i="3"/>
  <c r="AT39" i="3"/>
  <c r="AH20" i="3"/>
  <c r="AH33" i="3"/>
  <c r="AH32" i="3"/>
  <c r="AH24" i="3"/>
  <c r="AH13" i="3"/>
  <c r="AH18" i="3"/>
  <c r="AH39" i="3"/>
  <c r="AH34" i="3"/>
  <c r="AH30" i="3"/>
  <c r="AH27" i="3"/>
  <c r="AH23" i="3"/>
  <c r="AH26" i="3"/>
  <c r="AE36" i="3"/>
  <c r="AE40" i="3"/>
  <c r="AE29" i="3"/>
  <c r="AE45" i="3"/>
  <c r="AE44" i="3"/>
  <c r="AE28" i="3"/>
  <c r="AE12" i="3"/>
  <c r="AE16" i="3"/>
  <c r="AE35" i="3"/>
  <c r="AE10" i="3"/>
  <c r="AE38" i="3"/>
  <c r="AE41" i="3"/>
  <c r="AE37" i="3"/>
  <c r="AE15" i="3"/>
  <c r="AE11" i="3"/>
  <c r="AE43" i="3"/>
  <c r="AE25" i="3"/>
  <c r="AE19" i="3"/>
  <c r="AE21" i="3"/>
  <c r="AE14" i="3"/>
  <c r="AE22" i="3"/>
  <c r="AE42" i="3"/>
  <c r="AE17" i="3"/>
  <c r="AE31" i="3"/>
  <c r="AB44" i="2"/>
  <c r="AG14" i="2" s="1"/>
  <c r="AG16" i="2" s="1"/>
  <c r="V44" i="2"/>
  <c r="AG6" i="2" s="1"/>
  <c r="K47" i="3"/>
  <c r="X47" i="3"/>
  <c r="AB10" i="3" s="1"/>
  <c r="AB12" i="3" s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P44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44" i="1"/>
  <c r="E7" i="1"/>
  <c r="AG8" i="2" l="1"/>
  <c r="AF43" i="3"/>
  <c r="AO43" i="3"/>
  <c r="AP43" i="3" s="1"/>
  <c r="AO45" i="3"/>
  <c r="AP45" i="3" s="1"/>
  <c r="AF45" i="3"/>
  <c r="AO17" i="3"/>
  <c r="AP17" i="3" s="1"/>
  <c r="AF17" i="3"/>
  <c r="AO21" i="3"/>
  <c r="AP21" i="3" s="1"/>
  <c r="AF21" i="3"/>
  <c r="AF11" i="3"/>
  <c r="AO11" i="3"/>
  <c r="AO38" i="3"/>
  <c r="AP38" i="3" s="1"/>
  <c r="AF38" i="3"/>
  <c r="AF12" i="3"/>
  <c r="AO12" i="3"/>
  <c r="AP12" i="3" s="1"/>
  <c r="AO29" i="3"/>
  <c r="AP29" i="3" s="1"/>
  <c r="AF29" i="3"/>
  <c r="AV23" i="3"/>
  <c r="AW23" i="3" s="1"/>
  <c r="AI23" i="3"/>
  <c r="AI39" i="3"/>
  <c r="AV39" i="3"/>
  <c r="AW39" i="3" s="1"/>
  <c r="AV32" i="3"/>
  <c r="AW32" i="3" s="1"/>
  <c r="AI32" i="3"/>
  <c r="AF31" i="3"/>
  <c r="AO31" i="3"/>
  <c r="AP31" i="3" s="1"/>
  <c r="AF41" i="3"/>
  <c r="AO41" i="3"/>
  <c r="AP41" i="3" s="1"/>
  <c r="AV26" i="3"/>
  <c r="AW26" i="3" s="1"/>
  <c r="AI26" i="3"/>
  <c r="AV24" i="3"/>
  <c r="AW24" i="3" s="1"/>
  <c r="AI24" i="3"/>
  <c r="AO42" i="3"/>
  <c r="AP42" i="3" s="1"/>
  <c r="AF42" i="3"/>
  <c r="AO19" i="3"/>
  <c r="AF19" i="3"/>
  <c r="AO15" i="3"/>
  <c r="AP15" i="3" s="1"/>
  <c r="AF15" i="3"/>
  <c r="AO10" i="3"/>
  <c r="AP10" i="3" s="1"/>
  <c r="AF10" i="3"/>
  <c r="AF28" i="3"/>
  <c r="AO28" i="3"/>
  <c r="AP28" i="3" s="1"/>
  <c r="AF40" i="3"/>
  <c r="AO40" i="3"/>
  <c r="AP40" i="3" s="1"/>
  <c r="AV27" i="3"/>
  <c r="AW27" i="3" s="1"/>
  <c r="AI27" i="3"/>
  <c r="AV18" i="3"/>
  <c r="AW18" i="3" s="1"/>
  <c r="AI18" i="3"/>
  <c r="AI33" i="3"/>
  <c r="AV33" i="3"/>
  <c r="AW33" i="3" s="1"/>
  <c r="AP11" i="3"/>
  <c r="AO14" i="3"/>
  <c r="AP14" i="3" s="1"/>
  <c r="AF14" i="3"/>
  <c r="AF16" i="3"/>
  <c r="AO16" i="3"/>
  <c r="AP16" i="3" s="1"/>
  <c r="AV34" i="3"/>
  <c r="AW34" i="3" s="1"/>
  <c r="AI34" i="3"/>
  <c r="AP19" i="3"/>
  <c r="AO22" i="3"/>
  <c r="AP22" i="3" s="1"/>
  <c r="AF22" i="3"/>
  <c r="AF25" i="3"/>
  <c r="AO25" i="3"/>
  <c r="AP25" i="3" s="1"/>
  <c r="AO37" i="3"/>
  <c r="AP37" i="3" s="1"/>
  <c r="AF37" i="3"/>
  <c r="AF35" i="3"/>
  <c r="AO35" i="3"/>
  <c r="AP35" i="3" s="1"/>
  <c r="AF44" i="3"/>
  <c r="AO44" i="3"/>
  <c r="AP44" i="3" s="1"/>
  <c r="AF36" i="3"/>
  <c r="AO36" i="3"/>
  <c r="AP36" i="3" s="1"/>
  <c r="AV30" i="3"/>
  <c r="AW30" i="3" s="1"/>
  <c r="AI30" i="3"/>
  <c r="AV13" i="3"/>
  <c r="AW13" i="3" s="1"/>
  <c r="AI13" i="3"/>
  <c r="AV20" i="3"/>
  <c r="AW20" i="3" s="1"/>
  <c r="AI20" i="3"/>
  <c r="P46" i="1"/>
  <c r="E8" i="1"/>
  <c r="Y6" i="1"/>
  <c r="Y4" i="1"/>
  <c r="M4" i="1"/>
  <c r="AI47" i="3" l="1"/>
  <c r="AF47" i="3"/>
  <c r="E9" i="1"/>
  <c r="F41" i="1"/>
  <c r="BC41" i="1" s="1"/>
  <c r="F37" i="1"/>
  <c r="G37" i="1" s="1"/>
  <c r="H37" i="1" s="1"/>
  <c r="F33" i="1"/>
  <c r="AI33" i="1" s="1"/>
  <c r="F29" i="1"/>
  <c r="AI29" i="1" s="1"/>
  <c r="F25" i="1"/>
  <c r="G25" i="1" s="1"/>
  <c r="H25" i="1" s="1"/>
  <c r="F21" i="1"/>
  <c r="AI21" i="1" s="1"/>
  <c r="F17" i="1"/>
  <c r="F13" i="1"/>
  <c r="BC13" i="1" s="1"/>
  <c r="F9" i="1"/>
  <c r="G9" i="1" s="1"/>
  <c r="H9" i="1" s="1"/>
  <c r="F40" i="1"/>
  <c r="AI40" i="1" s="1"/>
  <c r="F36" i="1"/>
  <c r="G36" i="1" s="1"/>
  <c r="H36" i="1" s="1"/>
  <c r="F32" i="1"/>
  <c r="G32" i="1" s="1"/>
  <c r="H32" i="1" s="1"/>
  <c r="F28" i="1"/>
  <c r="F24" i="1"/>
  <c r="AI24" i="1" s="1"/>
  <c r="F20" i="1"/>
  <c r="G20" i="1" s="1"/>
  <c r="H20" i="1" s="1"/>
  <c r="F16" i="1"/>
  <c r="AI16" i="1" s="1"/>
  <c r="F12" i="1"/>
  <c r="F8" i="1"/>
  <c r="AI8" i="1" s="1"/>
  <c r="F39" i="1"/>
  <c r="BC39" i="1" s="1"/>
  <c r="F35" i="1"/>
  <c r="G35" i="1" s="1"/>
  <c r="H35" i="1" s="1"/>
  <c r="F31" i="1"/>
  <c r="G31" i="1" s="1"/>
  <c r="H31" i="1" s="1"/>
  <c r="F27" i="1"/>
  <c r="AI27" i="1" s="1"/>
  <c r="F23" i="1"/>
  <c r="AI23" i="1" s="1"/>
  <c r="F19" i="1"/>
  <c r="G19" i="1" s="1"/>
  <c r="H19" i="1" s="1"/>
  <c r="F15" i="1"/>
  <c r="BC15" i="1" s="1"/>
  <c r="F11" i="1"/>
  <c r="F7" i="1"/>
  <c r="BC7" i="1" s="1"/>
  <c r="F42" i="1"/>
  <c r="BC42" i="1" s="1"/>
  <c r="F38" i="1"/>
  <c r="BC38" i="1" s="1"/>
  <c r="F34" i="1"/>
  <c r="AI34" i="1" s="1"/>
  <c r="F30" i="1"/>
  <c r="BC30" i="1" s="1"/>
  <c r="F26" i="1"/>
  <c r="BC26" i="1" s="1"/>
  <c r="F22" i="1"/>
  <c r="BC22" i="1" s="1"/>
  <c r="F18" i="1"/>
  <c r="BC18" i="1" s="1"/>
  <c r="F14" i="1"/>
  <c r="BC14" i="1" s="1"/>
  <c r="F10" i="1"/>
  <c r="BC10" i="1" s="1"/>
  <c r="AW47" i="3"/>
  <c r="R41" i="1"/>
  <c r="BE41" i="1" s="1"/>
  <c r="R37" i="1"/>
  <c r="S37" i="1" s="1"/>
  <c r="T37" i="1" s="1"/>
  <c r="R33" i="1"/>
  <c r="BE33" i="1" s="1"/>
  <c r="R29" i="1"/>
  <c r="AS29" i="1" s="1"/>
  <c r="R25" i="1"/>
  <c r="BE25" i="1" s="1"/>
  <c r="R21" i="1"/>
  <c r="AS21" i="1" s="1"/>
  <c r="R17" i="1"/>
  <c r="BE17" i="1" s="1"/>
  <c r="R13" i="1"/>
  <c r="AS13" i="1" s="1"/>
  <c r="R9" i="1"/>
  <c r="BE9" i="1" s="1"/>
  <c r="R40" i="1"/>
  <c r="AS40" i="1" s="1"/>
  <c r="R36" i="1"/>
  <c r="AS36" i="1" s="1"/>
  <c r="R32" i="1"/>
  <c r="R28" i="1"/>
  <c r="AS28" i="1" s="1"/>
  <c r="R24" i="1"/>
  <c r="R20" i="1"/>
  <c r="AS20" i="1" s="1"/>
  <c r="R16" i="1"/>
  <c r="R12" i="1"/>
  <c r="AS12" i="1" s="1"/>
  <c r="R8" i="1"/>
  <c r="R39" i="1"/>
  <c r="R35" i="1"/>
  <c r="R31" i="1"/>
  <c r="R27" i="1"/>
  <c r="R23" i="1"/>
  <c r="R19" i="1"/>
  <c r="R15" i="1"/>
  <c r="R11" i="1"/>
  <c r="R7" i="1"/>
  <c r="R42" i="1"/>
  <c r="S42" i="1" s="1"/>
  <c r="T42" i="1" s="1"/>
  <c r="R38" i="1"/>
  <c r="R34" i="1"/>
  <c r="BE34" i="1" s="1"/>
  <c r="R30" i="1"/>
  <c r="R26" i="1"/>
  <c r="AS26" i="1" s="1"/>
  <c r="R22" i="1"/>
  <c r="R18" i="1"/>
  <c r="S18" i="1" s="1"/>
  <c r="T18" i="1" s="1"/>
  <c r="R14" i="1"/>
  <c r="R10" i="1"/>
  <c r="AS10" i="1" s="1"/>
  <c r="AP47" i="3"/>
  <c r="BC23" i="1"/>
  <c r="BE18" i="1"/>
  <c r="BE40" i="1"/>
  <c r="AS37" i="1"/>
  <c r="S21" i="1"/>
  <c r="T21" i="1" s="1"/>
  <c r="AS18" i="1"/>
  <c r="S34" i="1"/>
  <c r="T34" i="1" s="1"/>
  <c r="S40" i="1"/>
  <c r="T40" i="1" s="1"/>
  <c r="G23" i="1"/>
  <c r="H23" i="1" s="1"/>
  <c r="AI39" i="1"/>
  <c r="G29" i="1"/>
  <c r="H29" i="1" s="1"/>
  <c r="AS42" i="1"/>
  <c r="S36" i="1"/>
  <c r="T36" i="1" s="1"/>
  <c r="BE12" i="1" l="1"/>
  <c r="AI37" i="1"/>
  <c r="G24" i="1"/>
  <c r="H24" i="1" s="1"/>
  <c r="S12" i="1"/>
  <c r="T12" i="1" s="1"/>
  <c r="G40" i="1"/>
  <c r="H40" i="1" s="1"/>
  <c r="AI18" i="1"/>
  <c r="S9" i="1"/>
  <c r="T9" i="1" s="1"/>
  <c r="BC34" i="1"/>
  <c r="BF34" i="1" s="1"/>
  <c r="G21" i="1"/>
  <c r="H21" i="1" s="1"/>
  <c r="S41" i="1"/>
  <c r="T41" i="1" s="1"/>
  <c r="BC37" i="1"/>
  <c r="G34" i="1"/>
  <c r="H34" i="1" s="1"/>
  <c r="S28" i="1"/>
  <c r="T28" i="1" s="1"/>
  <c r="G8" i="1"/>
  <c r="H8" i="1" s="1"/>
  <c r="S25" i="1"/>
  <c r="T25" i="1" s="1"/>
  <c r="G41" i="1"/>
  <c r="H41" i="1" s="1"/>
  <c r="G22" i="1"/>
  <c r="H22" i="1" s="1"/>
  <c r="AI15" i="1"/>
  <c r="BF18" i="1"/>
  <c r="S10" i="1"/>
  <c r="T10" i="1" s="1"/>
  <c r="BA12" i="3"/>
  <c r="AI10" i="1"/>
  <c r="AS41" i="1"/>
  <c r="AS25" i="1"/>
  <c r="AT25" i="1" s="1"/>
  <c r="BC21" i="1"/>
  <c r="BE28" i="1"/>
  <c r="G18" i="1"/>
  <c r="H18" i="1" s="1"/>
  <c r="AS9" i="1"/>
  <c r="AT9" i="1" s="1"/>
  <c r="BF41" i="1"/>
  <c r="G10" i="1"/>
  <c r="H10" i="1" s="1"/>
  <c r="G42" i="1"/>
  <c r="H42" i="1" s="1"/>
  <c r="G16" i="1"/>
  <c r="H16" i="1" s="1"/>
  <c r="AI19" i="1"/>
  <c r="AJ19" i="1" s="1"/>
  <c r="AI32" i="1"/>
  <c r="G26" i="1"/>
  <c r="H26" i="1" s="1"/>
  <c r="S33" i="1"/>
  <c r="T33" i="1" s="1"/>
  <c r="BE36" i="1"/>
  <c r="AI26" i="1"/>
  <c r="AI35" i="1"/>
  <c r="AI30" i="1"/>
  <c r="AJ30" i="1" s="1"/>
  <c r="G13" i="1"/>
  <c r="H13" i="1" s="1"/>
  <c r="AS34" i="1"/>
  <c r="S17" i="1"/>
  <c r="T17" i="1" s="1"/>
  <c r="BC29" i="1"/>
  <c r="AI9" i="1"/>
  <c r="AJ9" i="1" s="1"/>
  <c r="G38" i="1"/>
  <c r="H38" i="1" s="1"/>
  <c r="AI31" i="1"/>
  <c r="AJ31" i="1" s="1"/>
  <c r="AI42" i="1"/>
  <c r="AJ42" i="1" s="1"/>
  <c r="AI13" i="1"/>
  <c r="AJ13" i="1" s="1"/>
  <c r="BC31" i="1"/>
  <c r="AI14" i="1"/>
  <c r="G30" i="1"/>
  <c r="H30" i="1" s="1"/>
  <c r="G39" i="1"/>
  <c r="H39" i="1" s="1"/>
  <c r="G14" i="1"/>
  <c r="H14" i="1" s="1"/>
  <c r="AI7" i="1"/>
  <c r="AI25" i="1"/>
  <c r="AJ25" i="1" s="1"/>
  <c r="G7" i="1"/>
  <c r="H7" i="1" s="1"/>
  <c r="AI41" i="1"/>
  <c r="AK41" i="1" s="1"/>
  <c r="AI22" i="1"/>
  <c r="AI38" i="1"/>
  <c r="G15" i="1"/>
  <c r="H15" i="1" s="1"/>
  <c r="AS17" i="1"/>
  <c r="AS33" i="1"/>
  <c r="E10" i="1"/>
  <c r="BA10" i="3"/>
  <c r="BE8" i="1"/>
  <c r="BE14" i="1"/>
  <c r="BF14" i="1" s="1"/>
  <c r="BE32" i="1"/>
  <c r="BE16" i="1"/>
  <c r="BE38" i="1"/>
  <c r="BF38" i="1" s="1"/>
  <c r="BE22" i="1"/>
  <c r="BF22" i="1" s="1"/>
  <c r="BE7" i="1"/>
  <c r="BE15" i="1"/>
  <c r="BF15" i="1" s="1"/>
  <c r="BE23" i="1"/>
  <c r="BF23" i="1" s="1"/>
  <c r="BE31" i="1"/>
  <c r="BE39" i="1"/>
  <c r="BF39" i="1" s="1"/>
  <c r="BC25" i="1"/>
  <c r="BF25" i="1" s="1"/>
  <c r="BC9" i="1"/>
  <c r="BF9" i="1" s="1"/>
  <c r="BC35" i="1"/>
  <c r="BC19" i="1"/>
  <c r="BF19" i="1" s="1"/>
  <c r="BC8" i="1"/>
  <c r="BC16" i="1"/>
  <c r="BF16" i="1" s="1"/>
  <c r="BC24" i="1"/>
  <c r="BF24" i="1" s="1"/>
  <c r="BC32" i="1"/>
  <c r="BF32" i="1" s="1"/>
  <c r="BC40" i="1"/>
  <c r="BF40" i="1" s="1"/>
  <c r="BE42" i="1"/>
  <c r="BF42" i="1" s="1"/>
  <c r="BE10" i="1"/>
  <c r="BF10" i="1" s="1"/>
  <c r="BE21" i="1"/>
  <c r="BE37" i="1"/>
  <c r="BF37" i="1" s="1"/>
  <c r="BE24" i="1"/>
  <c r="BE30" i="1"/>
  <c r="BF30" i="1" s="1"/>
  <c r="BE11" i="1"/>
  <c r="BE19" i="1"/>
  <c r="BE27" i="1"/>
  <c r="BE35" i="1"/>
  <c r="BC33" i="1"/>
  <c r="BF33" i="1" s="1"/>
  <c r="BC17" i="1"/>
  <c r="BF17" i="1" s="1"/>
  <c r="BC27" i="1"/>
  <c r="BF27" i="1" s="1"/>
  <c r="BC11" i="1"/>
  <c r="BC12" i="1"/>
  <c r="BF12" i="1" s="1"/>
  <c r="BC20" i="1"/>
  <c r="BC28" i="1"/>
  <c r="BF28" i="1" s="1"/>
  <c r="BC36" i="1"/>
  <c r="BE20" i="1"/>
  <c r="BE26" i="1"/>
  <c r="BF26" i="1" s="1"/>
  <c r="BE13" i="1"/>
  <c r="BF13" i="1" s="1"/>
  <c r="BE29" i="1"/>
  <c r="BF7" i="1"/>
  <c r="AI17" i="1"/>
  <c r="AI11" i="1"/>
  <c r="AK11" i="1" s="1"/>
  <c r="S20" i="1"/>
  <c r="T20" i="1" s="1"/>
  <c r="S26" i="1"/>
  <c r="T26" i="1" s="1"/>
  <c r="S13" i="1"/>
  <c r="T13" i="1" s="1"/>
  <c r="S29" i="1"/>
  <c r="T29" i="1" s="1"/>
  <c r="G12" i="1"/>
  <c r="H12" i="1" s="1"/>
  <c r="G28" i="1"/>
  <c r="H28" i="1" s="1"/>
  <c r="G33" i="1"/>
  <c r="H33" i="1" s="1"/>
  <c r="G17" i="1"/>
  <c r="H17" i="1" s="1"/>
  <c r="G27" i="1"/>
  <c r="H27" i="1" s="1"/>
  <c r="G11" i="1"/>
  <c r="H11" i="1" s="1"/>
  <c r="AI12" i="1"/>
  <c r="AI20" i="1"/>
  <c r="AI28" i="1"/>
  <c r="AJ28" i="1" s="1"/>
  <c r="AI36" i="1"/>
  <c r="AK36" i="1" s="1"/>
  <c r="S32" i="1"/>
  <c r="T32" i="1" s="1"/>
  <c r="AS32" i="1"/>
  <c r="S16" i="1"/>
  <c r="T16" i="1" s="1"/>
  <c r="AS16" i="1"/>
  <c r="S38" i="1"/>
  <c r="T38" i="1" s="1"/>
  <c r="AS38" i="1"/>
  <c r="S22" i="1"/>
  <c r="T22" i="1" s="1"/>
  <c r="AS22" i="1"/>
  <c r="S7" i="1"/>
  <c r="T7" i="1" s="1"/>
  <c r="AS7" i="1"/>
  <c r="S15" i="1"/>
  <c r="T15" i="1" s="1"/>
  <c r="AS15" i="1"/>
  <c r="S23" i="1"/>
  <c r="T23" i="1" s="1"/>
  <c r="AS23" i="1"/>
  <c r="S31" i="1"/>
  <c r="T31" i="1" s="1"/>
  <c r="AS31" i="1"/>
  <c r="S39" i="1"/>
  <c r="T39" i="1" s="1"/>
  <c r="AS39" i="1"/>
  <c r="AJ33" i="1"/>
  <c r="AK33" i="1"/>
  <c r="AK17" i="1"/>
  <c r="AJ35" i="1"/>
  <c r="AK35" i="1"/>
  <c r="AJ27" i="1"/>
  <c r="AK27" i="1"/>
  <c r="AK19" i="1"/>
  <c r="AT36" i="1"/>
  <c r="AU36" i="1"/>
  <c r="AT20" i="1"/>
  <c r="AU20" i="1"/>
  <c r="AT42" i="1"/>
  <c r="AU42" i="1"/>
  <c r="AT26" i="1"/>
  <c r="AU26" i="1"/>
  <c r="AT10" i="1"/>
  <c r="AU10" i="1"/>
  <c r="AJ10" i="1"/>
  <c r="AK10" i="1"/>
  <c r="AJ14" i="1"/>
  <c r="AK14" i="1"/>
  <c r="AJ18" i="1"/>
  <c r="AK18" i="1"/>
  <c r="AJ22" i="1"/>
  <c r="AK22" i="1"/>
  <c r="AJ26" i="1"/>
  <c r="AK26" i="1"/>
  <c r="AJ34" i="1"/>
  <c r="AK34" i="1"/>
  <c r="AJ38" i="1"/>
  <c r="AK38" i="1"/>
  <c r="AT13" i="1"/>
  <c r="AU13" i="1"/>
  <c r="AT21" i="1"/>
  <c r="AU21" i="1"/>
  <c r="AT29" i="1"/>
  <c r="AU29" i="1"/>
  <c r="AT37" i="1"/>
  <c r="AU37" i="1"/>
  <c r="S24" i="1"/>
  <c r="T24" i="1" s="1"/>
  <c r="AS24" i="1"/>
  <c r="S8" i="1"/>
  <c r="T8" i="1" s="1"/>
  <c r="AS8" i="1"/>
  <c r="S30" i="1"/>
  <c r="T30" i="1" s="1"/>
  <c r="AS30" i="1"/>
  <c r="S14" i="1"/>
  <c r="T14" i="1" s="1"/>
  <c r="AS14" i="1"/>
  <c r="S11" i="1"/>
  <c r="T11" i="1" s="1"/>
  <c r="AS11" i="1"/>
  <c r="S19" i="1"/>
  <c r="T19" i="1" s="1"/>
  <c r="AS19" i="1"/>
  <c r="S27" i="1"/>
  <c r="T27" i="1" s="1"/>
  <c r="AS27" i="1"/>
  <c r="S35" i="1"/>
  <c r="T35" i="1" s="1"/>
  <c r="AS35" i="1"/>
  <c r="AJ37" i="1"/>
  <c r="AK37" i="1"/>
  <c r="AJ29" i="1"/>
  <c r="AK29" i="1"/>
  <c r="AJ21" i="1"/>
  <c r="AK21" i="1"/>
  <c r="AJ39" i="1"/>
  <c r="AK39" i="1"/>
  <c r="AJ23" i="1"/>
  <c r="AK23" i="1"/>
  <c r="AJ15" i="1"/>
  <c r="AK15" i="1"/>
  <c r="AK7" i="1"/>
  <c r="AJ7" i="1"/>
  <c r="AT40" i="1"/>
  <c r="AU40" i="1"/>
  <c r="AT41" i="1"/>
  <c r="AU41" i="1"/>
  <c r="AT28" i="1"/>
  <c r="AU28" i="1"/>
  <c r="AT12" i="1"/>
  <c r="AU12" i="1"/>
  <c r="AT34" i="1"/>
  <c r="AU34" i="1"/>
  <c r="AT18" i="1"/>
  <c r="AU18" i="1"/>
  <c r="AJ8" i="1"/>
  <c r="AK8" i="1"/>
  <c r="AJ12" i="1"/>
  <c r="AJ16" i="1"/>
  <c r="AK16" i="1"/>
  <c r="AJ24" i="1"/>
  <c r="AK24" i="1"/>
  <c r="AJ32" i="1"/>
  <c r="AK32" i="1"/>
  <c r="AJ36" i="1"/>
  <c r="AJ40" i="1"/>
  <c r="AK40" i="1"/>
  <c r="AT17" i="1"/>
  <c r="AU17" i="1"/>
  <c r="AT33" i="1"/>
  <c r="AU33" i="1"/>
  <c r="AK9" i="1" l="1"/>
  <c r="AK13" i="1"/>
  <c r="AK42" i="1"/>
  <c r="AU25" i="1"/>
  <c r="BF31" i="1"/>
  <c r="BF29" i="1"/>
  <c r="BA14" i="3"/>
  <c r="BF21" i="1"/>
  <c r="AK31" i="1"/>
  <c r="BF36" i="1"/>
  <c r="BF11" i="1"/>
  <c r="BF35" i="1"/>
  <c r="AU9" i="1"/>
  <c r="AK30" i="1"/>
  <c r="AJ41" i="1"/>
  <c r="BF20" i="1"/>
  <c r="H44" i="1"/>
  <c r="AE4" i="1" s="1"/>
  <c r="BF8" i="1"/>
  <c r="AK25" i="1"/>
  <c r="AJ20" i="1"/>
  <c r="AJ11" i="1"/>
  <c r="AK28" i="1"/>
  <c r="E11" i="1"/>
  <c r="AK12" i="1"/>
  <c r="AJ17" i="1"/>
  <c r="T44" i="1"/>
  <c r="AE10" i="1" s="1"/>
  <c r="G44" i="1"/>
  <c r="AK20" i="1"/>
  <c r="S44" i="1"/>
  <c r="AT35" i="1"/>
  <c r="AU35" i="1"/>
  <c r="AT27" i="1"/>
  <c r="AU27" i="1"/>
  <c r="AT19" i="1"/>
  <c r="AU19" i="1"/>
  <c r="AT11" i="1"/>
  <c r="AU11" i="1"/>
  <c r="AT14" i="1"/>
  <c r="AU14" i="1"/>
  <c r="AT30" i="1"/>
  <c r="AU30" i="1"/>
  <c r="AT8" i="1"/>
  <c r="AU8" i="1"/>
  <c r="AT24" i="1"/>
  <c r="AU24" i="1"/>
  <c r="AT39" i="1"/>
  <c r="AU39" i="1"/>
  <c r="AT31" i="1"/>
  <c r="AU31" i="1"/>
  <c r="AT23" i="1"/>
  <c r="AU23" i="1"/>
  <c r="AT15" i="1"/>
  <c r="AU15" i="1"/>
  <c r="AT7" i="1"/>
  <c r="AU7" i="1"/>
  <c r="AT22" i="1"/>
  <c r="AU22" i="1"/>
  <c r="AT38" i="1"/>
  <c r="AU38" i="1"/>
  <c r="AT16" i="1"/>
  <c r="AU16" i="1"/>
  <c r="AT32" i="1"/>
  <c r="AU32" i="1"/>
  <c r="BM18" i="3" l="1"/>
  <c r="AE6" i="1"/>
  <c r="M10" i="1"/>
  <c r="AJ44" i="1"/>
  <c r="BF44" i="1"/>
  <c r="BJ4" i="1" s="1"/>
  <c r="BJ6" i="1" s="1"/>
  <c r="AK44" i="1"/>
  <c r="AP14" i="1" s="1"/>
  <c r="AP16" i="1" s="1"/>
  <c r="E12" i="1"/>
  <c r="AE14" i="1"/>
  <c r="AE12" i="1"/>
  <c r="D12" i="3"/>
  <c r="AE8" i="1"/>
  <c r="Y10" i="1"/>
  <c r="M8" i="1"/>
  <c r="AP4" i="1"/>
  <c r="Y8" i="1"/>
  <c r="AT44" i="1"/>
  <c r="AU44" i="1"/>
  <c r="AP12" i="1" l="1"/>
  <c r="D10" i="3"/>
  <c r="D14" i="3" s="1"/>
  <c r="BM12" i="3" s="1"/>
  <c r="BM16" i="3" s="1"/>
  <c r="AP6" i="1"/>
  <c r="AP8" i="1" s="1"/>
  <c r="E13" i="1"/>
  <c r="AZ12" i="1"/>
  <c r="AZ4" i="1"/>
  <c r="AZ6" i="1"/>
  <c r="AZ8" i="1" s="1"/>
  <c r="AZ14" i="1"/>
  <c r="AZ16" i="1" s="1"/>
  <c r="BE12" i="3" l="1"/>
  <c r="BE14" i="3" s="1"/>
  <c r="AP10" i="1"/>
  <c r="E14" i="1"/>
  <c r="D16" i="3"/>
  <c r="BE10" i="3"/>
  <c r="AZ10" i="1"/>
  <c r="BH45" i="3" l="1"/>
  <c r="BH41" i="3"/>
  <c r="BI41" i="3" s="1"/>
  <c r="BH37" i="3"/>
  <c r="BI37" i="3" s="1"/>
  <c r="BH33" i="3"/>
  <c r="BI33" i="3" s="1"/>
  <c r="BH29" i="3"/>
  <c r="BH25" i="3"/>
  <c r="BH21" i="3"/>
  <c r="BI21" i="3" s="1"/>
  <c r="BH17" i="3"/>
  <c r="BI17" i="3" s="1"/>
  <c r="BH13" i="3"/>
  <c r="BH44" i="3"/>
  <c r="BI44" i="3" s="1"/>
  <c r="BH40" i="3"/>
  <c r="BI40" i="3" s="1"/>
  <c r="BH36" i="3"/>
  <c r="BI36" i="3" s="1"/>
  <c r="BH32" i="3"/>
  <c r="BH28" i="3"/>
  <c r="BI28" i="3" s="1"/>
  <c r="BH24" i="3"/>
  <c r="BI24" i="3" s="1"/>
  <c r="BH20" i="3"/>
  <c r="BI20" i="3" s="1"/>
  <c r="BH43" i="3"/>
  <c r="BH39" i="3"/>
  <c r="BI39" i="3" s="1"/>
  <c r="BH35" i="3"/>
  <c r="BI35" i="3" s="1"/>
  <c r="BH31" i="3"/>
  <c r="BI31" i="3" s="1"/>
  <c r="BH27" i="3"/>
  <c r="BH23" i="3"/>
  <c r="BI23" i="3" s="1"/>
  <c r="BH19" i="3"/>
  <c r="BI19" i="3" s="1"/>
  <c r="BH15" i="3"/>
  <c r="BI15" i="3" s="1"/>
  <c r="BH11" i="3"/>
  <c r="BH42" i="3"/>
  <c r="BI42" i="3" s="1"/>
  <c r="BH26" i="3"/>
  <c r="BI26" i="3" s="1"/>
  <c r="BH14" i="3"/>
  <c r="BI14" i="3" s="1"/>
  <c r="BH38" i="3"/>
  <c r="BH22" i="3"/>
  <c r="BI22" i="3" s="1"/>
  <c r="BH12" i="3"/>
  <c r="BI12" i="3" s="1"/>
  <c r="BH34" i="3"/>
  <c r="BI34" i="3" s="1"/>
  <c r="BH18" i="3"/>
  <c r="BH10" i="3"/>
  <c r="BH30" i="3"/>
  <c r="BI30" i="3" s="1"/>
  <c r="BH16" i="3"/>
  <c r="BI16" i="3" s="1"/>
  <c r="E15" i="1"/>
  <c r="BI45" i="3"/>
  <c r="BI43" i="3"/>
  <c r="BI29" i="3"/>
  <c r="BI27" i="3"/>
  <c r="BI25" i="3"/>
  <c r="BI13" i="3"/>
  <c r="BI11" i="3"/>
  <c r="BI38" i="3"/>
  <c r="BI32" i="3"/>
  <c r="BI18" i="3"/>
  <c r="E16" i="1" l="1"/>
  <c r="BI10" i="3"/>
  <c r="BI47" i="3" s="1"/>
  <c r="BM10" i="3" s="1"/>
  <c r="BH47" i="3"/>
  <c r="BM14" i="3" l="1"/>
  <c r="E17" i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M6" i="1" l="1"/>
  <c r="L12" i="4" l="1"/>
  <c r="L8" i="4"/>
  <c r="P28" i="2"/>
  <c r="L20" i="4"/>
  <c r="L24" i="4"/>
  <c r="L16" i="4"/>
  <c r="L4" i="4"/>
  <c r="R12" i="4"/>
  <c r="R8" i="4"/>
  <c r="N24" i="5"/>
  <c r="AG10" i="2"/>
  <c r="AG12" i="2" s="1"/>
  <c r="AG18" i="2"/>
  <c r="P8" i="2"/>
  <c r="P14" i="2"/>
  <c r="AG20" i="2" l="1"/>
  <c r="P18" i="2"/>
  <c r="G9" i="8" s="1"/>
  <c r="P16" i="2"/>
  <c r="G7" i="8" s="1"/>
  <c r="G5" i="8"/>
</calcChain>
</file>

<file path=xl/sharedStrings.xml><?xml version="1.0" encoding="utf-8"?>
<sst xmlns="http://schemas.openxmlformats.org/spreadsheetml/2006/main" count="7036" uniqueCount="1197">
  <si>
    <t xml:space="preserve"> </t>
  </si>
  <si>
    <t>Portfolio</t>
  </si>
  <si>
    <t>Monthly</t>
  </si>
  <si>
    <t>Return</t>
  </si>
  <si>
    <t>Unit</t>
  </si>
  <si>
    <t>Price</t>
  </si>
  <si>
    <t>average</t>
  </si>
  <si>
    <t>Average</t>
  </si>
  <si>
    <t>Absolute</t>
  </si>
  <si>
    <t>Deviation</t>
  </si>
  <si>
    <t>Squared</t>
  </si>
  <si>
    <t>Month</t>
  </si>
  <si>
    <t>Mean</t>
  </si>
  <si>
    <t>deviation</t>
  </si>
  <si>
    <t>Variance</t>
  </si>
  <si>
    <t>Benchmark</t>
  </si>
  <si>
    <t>Total</t>
  </si>
  <si>
    <t xml:space="preserve">from </t>
  </si>
  <si>
    <t>squared</t>
  </si>
  <si>
    <t>Skewness</t>
  </si>
  <si>
    <t>Sample standard deviation</t>
  </si>
  <si>
    <t>Kurtosis</t>
  </si>
  <si>
    <t>Excess kurtosis</t>
  </si>
  <si>
    <t>Sample kurtosis</t>
  </si>
  <si>
    <t>cubed</t>
  </si>
  <si>
    <t>4th power</t>
  </si>
  <si>
    <t>Correlation</t>
  </si>
  <si>
    <t>Covariance</t>
  </si>
  <si>
    <t>&gt;0%</t>
  </si>
  <si>
    <t>Count</t>
  </si>
  <si>
    <t>Annualised standard deviation</t>
  </si>
  <si>
    <t>Regression beta</t>
  </si>
  <si>
    <t>Regression alpha</t>
  </si>
  <si>
    <t>Benchmark variance</t>
  </si>
  <si>
    <t>Jensen's alpha</t>
  </si>
  <si>
    <t>Downside potential</t>
  </si>
  <si>
    <t>Downside risk</t>
  </si>
  <si>
    <t>Annualised downside risk</t>
  </si>
  <si>
    <t>Upside potential</t>
  </si>
  <si>
    <t>Upside risk</t>
  </si>
  <si>
    <t>Annualised upside risk</t>
  </si>
  <si>
    <t>Omega Ratio</t>
  </si>
  <si>
    <t>Sortino ratio</t>
  </si>
  <si>
    <t>Monthly minimum target return</t>
  </si>
  <si>
    <t>Annualised minimum target return</t>
  </si>
  <si>
    <t>Upside Potential Ratio</t>
  </si>
  <si>
    <t>Varaibility skewness</t>
  </si>
  <si>
    <t>Annualised return</t>
  </si>
  <si>
    <t>Mean absolute deviation</t>
  </si>
  <si>
    <t>monthly</t>
  </si>
  <si>
    <t>return</t>
  </si>
  <si>
    <t>Portfolio standard deviation</t>
  </si>
  <si>
    <t>Benchmark standard deviation</t>
  </si>
  <si>
    <t>Excel functions</t>
  </si>
  <si>
    <t>Bera-Jacque test</t>
  </si>
  <si>
    <t>Sample skewness</t>
  </si>
  <si>
    <t>Sample excess kurtosis</t>
  </si>
  <si>
    <t>Sample skew</t>
  </si>
  <si>
    <t>x</t>
  </si>
  <si>
    <t>Benchmark deviation</t>
  </si>
  <si>
    <t>Portfolio Deviation</t>
  </si>
  <si>
    <t>from</t>
  </si>
  <si>
    <t>Cummulative</t>
  </si>
  <si>
    <t>Sharpe ratio</t>
  </si>
  <si>
    <t>Annualised risk free rate</t>
  </si>
  <si>
    <t>Alternative Sharpe ratio</t>
  </si>
  <si>
    <t>Standard deviation of RFR</t>
  </si>
  <si>
    <t>Annualised risk of RFR</t>
  </si>
  <si>
    <t>Adjusted Sharpe ratio</t>
  </si>
  <si>
    <t>Risk Free</t>
  </si>
  <si>
    <t>Rate</t>
  </si>
  <si>
    <t>Excess</t>
  </si>
  <si>
    <t>Standard deviation excess return</t>
  </si>
  <si>
    <t>Annualised risk</t>
  </si>
  <si>
    <t>Revised Sharpe ratio</t>
  </si>
  <si>
    <t>Arithmetic</t>
  </si>
  <si>
    <t>Geometric</t>
  </si>
  <si>
    <t>Arithmetic tracking error</t>
  </si>
  <si>
    <t>Annualised tracking error</t>
  </si>
  <si>
    <t>Arithmetic  excess return</t>
  </si>
  <si>
    <t>Geometric tracking error</t>
  </si>
  <si>
    <t>Geometric excess return</t>
  </si>
  <si>
    <t>Geometric Information ratio</t>
  </si>
  <si>
    <t>Arithmetic Information ratio</t>
  </si>
  <si>
    <t>Risk</t>
  </si>
  <si>
    <t>Free</t>
  </si>
  <si>
    <t>Portfolio deviation</t>
  </si>
  <si>
    <t>X</t>
  </si>
  <si>
    <t>&lt;0%</t>
  </si>
  <si>
    <t>Bull</t>
  </si>
  <si>
    <t>Bear</t>
  </si>
  <si>
    <t>Bull beta</t>
  </si>
  <si>
    <t>Bear beta</t>
  </si>
  <si>
    <t>Beta timing ratio</t>
  </si>
  <si>
    <r>
      <t>R</t>
    </r>
    <r>
      <rPr>
        <vertAlign val="superscript"/>
        <sz val="11"/>
        <rFont val="Calibri"/>
        <family val="2"/>
        <scheme val="minor"/>
      </rPr>
      <t>2</t>
    </r>
  </si>
  <si>
    <t>CAPM beta</t>
  </si>
  <si>
    <t>downside</t>
  </si>
  <si>
    <t>upside</t>
  </si>
  <si>
    <t xml:space="preserve">   </t>
  </si>
  <si>
    <t xml:space="preserve">  </t>
  </si>
  <si>
    <t xml:space="preserve">Monthly minimum target return </t>
  </si>
  <si>
    <t>Period</t>
  </si>
  <si>
    <t>IRR</t>
  </si>
  <si>
    <t>Weighted average cash flow</t>
  </si>
  <si>
    <t>Macaulay duration</t>
  </si>
  <si>
    <t>Modified duration</t>
  </si>
  <si>
    <t>Macaulay-weil duration</t>
  </si>
  <si>
    <t>Modified Duration</t>
  </si>
  <si>
    <t>Excel Functions</t>
  </si>
  <si>
    <t>Settlement Date</t>
  </si>
  <si>
    <t>Maturity Date</t>
  </si>
  <si>
    <t>Coupon</t>
  </si>
  <si>
    <t>Yield</t>
  </si>
  <si>
    <t>Frequency</t>
  </si>
  <si>
    <t>Basis</t>
  </si>
  <si>
    <t>Macaulay Duration</t>
  </si>
  <si>
    <t>Cash</t>
  </si>
  <si>
    <t>Flow</t>
  </si>
  <si>
    <t>Time X</t>
  </si>
  <si>
    <t>Present</t>
  </si>
  <si>
    <t>Value</t>
  </si>
  <si>
    <t>Spot</t>
  </si>
  <si>
    <t>+0.25%</t>
  </si>
  <si>
    <t>-0.25%</t>
  </si>
  <si>
    <t>present</t>
  </si>
  <si>
    <t>Effective duration</t>
  </si>
  <si>
    <t>Convexity</t>
  </si>
  <si>
    <t>Modified convexity</t>
  </si>
  <si>
    <t>Effective convexity</t>
  </si>
  <si>
    <t>Actual price change</t>
  </si>
  <si>
    <t xml:space="preserve"> +0.25% yield</t>
  </si>
  <si>
    <t>-0.25% yield</t>
  </si>
  <si>
    <t>Using modified duration and modified convexity</t>
  </si>
  <si>
    <t>Using effective duration and effective convexity</t>
  </si>
  <si>
    <t>t*(t+1)</t>
  </si>
  <si>
    <t>t*(t+1) *</t>
  </si>
  <si>
    <t>value</t>
  </si>
  <si>
    <r>
      <t>M</t>
    </r>
    <r>
      <rPr>
        <vertAlign val="superscript"/>
        <sz val="11"/>
        <rFont val="Calibri"/>
        <family val="2"/>
        <scheme val="minor"/>
      </rPr>
      <t>2</t>
    </r>
  </si>
  <si>
    <r>
      <t>Adjusted M</t>
    </r>
    <r>
      <rPr>
        <vertAlign val="superscript"/>
        <sz val="11"/>
        <rFont val="Calibri"/>
        <family val="2"/>
        <scheme val="minor"/>
      </rPr>
      <t>2</t>
    </r>
  </si>
  <si>
    <t>Error</t>
  </si>
  <si>
    <t>term</t>
  </si>
  <si>
    <t>Residual</t>
  </si>
  <si>
    <t>Specific risk</t>
  </si>
  <si>
    <t>Systematic risk</t>
  </si>
  <si>
    <t>Regression</t>
  </si>
  <si>
    <t/>
  </si>
  <si>
    <t>drawdown</t>
  </si>
  <si>
    <t>Drawdown</t>
  </si>
  <si>
    <t>Continuous</t>
  </si>
  <si>
    <t>peak</t>
  </si>
  <si>
    <t>Peak</t>
  </si>
  <si>
    <t>Maximum Drawdown</t>
  </si>
  <si>
    <t>Maximum Drawdown (year 1)</t>
  </si>
  <si>
    <t>Maximum Drawdown (year 2)</t>
  </si>
  <si>
    <t>Maximum Drawdown (year 3)</t>
  </si>
  <si>
    <t>Adjusted</t>
  </si>
  <si>
    <t>unit</t>
  </si>
  <si>
    <t>price</t>
  </si>
  <si>
    <t>Calmar ratio</t>
  </si>
  <si>
    <t>Largest Individual drawdown 1</t>
  </si>
  <si>
    <t>Largest Individual drawdown 2</t>
  </si>
  <si>
    <t>Largest Individual drawdown 3</t>
  </si>
  <si>
    <t>Sterling ratio</t>
  </si>
  <si>
    <t>Drawdown deviation</t>
  </si>
  <si>
    <t>Average drawdown</t>
  </si>
  <si>
    <t>Modified Burke Ratio</t>
  </si>
  <si>
    <t>Average Maximum Drawdown</t>
  </si>
  <si>
    <t>Sterling-Calmar Ratio</t>
  </si>
  <si>
    <t>Pain index</t>
  </si>
  <si>
    <t>Pain Ratio</t>
  </si>
  <si>
    <t>Ulcer Index</t>
  </si>
  <si>
    <t>Martin Ratio</t>
  </si>
  <si>
    <t>Maximum drawdown</t>
  </si>
  <si>
    <t>Skew -adjusted Sharpe ratio</t>
  </si>
  <si>
    <r>
      <t>Skew-Adjusted M</t>
    </r>
    <r>
      <rPr>
        <vertAlign val="superscript"/>
        <sz val="11"/>
        <rFont val="Calibri"/>
        <family val="2"/>
        <scheme val="minor"/>
      </rPr>
      <t>2</t>
    </r>
  </si>
  <si>
    <t>Continuous definition</t>
  </si>
  <si>
    <t>Peak to trough definition</t>
  </si>
  <si>
    <t>Largest individual drawdown 1</t>
  </si>
  <si>
    <t>Largest individual drawdown 2</t>
  </si>
  <si>
    <t>Largest individual 3</t>
  </si>
  <si>
    <t>Drawdown Squared</t>
  </si>
  <si>
    <t>Month 6</t>
  </si>
  <si>
    <t>Month 12</t>
  </si>
  <si>
    <t>Month 18</t>
  </si>
  <si>
    <t>Month 30</t>
  </si>
  <si>
    <t>Month 36</t>
  </si>
  <si>
    <t>Month 24</t>
  </si>
  <si>
    <t>Drawdown Graph</t>
  </si>
  <si>
    <t>Total risk</t>
  </si>
  <si>
    <t xml:space="preserve">Total Risk </t>
  </si>
  <si>
    <t>Practical Portfolio Performance Measurement &amp; Attribution -3rd Edition</t>
  </si>
  <si>
    <t>Contents</t>
  </si>
  <si>
    <t>Exhibit</t>
  </si>
  <si>
    <t>Table</t>
  </si>
  <si>
    <t>Page</t>
  </si>
  <si>
    <t>Worksheet</t>
  </si>
  <si>
    <t>Return Calculations</t>
  </si>
  <si>
    <t>Benchmarks</t>
  </si>
  <si>
    <t>Duration</t>
  </si>
  <si>
    <t>Brinson, Hood &amp; Beebower</t>
  </si>
  <si>
    <t>Brinson &amp; Fachler</t>
  </si>
  <si>
    <t>Including Interaction</t>
  </si>
  <si>
    <t>Ankrim &amp; Hansel</t>
  </si>
  <si>
    <t>Karnosky &amp; Singer</t>
  </si>
  <si>
    <t>Naïve Multi-Currency</t>
  </si>
  <si>
    <t>Multi-Currency Geometric</t>
  </si>
  <si>
    <t>Currency including timing</t>
  </si>
  <si>
    <t>Currency plus forwards</t>
  </si>
  <si>
    <t>Weighted Duration</t>
  </si>
  <si>
    <t>Campisi</t>
  </si>
  <si>
    <t>Carino Smoothing</t>
  </si>
  <si>
    <t>Menchero Smoothing</t>
  </si>
  <si>
    <t>GRAP Method</t>
  </si>
  <si>
    <t>Frongello Method</t>
  </si>
  <si>
    <t>Multi-period Geometric</t>
  </si>
  <si>
    <t>Multi-level</t>
  </si>
  <si>
    <t>Risk-adjusted Attribution</t>
  </si>
  <si>
    <t>Attribution with Futures</t>
  </si>
  <si>
    <t>Exhibit 3.4</t>
  </si>
  <si>
    <t>Market  start value</t>
  </si>
  <si>
    <t>Simple IRR</t>
  </si>
  <si>
    <t>Market  end  value</t>
  </si>
  <si>
    <t>External cash flow</t>
  </si>
  <si>
    <t>Check</t>
  </si>
  <si>
    <t>Exhibit 3.5</t>
  </si>
  <si>
    <r>
      <t>D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>=</t>
    </r>
  </si>
  <si>
    <t>14th January</t>
  </si>
  <si>
    <t>TD=</t>
  </si>
  <si>
    <t>January=31 days</t>
  </si>
  <si>
    <t>Exhibit 3.6</t>
  </si>
  <si>
    <t>(Using quadratic equation)</t>
  </si>
  <si>
    <r>
      <t>(1+r)</t>
    </r>
    <r>
      <rPr>
        <vertAlign val="superscript"/>
        <sz val="10"/>
        <rFont val="Arial"/>
        <family val="2"/>
      </rPr>
      <t xml:space="preserve">0.5 </t>
    </r>
    <r>
      <rPr>
        <sz val="10"/>
        <rFont val="Arial"/>
        <family val="2"/>
      </rPr>
      <t>=</t>
    </r>
  </si>
  <si>
    <t>Exhibit 3.7</t>
  </si>
  <si>
    <t>Simple Dietz</t>
  </si>
  <si>
    <t>r =</t>
  </si>
  <si>
    <t>Exhibit 3.8</t>
  </si>
  <si>
    <t>ICAA</t>
  </si>
  <si>
    <t>Total income</t>
  </si>
  <si>
    <t>Income reinvested</t>
  </si>
  <si>
    <t>Exhibit 3.9</t>
  </si>
  <si>
    <t>Income Unavailable</t>
  </si>
  <si>
    <t>Exhibit 3.10</t>
  </si>
  <si>
    <t>Modified Dietz</t>
  </si>
  <si>
    <t>End of Day</t>
  </si>
  <si>
    <t>Start of Day</t>
  </si>
  <si>
    <t>One extra day for the portfolio manager to manage the assets</t>
  </si>
  <si>
    <t>Exhibit 3.11</t>
  </si>
  <si>
    <t>True Time weighted</t>
  </si>
  <si>
    <t>End of day cash flow</t>
  </si>
  <si>
    <t>Market value 14th Jan</t>
  </si>
  <si>
    <t>End of day valuation</t>
  </si>
  <si>
    <t>First Sub-period</t>
  </si>
  <si>
    <r>
      <t>r</t>
    </r>
    <r>
      <rPr>
        <vertAlign val="sub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=</t>
    </r>
  </si>
  <si>
    <t xml:space="preserve">2nd Sub-period </t>
  </si>
  <si>
    <r>
      <t>r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=</t>
    </r>
  </si>
  <si>
    <t>Total period</t>
  </si>
  <si>
    <r>
      <t>r = (1+r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)*(1+r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)-1=</t>
    </r>
  </si>
  <si>
    <t>Exhibit 3.12</t>
  </si>
  <si>
    <t>Start of day cash flow</t>
  </si>
  <si>
    <t>Start of day valuation</t>
  </si>
  <si>
    <t>Exhibit 3.13</t>
  </si>
  <si>
    <t>Time weighted</t>
  </si>
  <si>
    <t>Midday cash flow</t>
  </si>
  <si>
    <t>Market value start of 14th Jan</t>
  </si>
  <si>
    <t>Market value end of  14th Jan</t>
  </si>
  <si>
    <t>Day of cash flow</t>
  </si>
  <si>
    <t>Or alternatively</t>
  </si>
  <si>
    <t>Simple Dietz on the day of cashflow</t>
  </si>
  <si>
    <r>
      <t>Hence not true time-weighted  because r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is effective money-weighted</t>
    </r>
  </si>
  <si>
    <t>Final sub-period</t>
  </si>
  <si>
    <r>
      <t>r</t>
    </r>
    <r>
      <rPr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</si>
  <si>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r = (1+r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)*(1+r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)*(1+r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)-1=</t>
    </r>
  </si>
  <si>
    <t>Exhibit 3.17</t>
  </si>
  <si>
    <t>Valuation Error</t>
  </si>
  <si>
    <t>Erroneous market value</t>
  </si>
  <si>
    <t>Exhibit 3.18</t>
  </si>
  <si>
    <t>Index Subsistution</t>
  </si>
  <si>
    <t>66.28+37.1=103.38</t>
  </si>
  <si>
    <t>Exhibit 3.19</t>
  </si>
  <si>
    <t>Poor Estimate</t>
  </si>
  <si>
    <t>68.34+37.1=105.44</t>
  </si>
  <si>
    <t>Exhibit 3.20</t>
  </si>
  <si>
    <t>65.88+37.1=102.98</t>
  </si>
  <si>
    <t>Exhibit 3.21</t>
  </si>
  <si>
    <t>Analyst's Test</t>
  </si>
  <si>
    <t>Index return Jan</t>
  </si>
  <si>
    <t>Index return 31/12 to 14/01</t>
  </si>
  <si>
    <t>Index return 14/01 to 31/01</t>
  </si>
  <si>
    <t>Value of notional fund</t>
  </si>
  <si>
    <t>Weighted Cashflow</t>
  </si>
  <si>
    <t>Exhibit 3.46</t>
  </si>
  <si>
    <t>Inflow -start of day</t>
  </si>
  <si>
    <t>Outflow -end of day</t>
  </si>
  <si>
    <t>External in flow</t>
  </si>
  <si>
    <t>External out flow</t>
  </si>
  <si>
    <t>Net external flow</t>
  </si>
  <si>
    <t>Market value start 14th Jan</t>
  </si>
  <si>
    <t>Before inflow</t>
  </si>
  <si>
    <t>Market value end 14th Jan</t>
  </si>
  <si>
    <t>After outflow</t>
  </si>
  <si>
    <t>Exhibit 3.47</t>
  </si>
  <si>
    <t>Inflow -end of day</t>
  </si>
  <si>
    <t>Outflow -start of day</t>
  </si>
  <si>
    <t>Before outflow</t>
  </si>
  <si>
    <t>After inflow</t>
  </si>
  <si>
    <t>Exhibit 3.48</t>
  </si>
  <si>
    <t>Day 1</t>
  </si>
  <si>
    <t>Day 2</t>
  </si>
  <si>
    <t>Timing of Cash flow</t>
  </si>
  <si>
    <t>Beginning Market Value  value</t>
  </si>
  <si>
    <t>Cash Flow</t>
  </si>
  <si>
    <t>Actual value</t>
  </si>
  <si>
    <t>End market value</t>
  </si>
  <si>
    <t>End of day</t>
  </si>
  <si>
    <t>Two day return</t>
  </si>
  <si>
    <t>Beginning of day</t>
  </si>
  <si>
    <t>Midday</t>
  </si>
  <si>
    <t>Differentiated</t>
  </si>
  <si>
    <t>Inflow (bod), Outflow (eod)</t>
  </si>
  <si>
    <t>Inflow (eod), Outflow (bod)</t>
  </si>
  <si>
    <t>Actual</t>
  </si>
  <si>
    <t>Before first cash flow</t>
  </si>
  <si>
    <t>Between cash flows</t>
  </si>
  <si>
    <t>After 2nd cash flow</t>
  </si>
  <si>
    <t>Exhibit 3-50</t>
  </si>
  <si>
    <t>Multi-period component return</t>
  </si>
  <si>
    <t>Equity</t>
  </si>
  <si>
    <t>Fixed</t>
  </si>
  <si>
    <t>Weight</t>
  </si>
  <si>
    <t>Income</t>
  </si>
  <si>
    <t>Q1</t>
  </si>
  <si>
    <t>Q2</t>
  </si>
  <si>
    <t>Q3</t>
  </si>
  <si>
    <t>Q4</t>
  </si>
  <si>
    <t>Year</t>
  </si>
  <si>
    <t>Exhibit 3.52</t>
  </si>
  <si>
    <t>Full Period</t>
  </si>
  <si>
    <t xml:space="preserve">Weight </t>
  </si>
  <si>
    <t xml:space="preserve">Return </t>
  </si>
  <si>
    <t>Contribution</t>
  </si>
  <si>
    <t>Security 1</t>
  </si>
  <si>
    <t>Security 2</t>
  </si>
  <si>
    <t>Security 3</t>
  </si>
  <si>
    <t>Security 4</t>
  </si>
  <si>
    <t>Exhibit 3.53</t>
  </si>
  <si>
    <t>Period 1</t>
  </si>
  <si>
    <t>Exhibit 3.54</t>
  </si>
  <si>
    <t>Period 2</t>
  </si>
  <si>
    <t>Exhibit 3.55</t>
  </si>
  <si>
    <t>Period 3</t>
  </si>
  <si>
    <t>Exhibit 3.56</t>
  </si>
  <si>
    <t>Period 4</t>
  </si>
  <si>
    <t>Exhibit 3.57</t>
  </si>
  <si>
    <t>Full period</t>
  </si>
  <si>
    <t>Table 4-4 &amp; Exhibit 4-1</t>
  </si>
  <si>
    <t>Base</t>
  </si>
  <si>
    <t xml:space="preserve">Local </t>
  </si>
  <si>
    <t>Hedged</t>
  </si>
  <si>
    <t>Ex -Aus</t>
  </si>
  <si>
    <t>Currency</t>
  </si>
  <si>
    <t>UK</t>
  </si>
  <si>
    <t>Norway</t>
  </si>
  <si>
    <t>Sweden</t>
  </si>
  <si>
    <t>France</t>
  </si>
  <si>
    <t>US</t>
  </si>
  <si>
    <t>Japan</t>
  </si>
  <si>
    <t>Australia</t>
  </si>
  <si>
    <t>Table 4-5 &amp; Exhibit 4-2</t>
  </si>
  <si>
    <t>Interest</t>
  </si>
  <si>
    <t>Ex-Aus</t>
  </si>
  <si>
    <t>Differential</t>
  </si>
  <si>
    <t>In A$</t>
  </si>
  <si>
    <t>Norwegian Krona</t>
  </si>
  <si>
    <t>Swedish Krone</t>
  </si>
  <si>
    <t>Euro</t>
  </si>
  <si>
    <t>US Dollar</t>
  </si>
  <si>
    <t>Yen</t>
  </si>
  <si>
    <t>Australian Dollar</t>
  </si>
  <si>
    <t>Table 4-6</t>
  </si>
  <si>
    <t>Rank</t>
  </si>
  <si>
    <t>Method 1</t>
  </si>
  <si>
    <t>Method 2</t>
  </si>
  <si>
    <t>Method 3</t>
  </si>
  <si>
    <t>Method 4</t>
  </si>
  <si>
    <t>Method 5</t>
  </si>
  <si>
    <t>Table 4-7 &amp; Exhibit 4-3</t>
  </si>
  <si>
    <t>Initial</t>
  </si>
  <si>
    <t>1st quarter</t>
  </si>
  <si>
    <t>Effective</t>
  </si>
  <si>
    <t xml:space="preserve">Fixed </t>
  </si>
  <si>
    <t>2nd quarter</t>
  </si>
  <si>
    <t>3rd quarter</t>
  </si>
  <si>
    <t>4th quarter</t>
  </si>
  <si>
    <t>Annual</t>
  </si>
  <si>
    <t>Dynamised</t>
  </si>
  <si>
    <t>Table 5.1 Portfolio variability</t>
  </si>
  <si>
    <t>Exhibit 5-1 Portfolio mean and variance</t>
  </si>
  <si>
    <t>Table 5.2 Benchmark variability</t>
  </si>
  <si>
    <t>Exhibit 5-2 Benchmark mean and variance</t>
  </si>
  <si>
    <t>Exhibit 5-3 Standard Deviation</t>
  </si>
  <si>
    <t>Exhibit 5-4 Portfolio skewness &amp; kurtosis</t>
  </si>
  <si>
    <t>Table 5.3 Portfoio skewness and kurtosis</t>
  </si>
  <si>
    <t>Table 5.4 Benchmark skewness and kurtosis</t>
  </si>
  <si>
    <t>Table 5.5 Covariance and correlation</t>
  </si>
  <si>
    <t>Exhibit 5-5 Benchmark skewness &amp; kurtosis</t>
  </si>
  <si>
    <t>Exhibit 5-6 Covariance &amp; correlation</t>
  </si>
  <si>
    <t>Portfolio Variabilty</t>
  </si>
  <si>
    <t>Benchmark Variability</t>
  </si>
  <si>
    <t>Standard Deviation</t>
  </si>
  <si>
    <t>Description</t>
  </si>
  <si>
    <t>Customised Index</t>
  </si>
  <si>
    <t>Index currency returns</t>
  </si>
  <si>
    <t>Descriptive Statistics</t>
  </si>
  <si>
    <t>Percentile Rank Methodologies</t>
  </si>
  <si>
    <t>Fixed weight and Dynamised benchmarks</t>
  </si>
  <si>
    <t>Portfolio Skewness, Kurtosis and the Bera-Jacque hypothesis test</t>
  </si>
  <si>
    <t>Benchmark Skewness, Kurtosis and the Bera-Jacque hypothesis test</t>
  </si>
  <si>
    <t>Table 5.7 Risk free rate (RFR) variability</t>
  </si>
  <si>
    <t xml:space="preserve">Table 5.8 Variability </t>
  </si>
  <si>
    <t>Exhibit 5-7 Sharpe ratios</t>
  </si>
  <si>
    <t>Exhibit 5-8 Revised Sharpe Ratio</t>
  </si>
  <si>
    <t>Appraisal Measures</t>
  </si>
  <si>
    <t>5.7 &amp; 5.8</t>
  </si>
  <si>
    <t>Revised Sharpe Ratio</t>
  </si>
  <si>
    <t>Sharpe ratio, alternative, skew-adjusted and adjusted Sharpe Ratio</t>
  </si>
  <si>
    <t>5.9 &amp; 5.10</t>
  </si>
  <si>
    <t>Regression Analysis</t>
  </si>
  <si>
    <t>Exhibit 5-10 Regression Alpha &amp; Beta</t>
  </si>
  <si>
    <t>Table 5.11 Portfolio excess return variability</t>
  </si>
  <si>
    <t>Table 5.12 Benchmark excess return variability</t>
  </si>
  <si>
    <t>Table 5.13  CAPM Covariance</t>
  </si>
  <si>
    <t>Exhibit 5-11 Jensen's Alpha &amp; CAPM Beta</t>
  </si>
  <si>
    <t>5.11, 5.12 &amp; 5.13</t>
  </si>
  <si>
    <t>Regression alpha and beta</t>
  </si>
  <si>
    <t>Jensens Alpha and CAPM beta</t>
  </si>
  <si>
    <t>Exhibit 5-12 Beta timing ratio</t>
  </si>
  <si>
    <t>Table 5.15 Bull covariance</t>
  </si>
  <si>
    <t>Table 5.16 Bear covariance</t>
  </si>
  <si>
    <t>Table 5.14 Bull &amp; Bear deviations</t>
  </si>
  <si>
    <t>Bull and bear beta, beta timing ratio</t>
  </si>
  <si>
    <r>
      <t>Exhibit 5-13 Correlation &amp; R</t>
    </r>
    <r>
      <rPr>
        <b/>
        <vertAlign val="superscript"/>
        <sz val="11"/>
        <rFont val="Calibri"/>
        <family val="2"/>
        <scheme val="minor"/>
      </rPr>
      <t>2</t>
    </r>
  </si>
  <si>
    <r>
      <t>Correlation &amp; R</t>
    </r>
    <r>
      <rPr>
        <vertAlign val="superscript"/>
        <sz val="10"/>
        <rFont val="Arial"/>
        <family val="2"/>
      </rPr>
      <t>2</t>
    </r>
  </si>
  <si>
    <t>5.14, 5.15 &amp; 5.16</t>
  </si>
  <si>
    <t>Table 5.17 Specific risk</t>
  </si>
  <si>
    <t>Exhibit 5-14 Specific risk</t>
  </si>
  <si>
    <t>Arithmetic &amp; Geometric Information Ratios</t>
  </si>
  <si>
    <t>Table 5.9 Information Ratio Arithmetic Excess Return</t>
  </si>
  <si>
    <t>Table 5.10 Information Ratio geometric Excess Return</t>
  </si>
  <si>
    <t>Exhibit 5.9 Information ratios</t>
  </si>
  <si>
    <t>Covariance and correlation</t>
  </si>
  <si>
    <t>Exhibit 5-15 Peak to trough drawdown</t>
  </si>
  <si>
    <t>Exhibit 5-16 Continuous uninterupted drawdown</t>
  </si>
  <si>
    <t>Table 5.18  Drawdown Statistics</t>
  </si>
  <si>
    <t>5.15 &amp; 5.16</t>
  </si>
  <si>
    <t>Figure 5-20</t>
  </si>
  <si>
    <t>Table 5.19 Portfolio Downside Risk</t>
  </si>
  <si>
    <t>Exhibit 5-17 Partial moments</t>
  </si>
  <si>
    <t>Partial Moments</t>
  </si>
  <si>
    <t>Table 5.20 Price, Macaulay, modified and Macauly-Weil duration</t>
  </si>
  <si>
    <t>Exhibit 5-18 Duration</t>
  </si>
  <si>
    <t>Table 5.22 Convexity</t>
  </si>
  <si>
    <t>Table 5.21 Effective Duration</t>
  </si>
  <si>
    <t>Exhibit 5-19 Effective duration</t>
  </si>
  <si>
    <t>Figure 5-22</t>
  </si>
  <si>
    <t>Exhibit 5-20 Convexity</t>
  </si>
  <si>
    <t>Exhibit 5-21 Estimated bond returns</t>
  </si>
  <si>
    <t>Fixed Income Risk</t>
  </si>
  <si>
    <t>Effective Duration</t>
  </si>
  <si>
    <t>Estimated bond returns</t>
  </si>
  <si>
    <r>
      <t>Exhibit 5-22 M</t>
    </r>
    <r>
      <rPr>
        <b/>
        <vertAlign val="superscript"/>
        <sz val="11"/>
        <rFont val="Calibri"/>
        <family val="2"/>
        <scheme val="minor"/>
      </rPr>
      <t xml:space="preserve">2 </t>
    </r>
    <r>
      <rPr>
        <b/>
        <sz val="11"/>
        <rFont val="Calibri"/>
        <family val="2"/>
        <scheme val="minor"/>
      </rPr>
      <t>and adjusted M</t>
    </r>
    <r>
      <rPr>
        <b/>
        <vertAlign val="superscript"/>
        <sz val="11"/>
        <rFont val="Calibri"/>
        <family val="2"/>
        <scheme val="minor"/>
      </rPr>
      <t>2</t>
    </r>
  </si>
  <si>
    <t>Risk-adjusted return</t>
  </si>
  <si>
    <r>
      <t>M</t>
    </r>
    <r>
      <rPr>
        <vertAlign val="superscript"/>
        <sz val="10"/>
        <rFont val="Arial"/>
        <family val="2"/>
      </rPr>
      <t>2</t>
    </r>
  </si>
  <si>
    <t>Brinson , Hood</t>
  </si>
  <si>
    <t xml:space="preserve">Portfolio </t>
  </si>
  <si>
    <t xml:space="preserve">        Arithmetic Attribution</t>
  </si>
  <si>
    <t>&amp; Beebower</t>
  </si>
  <si>
    <t>Asset</t>
  </si>
  <si>
    <t>Stock</t>
  </si>
  <si>
    <t>Interaction</t>
  </si>
  <si>
    <r>
      <t>w</t>
    </r>
    <r>
      <rPr>
        <i/>
        <vertAlign val="subscript"/>
        <sz val="10"/>
        <rFont val="Arial"/>
        <family val="2"/>
      </rPr>
      <t>i</t>
    </r>
  </si>
  <si>
    <r>
      <t>W</t>
    </r>
    <r>
      <rPr>
        <i/>
        <vertAlign val="subscript"/>
        <sz val="10"/>
        <rFont val="Arial"/>
        <family val="2"/>
      </rPr>
      <t>i</t>
    </r>
  </si>
  <si>
    <r>
      <t>r</t>
    </r>
    <r>
      <rPr>
        <i/>
        <vertAlign val="subscript"/>
        <sz val="10"/>
        <rFont val="Arial"/>
        <family val="2"/>
      </rPr>
      <t>i</t>
    </r>
  </si>
  <si>
    <r>
      <t>b</t>
    </r>
    <r>
      <rPr>
        <i/>
        <vertAlign val="subscript"/>
        <sz val="10"/>
        <rFont val="Arial"/>
        <family val="2"/>
      </rPr>
      <t>i</t>
    </r>
  </si>
  <si>
    <t>Allocation</t>
  </si>
  <si>
    <t>Selection</t>
  </si>
  <si>
    <t>UK Equities</t>
  </si>
  <si>
    <t>Japanese Equities</t>
  </si>
  <si>
    <t>US Equities</t>
  </si>
  <si>
    <t>Arithmetic Excess</t>
  </si>
  <si>
    <t>Asset Allocation</t>
  </si>
  <si>
    <t>Stock Selection</t>
  </si>
  <si>
    <t>Sample Portfolio</t>
  </si>
  <si>
    <t>Tables 6-3 &amp; 6-4, Exhibits 6-1 to 6-4</t>
  </si>
  <si>
    <t>Attribution summary</t>
  </si>
  <si>
    <t>Brinson &amp;</t>
  </si>
  <si>
    <t>Fachler</t>
  </si>
  <si>
    <t xml:space="preserve">Table 6-5 &amp; Exhibit 6-5 </t>
  </si>
  <si>
    <t xml:space="preserve">Brinson &amp; </t>
  </si>
  <si>
    <t>Arithmetic Attribution</t>
  </si>
  <si>
    <t>(including Interaction)</t>
  </si>
  <si>
    <t>Stock selection including interaction</t>
  </si>
  <si>
    <t xml:space="preserve">Table 6-6 &amp; Exhibit 6-6 </t>
  </si>
  <si>
    <t xml:space="preserve">Table 5-5 &amp; Exhibits 5-7 &amp; 5-8 </t>
  </si>
  <si>
    <t xml:space="preserve">      Attribution</t>
  </si>
  <si>
    <t>Semi-</t>
  </si>
  <si>
    <t xml:space="preserve">Asset </t>
  </si>
  <si>
    <t>Notional</t>
  </si>
  <si>
    <t>Excess Return</t>
  </si>
  <si>
    <t>Asset allocation</t>
  </si>
  <si>
    <t>Stock selection</t>
  </si>
  <si>
    <t>Tables 6.8 &amp; 6.9</t>
  </si>
  <si>
    <t>1st period</t>
  </si>
  <si>
    <t>2nd period</t>
  </si>
  <si>
    <t>More detail analysis</t>
  </si>
  <si>
    <t>Attribution summary after cash flow</t>
  </si>
  <si>
    <t>Attribution after cash flow</t>
  </si>
  <si>
    <t>Security Level</t>
  </si>
  <si>
    <t xml:space="preserve">        Attribution</t>
  </si>
  <si>
    <t>Porftfolio</t>
  </si>
  <si>
    <t xml:space="preserve">Stock </t>
  </si>
  <si>
    <t>Timing</t>
  </si>
  <si>
    <t>Index</t>
  </si>
  <si>
    <t>Timing /transactions</t>
  </si>
  <si>
    <t>Stock allocation</t>
  </si>
  <si>
    <t>Other</t>
  </si>
  <si>
    <t>Security allocation</t>
  </si>
  <si>
    <t>Table 6-10 and Exhibits 6-10 &amp; 6-11</t>
  </si>
  <si>
    <t>Security 5</t>
  </si>
  <si>
    <t>Off - Benchmark</t>
  </si>
  <si>
    <t xml:space="preserve">     Attribution</t>
  </si>
  <si>
    <t>Emerging Markets</t>
  </si>
  <si>
    <t>Country</t>
  </si>
  <si>
    <t>Alternative</t>
  </si>
  <si>
    <t>6.12 Stock Selection Only</t>
  </si>
  <si>
    <t>6.13 Asset Allocation Only</t>
  </si>
  <si>
    <t>6.14 Asset Allocation &amp; Stock Selection</t>
  </si>
  <si>
    <t>6.15 Default</t>
  </si>
  <si>
    <t>Tables 6-11 to 6-15 Exhibits 6-12 to 6-17</t>
  </si>
  <si>
    <t>Off-benchmark</t>
  </si>
  <si>
    <t>Off-benchmark decision</t>
  </si>
  <si>
    <t>Return calculations</t>
  </si>
  <si>
    <t>6.13 &amp; 6.14</t>
  </si>
  <si>
    <t xml:space="preserve">Stock selection only </t>
  </si>
  <si>
    <t>Asset Allocation only</t>
  </si>
  <si>
    <t>Stock selection and asset allocation</t>
  </si>
  <si>
    <t>Default decision</t>
  </si>
  <si>
    <t>Investment Decision Process</t>
  </si>
  <si>
    <t>European Equity Portfolio</t>
  </si>
  <si>
    <t xml:space="preserve">Benchmark </t>
  </si>
  <si>
    <t>Sector</t>
  </si>
  <si>
    <t>Size</t>
  </si>
  <si>
    <t>Factor</t>
  </si>
  <si>
    <t>Energy</t>
  </si>
  <si>
    <t>Large</t>
  </si>
  <si>
    <t>Growth</t>
  </si>
  <si>
    <t>Healthcare</t>
  </si>
  <si>
    <t>Mid</t>
  </si>
  <si>
    <t>Germany</t>
  </si>
  <si>
    <t>Health</t>
  </si>
  <si>
    <t>Financial</t>
  </si>
  <si>
    <t>Small</t>
  </si>
  <si>
    <t>Italy</t>
  </si>
  <si>
    <t>Financials</t>
  </si>
  <si>
    <t>Security 6</t>
  </si>
  <si>
    <t>Security 7</t>
  </si>
  <si>
    <t>Security 8</t>
  </si>
  <si>
    <t>Security 9</t>
  </si>
  <si>
    <t>Security 10</t>
  </si>
  <si>
    <t>Table 6-16 European Equity Portfolio</t>
  </si>
  <si>
    <t>Decision</t>
  </si>
  <si>
    <t>Country Decision Process (Arithmetic Attribution)</t>
  </si>
  <si>
    <t>Country Decision Process</t>
  </si>
  <si>
    <t>Industry Decision Process</t>
  </si>
  <si>
    <t>Size Decision Process</t>
  </si>
  <si>
    <t>Factor Decision Process</t>
  </si>
  <si>
    <t>Table 6-18 Country Decision Process (Geometric Attribution)</t>
  </si>
  <si>
    <t xml:space="preserve">Industry </t>
  </si>
  <si>
    <t>Industry Decision Process (Arithmetic Attribution)</t>
  </si>
  <si>
    <t>Table 6-19 Industry Decision Process (Geometric Attribution)</t>
  </si>
  <si>
    <t>Size Decision Process (Arithmetic Attribution)</t>
  </si>
  <si>
    <t>Factor Decision Process (Arithmetic Attribution)</t>
  </si>
  <si>
    <t>Table 6-21 Factor Decision Process (Geometric Attribution)</t>
  </si>
  <si>
    <t>Table 6-20 Size Decision Process (Geometric Attribution)</t>
  </si>
  <si>
    <t>Security</t>
  </si>
  <si>
    <t>Bottom-up</t>
  </si>
  <si>
    <t>Bottom-up Security Level Decision Process (Arithmetic Attribution)</t>
  </si>
  <si>
    <t>Table 6-22 Bottom-up Security Level Decision Process (Geometric Attribution)</t>
  </si>
  <si>
    <t>Semi-notional</t>
  </si>
  <si>
    <t>Tables 6-16 to 6-22 Exhibits 6-12 to 6-27</t>
  </si>
  <si>
    <t>Geometric Excess Return</t>
  </si>
  <si>
    <t>Italy Sector (Arithmetic Attribution)</t>
  </si>
  <si>
    <t xml:space="preserve">Italy </t>
  </si>
  <si>
    <t>Italy Sector (Geometric Attribution)</t>
  </si>
  <si>
    <t>6.18 &amp; 6.19</t>
  </si>
  <si>
    <t>6.20 &amp; 6.21</t>
  </si>
  <si>
    <t>6.22 &amp; 6.23</t>
  </si>
  <si>
    <t>6.24 &amp; 6.25</t>
  </si>
  <si>
    <t>6.26 &amp;6.27</t>
  </si>
  <si>
    <t>Bottom-up Security Level Decision Process</t>
  </si>
  <si>
    <t>Leverage</t>
  </si>
  <si>
    <t>Geometric Attribution</t>
  </si>
  <si>
    <t>Geometric Excess</t>
  </si>
  <si>
    <t>Options</t>
  </si>
  <si>
    <t>Market Neutral</t>
  </si>
  <si>
    <t>Long UK Equities</t>
  </si>
  <si>
    <t>Long Japanese Equities</t>
  </si>
  <si>
    <t>Short UK Equities</t>
  </si>
  <si>
    <t>Short Japanese Equities</t>
  </si>
  <si>
    <t>130/30 Funds</t>
  </si>
  <si>
    <t xml:space="preserve"> UK Equities</t>
  </si>
  <si>
    <t>Market Neutral, Leverage etc.</t>
  </si>
  <si>
    <t>Attribution Summary</t>
  </si>
  <si>
    <t>Market Neutral Return Calculations</t>
  </si>
  <si>
    <t>Market Neutral Asset Allocation</t>
  </si>
  <si>
    <t>Market Neutral Stock selection</t>
  </si>
  <si>
    <t>130/30 Attribution Summary</t>
  </si>
  <si>
    <t>Market Neutral Attribution Summary</t>
  </si>
  <si>
    <t>130/30 Asset Allocastion</t>
  </si>
  <si>
    <t>130/30 Stock selection</t>
  </si>
  <si>
    <t>Attribution including leverage Summary</t>
  </si>
  <si>
    <t>Leverage return calculations</t>
  </si>
  <si>
    <t>Leverage asset attribution</t>
  </si>
  <si>
    <t>Leverage stock selection</t>
  </si>
  <si>
    <t>Futures Attribution Summary</t>
  </si>
  <si>
    <t xml:space="preserve">Combined returns for alternative </t>
  </si>
  <si>
    <t>presentation</t>
  </si>
  <si>
    <t>Including Futures</t>
  </si>
  <si>
    <t xml:space="preserve">UK </t>
  </si>
  <si>
    <t>Equities</t>
  </si>
  <si>
    <t>Return (2)</t>
  </si>
  <si>
    <t>UK Futures</t>
  </si>
  <si>
    <t>US Futures</t>
  </si>
  <si>
    <t>UK Economic Cash</t>
  </si>
  <si>
    <t>US Economic Cash</t>
  </si>
  <si>
    <t>Local</t>
  </si>
  <si>
    <t>1st alternative</t>
  </si>
  <si>
    <t>Futures</t>
  </si>
  <si>
    <t>2nd alternative</t>
  </si>
  <si>
    <t>Mis-match</t>
  </si>
  <si>
    <t>Futures mismatch</t>
  </si>
  <si>
    <t>Futures timing</t>
  </si>
  <si>
    <t>Futures return calculations</t>
  </si>
  <si>
    <t>Tables 6-26 to 6-28 and Exhibits 6-37 to 6-43</t>
  </si>
  <si>
    <t>Asset Allocation with Futures</t>
  </si>
  <si>
    <t>Stock Selection with Futures</t>
  </si>
  <si>
    <t>Table 6-27 Alternative Presentation</t>
  </si>
  <si>
    <t>Alternative presentation</t>
  </si>
  <si>
    <t>Adjusted return caluations with Futures</t>
  </si>
  <si>
    <t>Revised asset allocation</t>
  </si>
  <si>
    <t>Revised stock selection</t>
  </si>
  <si>
    <t>Preferred Alternative presentation</t>
  </si>
  <si>
    <t>Table 6-28 Preferred Alternative Presentation</t>
  </si>
  <si>
    <t>Futures mis-match</t>
  </si>
  <si>
    <t>Attribution incuding options</t>
  </si>
  <si>
    <t>Attribution including options summary</t>
  </si>
  <si>
    <t xml:space="preserve">Attribution including options </t>
  </si>
  <si>
    <t>Table 6-29 and Exhibit 6-47</t>
  </si>
  <si>
    <t>Forward Premium</t>
  </si>
  <si>
    <t>Ankrim &amp; Hansel Attribution Summary</t>
  </si>
  <si>
    <t>Ankrim &amp; Hansel Portfolio Data</t>
  </si>
  <si>
    <t xml:space="preserve"> Ankrim &amp; </t>
  </si>
  <si>
    <t xml:space="preserve">                     Base Return</t>
  </si>
  <si>
    <t>Forward</t>
  </si>
  <si>
    <t xml:space="preserve">                 Attribution</t>
  </si>
  <si>
    <t>Hensel</t>
  </si>
  <si>
    <t>Surprise</t>
  </si>
  <si>
    <t>Premium</t>
  </si>
  <si>
    <t xml:space="preserve">Forward </t>
  </si>
  <si>
    <t>1st Quarter</t>
  </si>
  <si>
    <r>
      <t>c</t>
    </r>
    <r>
      <rPr>
        <i/>
        <vertAlign val="subscript"/>
        <sz val="10"/>
        <rFont val="Arial"/>
        <family val="2"/>
      </rPr>
      <t>i</t>
    </r>
  </si>
  <si>
    <r>
      <t>e</t>
    </r>
    <r>
      <rPr>
        <i/>
        <vertAlign val="subscript"/>
        <sz val="10"/>
        <rFont val="Arial"/>
        <family val="2"/>
      </rPr>
      <t>i</t>
    </r>
  </si>
  <si>
    <r>
      <t>d</t>
    </r>
    <r>
      <rPr>
        <i/>
        <vertAlign val="subscript"/>
        <sz val="10"/>
        <rFont val="Arial"/>
        <family val="2"/>
      </rPr>
      <t>i</t>
    </r>
  </si>
  <si>
    <t>Management</t>
  </si>
  <si>
    <t>r</t>
  </si>
  <si>
    <t xml:space="preserve"> b</t>
  </si>
  <si>
    <t>e</t>
  </si>
  <si>
    <t>d</t>
  </si>
  <si>
    <t>l</t>
  </si>
  <si>
    <t>£ Forwards</t>
  </si>
  <si>
    <t>Yen Forwards</t>
  </si>
  <si>
    <t>$ Forwards</t>
  </si>
  <si>
    <t>Currency Management</t>
  </si>
  <si>
    <t>Tables 6-30 &amp; 6-31, Exhibits 6-46 to 6-51</t>
  </si>
  <si>
    <t xml:space="preserve"> Karnosky &amp; </t>
  </si>
  <si>
    <t xml:space="preserve">          Local Return</t>
  </si>
  <si>
    <t>Attribution</t>
  </si>
  <si>
    <t xml:space="preserve">Base </t>
  </si>
  <si>
    <t>Singer</t>
  </si>
  <si>
    <t>Rates</t>
  </si>
  <si>
    <t>Benchmar</t>
  </si>
  <si>
    <t>+ Interest</t>
  </si>
  <si>
    <t>b</t>
  </si>
  <si>
    <t>l'</t>
  </si>
  <si>
    <t xml:space="preserve">c' </t>
  </si>
  <si>
    <t>Tables 6-32 &amp; 6-33 and Exhibits 6-52 to 6-55</t>
  </si>
  <si>
    <t>Karnosky &amp; Singer Portfolio Data</t>
  </si>
  <si>
    <t>Karnosky &amp; Singer Attribution Summary</t>
  </si>
  <si>
    <t xml:space="preserve">          Local returns</t>
  </si>
  <si>
    <t xml:space="preserve">          Base returns</t>
  </si>
  <si>
    <t>Naïve</t>
  </si>
  <si>
    <r>
      <t>r</t>
    </r>
    <r>
      <rPr>
        <i/>
        <vertAlign val="subscript"/>
        <sz val="10"/>
        <rFont val="Arial"/>
        <family val="2"/>
      </rPr>
      <t>L</t>
    </r>
  </si>
  <si>
    <r>
      <t>b</t>
    </r>
    <r>
      <rPr>
        <i/>
        <vertAlign val="subscript"/>
        <sz val="10"/>
        <rFont val="Arial"/>
        <family val="2"/>
      </rPr>
      <t>L</t>
    </r>
  </si>
  <si>
    <r>
      <t>b</t>
    </r>
    <r>
      <rPr>
        <i/>
        <vertAlign val="subscript"/>
        <sz val="10"/>
        <rFont val="Arial"/>
        <family val="2"/>
      </rPr>
      <t>SL</t>
    </r>
  </si>
  <si>
    <t>Naïve Currency</t>
  </si>
  <si>
    <t>Tables 6-34 &amp; 6-35 and Exhibits 6-56 to 6-60</t>
  </si>
  <si>
    <t>Naïve Currency Attribution</t>
  </si>
  <si>
    <t>Naïve Multi-Currency Attribution Summary</t>
  </si>
  <si>
    <t>Currency Allocation</t>
  </si>
  <si>
    <t>Multi-Currency</t>
  </si>
  <si>
    <t xml:space="preserve">          Base Return</t>
  </si>
  <si>
    <t xml:space="preserve">                   Attribution</t>
  </si>
  <si>
    <t>Implied</t>
  </si>
  <si>
    <t>Real</t>
  </si>
  <si>
    <t>Market</t>
  </si>
  <si>
    <t xml:space="preserve">Allocation </t>
  </si>
  <si>
    <t>Compounding</t>
  </si>
  <si>
    <t xml:space="preserve">    Combined Compounding</t>
  </si>
  <si>
    <t>Currency Overlay</t>
  </si>
  <si>
    <t>Exhibits 6-61 to 6-64</t>
  </si>
  <si>
    <t>Currency Returns</t>
  </si>
  <si>
    <t>Implied currency returns</t>
  </si>
  <si>
    <t>Currency Return</t>
  </si>
  <si>
    <t>Compounding effects</t>
  </si>
  <si>
    <t>Geometric currency allocation</t>
  </si>
  <si>
    <t xml:space="preserve">                             Attribution</t>
  </si>
  <si>
    <t>Currency Timing</t>
  </si>
  <si>
    <t>Table 6-36 and Exhibits 6-66 to 6-69</t>
  </si>
  <si>
    <t>Naïve Multi-currency Portfolio Data</t>
  </si>
  <si>
    <t>Revised portfolio returns</t>
  </si>
  <si>
    <t>Currency Timing Effect</t>
  </si>
  <si>
    <t>Impact of Currency Timing</t>
  </si>
  <si>
    <t>Semi-Notional</t>
  </si>
  <si>
    <t>Cost of</t>
  </si>
  <si>
    <t xml:space="preserve">Hedged to </t>
  </si>
  <si>
    <t>Hedging</t>
  </si>
  <si>
    <t>Returns</t>
  </si>
  <si>
    <t>Neutral</t>
  </si>
  <si>
    <t>Cost of Hedging</t>
  </si>
  <si>
    <t>Table 6-37 plus Exhibits 6-70 to 6-73</t>
  </si>
  <si>
    <t>Interest rate differentials</t>
  </si>
  <si>
    <t>Multi-currency Geometric Portfolio Data</t>
  </si>
  <si>
    <t>Forward Currency Data</t>
  </si>
  <si>
    <t>Revised Currency Allocation using forward rates</t>
  </si>
  <si>
    <t>Revised Asset Allocation</t>
  </si>
  <si>
    <t>Cost of hedging to neutral</t>
  </si>
  <si>
    <t>Revised attribution</t>
  </si>
  <si>
    <t xml:space="preserve">                            Attribution</t>
  </si>
  <si>
    <t>n/a</t>
  </si>
  <si>
    <t>Other Effects</t>
  </si>
  <si>
    <t>Compounding etc</t>
  </si>
  <si>
    <t>Incorporating Forward Currency Contracts</t>
  </si>
  <si>
    <t>Revised return calculations</t>
  </si>
  <si>
    <t>Curreney Allocation including Forwards</t>
  </si>
  <si>
    <t>Revised portfolio currency returns</t>
  </si>
  <si>
    <t>Currency timing effects</t>
  </si>
  <si>
    <t>Attribution Factor Ratios</t>
  </si>
  <si>
    <t>Tables 6-38 to 6-40 and Exhibits 6-74 to 6-78</t>
  </si>
  <si>
    <t>Currency attributon summary</t>
  </si>
  <si>
    <t>Weighted</t>
  </si>
  <si>
    <t>Risk-free</t>
  </si>
  <si>
    <t>Overall</t>
  </si>
  <si>
    <t>Brinson</t>
  </si>
  <si>
    <t>(%)</t>
  </si>
  <si>
    <t>Change</t>
  </si>
  <si>
    <t>(or currency)</t>
  </si>
  <si>
    <t>UK Bonds</t>
  </si>
  <si>
    <t>Japanese Bonds</t>
  </si>
  <si>
    <t>US Bonds</t>
  </si>
  <si>
    <t>Overall Duration</t>
  </si>
  <si>
    <t>Market Allocation</t>
  </si>
  <si>
    <t>Market Allocation + RFR</t>
  </si>
  <si>
    <t>Risk Free Rate</t>
  </si>
  <si>
    <t>Fixed Income Portfolio Data</t>
  </si>
  <si>
    <t>Returns &amp; Duration</t>
  </si>
  <si>
    <t>Implied Portfolio Yield Change</t>
  </si>
  <si>
    <t>Implied Benchmark Tield Change</t>
  </si>
  <si>
    <t>Notional Funds</t>
  </si>
  <si>
    <t>Security Selection</t>
  </si>
  <si>
    <t>Overall Duration (Geometic)</t>
  </si>
  <si>
    <t>Market Allocation (Geometric)</t>
  </si>
  <si>
    <t xml:space="preserve"> Tables 6-41 &amp; 6-42, Exhibits 6-79 to 6-86</t>
  </si>
  <si>
    <t xml:space="preserve"> Table 6-43, Exhibits 6-87 to 6-89</t>
  </si>
  <si>
    <t>Beginning</t>
  </si>
  <si>
    <t>Treasury</t>
  </si>
  <si>
    <t>Income +</t>
  </si>
  <si>
    <t>I +T+S</t>
  </si>
  <si>
    <t xml:space="preserve">Weighted </t>
  </si>
  <si>
    <t xml:space="preserve">Average </t>
  </si>
  <si>
    <t>Spread</t>
  </si>
  <si>
    <t>I +T</t>
  </si>
  <si>
    <t>Curve</t>
  </si>
  <si>
    <t>Treasuries</t>
  </si>
  <si>
    <t>Corporates</t>
  </si>
  <si>
    <t>High Yield</t>
  </si>
  <si>
    <t xml:space="preserve">Spread </t>
  </si>
  <si>
    <t>Effect</t>
  </si>
  <si>
    <t>Total Return</t>
  </si>
  <si>
    <t>Income Return</t>
  </si>
  <si>
    <t>Treasury Effect</t>
  </si>
  <si>
    <t>Average Spread</t>
  </si>
  <si>
    <t>Method</t>
  </si>
  <si>
    <t>Tables 6-44 to 6-46 and Exhibits 6-12 to 6-17</t>
  </si>
  <si>
    <t>Table 6-47  and Exhibit 6-95</t>
  </si>
  <si>
    <t>Geometric Attribution Summary</t>
  </si>
  <si>
    <t>Spread Effect</t>
  </si>
  <si>
    <t>Income return attribution</t>
  </si>
  <si>
    <t>Detailed Treasury Effect Attribution</t>
  </si>
  <si>
    <t>Detail Spread Effect Attribution</t>
  </si>
  <si>
    <t>Campisi Framework Attribution Summary</t>
  </si>
  <si>
    <t>Campisi Framework Portfolio Data</t>
  </si>
  <si>
    <t>Standard Brinson Model Attribution</t>
  </si>
  <si>
    <t>Campisi Framework Detailed Attribution Summary</t>
  </si>
  <si>
    <t>Standard Brinson Model Attribution Summary</t>
  </si>
  <si>
    <t>Carino</t>
  </si>
  <si>
    <t xml:space="preserve">    Arithmetic Attribution</t>
  </si>
  <si>
    <t>Smoothed Attribution</t>
  </si>
  <si>
    <t>Smoothing</t>
  </si>
  <si>
    <r>
      <t>k</t>
    </r>
    <r>
      <rPr>
        <vertAlign val="subscript"/>
        <sz val="10"/>
        <rFont val="Arial"/>
        <family val="2"/>
      </rPr>
      <t>1</t>
    </r>
  </si>
  <si>
    <r>
      <t>k</t>
    </r>
    <r>
      <rPr>
        <vertAlign val="subscript"/>
        <sz val="10"/>
        <rFont val="Arial"/>
        <family val="2"/>
      </rPr>
      <t>2</t>
    </r>
  </si>
  <si>
    <t xml:space="preserve"> Smoothed Attribution</t>
  </si>
  <si>
    <r>
      <t>k</t>
    </r>
    <r>
      <rPr>
        <vertAlign val="subscript"/>
        <sz val="10"/>
        <rFont val="Arial"/>
        <family val="2"/>
      </rPr>
      <t>3</t>
    </r>
  </si>
  <si>
    <r>
      <t>k</t>
    </r>
    <r>
      <rPr>
        <vertAlign val="subscript"/>
        <sz val="10"/>
        <rFont val="Arial"/>
        <family val="2"/>
      </rPr>
      <t>4</t>
    </r>
  </si>
  <si>
    <t>Full Year</t>
  </si>
  <si>
    <t>k</t>
  </si>
  <si>
    <t>Tables 6-60 &amp; 6-61, Exhibits 6-97 &amp; 6-98</t>
  </si>
  <si>
    <t>Example data over 4 quarters</t>
  </si>
  <si>
    <t>Carino Factors</t>
  </si>
  <si>
    <t>Revised Attribution</t>
  </si>
  <si>
    <t>Revised Attribution Summary</t>
  </si>
  <si>
    <t>Menchero Factors</t>
  </si>
  <si>
    <t>GRAP</t>
  </si>
  <si>
    <t xml:space="preserve">       GRAP  Method</t>
  </si>
  <si>
    <t>Menchero</t>
  </si>
  <si>
    <t xml:space="preserve">   Smoothed Attribution</t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</si>
  <si>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</si>
  <si>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</si>
  <si>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3</t>
    </r>
  </si>
  <si>
    <r>
      <t>a</t>
    </r>
    <r>
      <rPr>
        <vertAlign val="subscript"/>
        <sz val="10"/>
        <rFont val="Arial"/>
        <family val="2"/>
      </rPr>
      <t>4</t>
    </r>
  </si>
  <si>
    <t>M</t>
  </si>
  <si>
    <t>Sum of Diff</t>
  </si>
  <si>
    <t xml:space="preserve">(Sum of Diff)^2 </t>
  </si>
  <si>
    <t>Table 6-62, Exhibits 6-99 &amp; 6-100</t>
  </si>
  <si>
    <t>Table 6-63, Exhibits 6-101 &amp; 6-102</t>
  </si>
  <si>
    <t>Revised 1st quarter</t>
  </si>
  <si>
    <t>Revised 2nd quarter</t>
  </si>
  <si>
    <t>Frongello</t>
  </si>
  <si>
    <t xml:space="preserve">  Frongello   Method</t>
  </si>
  <si>
    <t>Table 6-64, Exhibits 6-103 &amp; 6-104</t>
  </si>
  <si>
    <t>Revised 3rd quarter</t>
  </si>
  <si>
    <t xml:space="preserve">      Adjusted</t>
  </si>
  <si>
    <t>Absolute Factors</t>
  </si>
  <si>
    <t>12 months</t>
  </si>
  <si>
    <t>Compound Factors</t>
  </si>
  <si>
    <t>Brinson Notional Funds</t>
  </si>
  <si>
    <t>Exact Attribution</t>
  </si>
  <si>
    <t>Multi-period Geometric Attribution Effects</t>
  </si>
  <si>
    <t>Table 6-65 and Exhibits 6-105 to 6-109</t>
  </si>
  <si>
    <t>Geometric Total Effects</t>
  </si>
  <si>
    <t>Adjusted Stock Selection</t>
  </si>
  <si>
    <t>Annualised Contributions</t>
  </si>
  <si>
    <t>Annualised</t>
  </si>
  <si>
    <t>Exhibit 6.111</t>
  </si>
  <si>
    <t>Risk-adjusted</t>
  </si>
  <si>
    <t xml:space="preserve">  Risk-adjusted  Attribution</t>
  </si>
  <si>
    <t>Risk- adjusted</t>
  </si>
  <si>
    <t>Systematic</t>
  </si>
  <si>
    <t>Selectivity</t>
  </si>
  <si>
    <t>Risk allocation</t>
  </si>
  <si>
    <t>Systematic Risk</t>
  </si>
  <si>
    <t>Tables 6-66 &amp; 6-67 and Exhibits 6-112 to 6-114</t>
  </si>
  <si>
    <t>Portfolio Data</t>
  </si>
  <si>
    <t>Return adjusted for systematic risk</t>
  </si>
  <si>
    <t>Risk-adjusted Attribution Summary</t>
  </si>
  <si>
    <t>Multi-level Portfolio Data</t>
  </si>
  <si>
    <t>Annualised Contributions to Excess Return</t>
  </si>
  <si>
    <t>Porfolio Allocation</t>
  </si>
  <si>
    <t>Benchmark Allocation</t>
  </si>
  <si>
    <t>Porfolio    Return</t>
  </si>
  <si>
    <t>Benchmark Return</t>
  </si>
  <si>
    <t>Level 1 Allocation</t>
  </si>
  <si>
    <t>Level 2 Allocation</t>
  </si>
  <si>
    <t>Level 3 Allocation</t>
  </si>
  <si>
    <t>Semi Notional Return</t>
  </si>
  <si>
    <t>Semi notional Return 2</t>
  </si>
  <si>
    <t>Semi notional Return 3</t>
  </si>
  <si>
    <t>Portfolio Sector Return</t>
  </si>
  <si>
    <t>Benchmark Sector Return</t>
  </si>
  <si>
    <t>Level 1</t>
  </si>
  <si>
    <t>EQUITIES</t>
  </si>
  <si>
    <t>Level 2</t>
  </si>
  <si>
    <t xml:space="preserve">    USA</t>
  </si>
  <si>
    <t>Level 3</t>
  </si>
  <si>
    <t>Software</t>
  </si>
  <si>
    <t xml:space="preserve">    EUROPE</t>
  </si>
  <si>
    <t>Automobile</t>
  </si>
  <si>
    <t>BONDS</t>
  </si>
  <si>
    <t xml:space="preserve">    GOVT</t>
  </si>
  <si>
    <t xml:space="preserve">    CORP</t>
  </si>
  <si>
    <t>TOTAL</t>
  </si>
  <si>
    <t>Level1 Allocation</t>
  </si>
  <si>
    <t>Tables 6-68 &amp; 6-69 and Exhibits 6-115 to 6-120</t>
  </si>
  <si>
    <t>Multi-level Attribution Effects</t>
  </si>
  <si>
    <t>Level 1 Attribution</t>
  </si>
  <si>
    <t>Level 2 Attribution</t>
  </si>
  <si>
    <t>Level 3 Attribution</t>
  </si>
  <si>
    <t>Security Attribution</t>
  </si>
  <si>
    <t>Multi-level Attribution Summary</t>
  </si>
  <si>
    <t>Level 1 Duration</t>
  </si>
  <si>
    <t>Level 2 Risk Free</t>
  </si>
  <si>
    <t>Duration adjusted</t>
  </si>
  <si>
    <t>Portfolio Carry</t>
  </si>
  <si>
    <t>Benchmark Carry</t>
  </si>
  <si>
    <t>Duration adjusted benchmark</t>
  </si>
  <si>
    <t>Carry</t>
  </si>
  <si>
    <t>Implied portfolio</t>
  </si>
  <si>
    <t>Implied benchmark</t>
  </si>
  <si>
    <t>Yield change</t>
  </si>
  <si>
    <t>€ denominated Bonds</t>
  </si>
  <si>
    <t>Level 2 Allocation +RFR</t>
  </si>
  <si>
    <t>Tables 6-68 &amp; 6-69 and Exhibits 6-121 to 6-126</t>
  </si>
  <si>
    <t>Balanced</t>
  </si>
  <si>
    <t>Weighted Duration Balanced Portfolio Data</t>
  </si>
  <si>
    <t>Duration and implied yield changes</t>
  </si>
  <si>
    <t>Benchmark adjusted for portfolio duration</t>
  </si>
  <si>
    <t>Multi-level Balanced duration adjusted attribution</t>
  </si>
  <si>
    <t>Level 1 Balanced Attribution</t>
  </si>
  <si>
    <t>Level 2 Balanced Attribution</t>
  </si>
  <si>
    <t>Security level  Balanced Attribution</t>
  </si>
  <si>
    <t>1 Year</t>
  </si>
  <si>
    <t>2 years</t>
  </si>
  <si>
    <t>3 years</t>
  </si>
  <si>
    <t>4 years</t>
  </si>
  <si>
    <t xml:space="preserve">5 years </t>
  </si>
  <si>
    <t xml:space="preserve">6 years 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</si>
  <si>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</si>
  <si>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</si>
  <si>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</si>
  <si>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</si>
  <si>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</si>
  <si>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</si>
  <si>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</si>
  <si>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</si>
  <si>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</si>
  <si>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Start</t>
  </si>
  <si>
    <t>End</t>
  </si>
  <si>
    <t>Start plus</t>
  </si>
  <si>
    <t>Twist</t>
  </si>
  <si>
    <t>Shift</t>
  </si>
  <si>
    <t>Curvature</t>
  </si>
  <si>
    <t>Cashflow</t>
  </si>
  <si>
    <t>Spot Rate</t>
  </si>
  <si>
    <t>Present value</t>
  </si>
  <si>
    <t>Bond 1: 6% 10 year</t>
  </si>
  <si>
    <t>Bond 2: 4.5% 5 year</t>
  </si>
  <si>
    <t>Bond 3: 4% 15 year</t>
  </si>
  <si>
    <t>Bond 4: 3% 3 year</t>
  </si>
  <si>
    <t>Bond 5: 5% 7 year</t>
  </si>
  <si>
    <t>Bond 6: 5.5% 12 year</t>
  </si>
  <si>
    <t>Bond 7: 3% 14 year</t>
  </si>
  <si>
    <t>Bond 8: 6.5% 7 year Corporate</t>
  </si>
  <si>
    <t>Corporate</t>
  </si>
  <si>
    <t>Plus</t>
  </si>
  <si>
    <t>Price Return</t>
  </si>
  <si>
    <t>Coupon Return</t>
  </si>
  <si>
    <t>Total return</t>
  </si>
  <si>
    <t xml:space="preserve">Tables 6-49 &amp; 6-52 </t>
  </si>
  <si>
    <t>Table 6-54</t>
  </si>
  <si>
    <t xml:space="preserve">Table 6-55 </t>
  </si>
  <si>
    <t>Table 6-53</t>
  </si>
  <si>
    <t>Ex-post IRR</t>
  </si>
  <si>
    <t>Simple IRR (Using quadratic equation)</t>
  </si>
  <si>
    <t>ICAA - income unavailable for investment</t>
  </si>
  <si>
    <t>True Time-weighted (End of day cash flow)</t>
  </si>
  <si>
    <t>True Time-weighted (Start of day cash flow)</t>
  </si>
  <si>
    <t>True Time-weighted (Midday cash flow)</t>
  </si>
  <si>
    <t>Valuation error</t>
  </si>
  <si>
    <t>Exhibit 3.16</t>
  </si>
  <si>
    <t>Start Period 1 value</t>
  </si>
  <si>
    <t>End Period 1  value</t>
  </si>
  <si>
    <t xml:space="preserve">Start Period 2 Value </t>
  </si>
  <si>
    <t>End Period 2 value</t>
  </si>
  <si>
    <t>Second Sub-period</t>
  </si>
  <si>
    <t>Money weighted</t>
  </si>
  <si>
    <t>Time-weighted</t>
  </si>
  <si>
    <t>Time-weighted v Money-weighted</t>
  </si>
  <si>
    <t>Index Subsistution (Poor estimate)</t>
  </si>
  <si>
    <t>Regression method</t>
  </si>
  <si>
    <t>Analyst's test</t>
  </si>
  <si>
    <t>Exhibit 3.25</t>
  </si>
  <si>
    <t>Modified IRR</t>
  </si>
  <si>
    <t>Initial Outlay</t>
  </si>
  <si>
    <t>Year 1</t>
  </si>
  <si>
    <t>Final Value</t>
  </si>
  <si>
    <t>Year 5</t>
  </si>
  <si>
    <t>Year 2</t>
  </si>
  <si>
    <t>Year 3</t>
  </si>
  <si>
    <t>Year 4</t>
  </si>
  <si>
    <t>Cost of capital</t>
  </si>
  <si>
    <t xml:space="preserve">Reinvestment rate </t>
  </si>
  <si>
    <t>Final cash equivalent of outflows</t>
  </si>
  <si>
    <t>Present value of inflows</t>
  </si>
  <si>
    <t>Table 3.4</t>
  </si>
  <si>
    <t>Gross and net of Fees</t>
  </si>
  <si>
    <t>Fee</t>
  </si>
  <si>
    <t>Net-of-fee</t>
  </si>
  <si>
    <t>Gross-of-fee</t>
  </si>
  <si>
    <t>Estimated</t>
  </si>
  <si>
    <t xml:space="preserve">Market </t>
  </si>
  <si>
    <t>Start Value</t>
  </si>
  <si>
    <t>End of month 1</t>
  </si>
  <si>
    <t>End of month 2</t>
  </si>
  <si>
    <t>End of month 3</t>
  </si>
  <si>
    <t>End of month 4</t>
  </si>
  <si>
    <t>End of month 5</t>
  </si>
  <si>
    <t>End of month 6</t>
  </si>
  <si>
    <t>Six month rerturn net of fees</t>
  </si>
  <si>
    <t xml:space="preserve">Actual gross-of-fees return </t>
  </si>
  <si>
    <t>Estimated Gross of fee</t>
  </si>
  <si>
    <t>Gross and net of fees</t>
  </si>
  <si>
    <t>Exhibit 3.27</t>
  </si>
  <si>
    <t>Overlay returns</t>
  </si>
  <si>
    <t>Aggregate Portfolio return</t>
  </si>
  <si>
    <t>Long Economic Exposure</t>
  </si>
  <si>
    <t>Short economic exposure</t>
  </si>
  <si>
    <t>Overlay total</t>
  </si>
  <si>
    <t>Underlaid assets</t>
  </si>
  <si>
    <t>Aggregate Portfolio</t>
  </si>
  <si>
    <t>End of</t>
  </si>
  <si>
    <t>Month 1</t>
  </si>
  <si>
    <t>Month 3</t>
  </si>
  <si>
    <t>Month 2</t>
  </si>
  <si>
    <t>Month 1 return</t>
  </si>
  <si>
    <t>Month 2 Return</t>
  </si>
  <si>
    <t>Month 3 Return</t>
  </si>
  <si>
    <t>Quarter Return</t>
  </si>
  <si>
    <t>Exhibit 3.28</t>
  </si>
  <si>
    <t>Overlay Portfolio return</t>
  </si>
  <si>
    <t>Overlay Portfolio</t>
  </si>
  <si>
    <t>Quarter return</t>
  </si>
  <si>
    <t>Quarter</t>
  </si>
  <si>
    <t>Table 3.6</t>
  </si>
  <si>
    <t>Table 3.5</t>
  </si>
  <si>
    <t>Exhibit 3.29</t>
  </si>
  <si>
    <t>Added value Overlay</t>
  </si>
  <si>
    <t>Added Value Overlay</t>
  </si>
  <si>
    <t>Table 3.7</t>
  </si>
  <si>
    <t>Portfolio contributions</t>
  </si>
  <si>
    <t>Overlay returns - Overlay Portfolio returns</t>
  </si>
  <si>
    <t>Overlay returns - Added Value Overlay</t>
  </si>
  <si>
    <t>Overlay returns - Aggreage Portfolio returns</t>
  </si>
  <si>
    <t>Portfolio Contributions</t>
  </si>
  <si>
    <t>Exhibit 3.34</t>
  </si>
  <si>
    <t>$/£ spot</t>
  </si>
  <si>
    <t>rate</t>
  </si>
  <si>
    <t>value ($)</t>
  </si>
  <si>
    <t>Value (£)</t>
  </si>
  <si>
    <t>Local returns</t>
  </si>
  <si>
    <t>Month 4</t>
  </si>
  <si>
    <t>Month 5</t>
  </si>
  <si>
    <t>six month return</t>
  </si>
  <si>
    <t>Alternative calculation</t>
  </si>
  <si>
    <t>Currency returns</t>
  </si>
  <si>
    <t>Exhibit 3.35</t>
  </si>
  <si>
    <t>Exhibit 3.36</t>
  </si>
  <si>
    <t>Base Currency returns</t>
  </si>
  <si>
    <t>Currency conversions</t>
  </si>
  <si>
    <t>Alternate</t>
  </si>
  <si>
    <t>Table 3.10</t>
  </si>
  <si>
    <t>Base currency returns</t>
  </si>
  <si>
    <t>One-month forward rates</t>
  </si>
  <si>
    <t>82,83</t>
  </si>
  <si>
    <t>One month forward rates</t>
  </si>
  <si>
    <t>$/£ forward</t>
  </si>
  <si>
    <t>Exhibit 3.44</t>
  </si>
  <si>
    <t>Overlay</t>
  </si>
  <si>
    <t>Hedged returns</t>
  </si>
  <si>
    <t>Perfectly hedged returns</t>
  </si>
  <si>
    <t xml:space="preserve">Perfect </t>
  </si>
  <si>
    <t>Hedge</t>
  </si>
  <si>
    <t>Exhibit 3.45</t>
  </si>
  <si>
    <t>Timing of cash flow ( trur-time weighted)</t>
  </si>
  <si>
    <t>Inflow -start of day, outflow-end of day</t>
  </si>
  <si>
    <t>Outflow -start of day, inflow-end of day</t>
  </si>
  <si>
    <t>Exhibit 3.49</t>
  </si>
  <si>
    <t>30th June</t>
  </si>
  <si>
    <t>29th July</t>
  </si>
  <si>
    <t>27th July</t>
  </si>
  <si>
    <t>6th July</t>
  </si>
  <si>
    <t>13th July</t>
  </si>
  <si>
    <t>XD Date</t>
  </si>
  <si>
    <t>Pay Date</t>
  </si>
  <si>
    <t xml:space="preserve">Announced </t>
  </si>
  <si>
    <t>Modified Dietz Return</t>
  </si>
  <si>
    <t xml:space="preserve">Value </t>
  </si>
  <si>
    <t>Dividend</t>
  </si>
  <si>
    <t>30th June to 6th July</t>
  </si>
  <si>
    <t>6th July to 13th July</t>
  </si>
  <si>
    <t>13th July to 27th July</t>
  </si>
  <si>
    <t>27th July to 29th July</t>
  </si>
  <si>
    <t>Time-weighted July return</t>
  </si>
  <si>
    <t>Individual Equity return</t>
  </si>
  <si>
    <t>Individual equity return</t>
  </si>
  <si>
    <t>Multi-period component returns</t>
  </si>
  <si>
    <t>Contribution to return - static portfolio</t>
  </si>
  <si>
    <t>Exhibit 3.58</t>
  </si>
  <si>
    <t>A</t>
  </si>
  <si>
    <t>B</t>
  </si>
  <si>
    <t>C</t>
  </si>
  <si>
    <t>D</t>
  </si>
  <si>
    <t>E</t>
  </si>
  <si>
    <t>5th July</t>
  </si>
  <si>
    <t>9th July</t>
  </si>
  <si>
    <t>14th July</t>
  </si>
  <si>
    <t>31st July</t>
  </si>
  <si>
    <t>Percentage</t>
  </si>
  <si>
    <t>WF</t>
  </si>
  <si>
    <t xml:space="preserve">Plus </t>
  </si>
  <si>
    <t>First</t>
  </si>
  <si>
    <t xml:space="preserve">Second </t>
  </si>
  <si>
    <t>July</t>
  </si>
  <si>
    <t>Composite returns</t>
  </si>
  <si>
    <t>Adjusted contributions</t>
  </si>
  <si>
    <t>Adjusted contribution</t>
  </si>
  <si>
    <t>Contribution to return - period 1</t>
  </si>
  <si>
    <t>Contribution to return - period 2</t>
  </si>
  <si>
    <t>Contribution to return - period 3</t>
  </si>
  <si>
    <t>Contribution to return - period 4</t>
  </si>
  <si>
    <t>Contibution</t>
  </si>
  <si>
    <t>Uncompounded</t>
  </si>
  <si>
    <t>Static</t>
  </si>
  <si>
    <t>Multi-period contribution to return</t>
  </si>
  <si>
    <t>Contribution to return period 1</t>
  </si>
  <si>
    <t>Contribution to return period 2</t>
  </si>
  <si>
    <t>Contribution to return period 3</t>
  </si>
  <si>
    <t>Contribution to return period 4</t>
  </si>
  <si>
    <t>Total Geometric Excess Return</t>
  </si>
  <si>
    <t>Table 6.17</t>
  </si>
  <si>
    <t>Table 6-23 and Exhibits 6-28 to 6-30</t>
  </si>
  <si>
    <t>Table 6-24 and Exhibits 6-32 &amp; 6-32</t>
  </si>
  <si>
    <t>Table 6-25 and Exhibits 6-34 to 6-36</t>
  </si>
  <si>
    <t xml:space="preserve">           Exhibit 6.61</t>
  </si>
  <si>
    <t xml:space="preserve">      Exhibit 6.62</t>
  </si>
  <si>
    <t xml:space="preserve">      Exhibit 6.63</t>
  </si>
  <si>
    <t xml:space="preserve">      Exhibit 6.64</t>
  </si>
  <si>
    <t>Exhibit 6.66</t>
  </si>
  <si>
    <t>Table 6-37</t>
  </si>
  <si>
    <t>Exhibit  6-72</t>
  </si>
  <si>
    <t>Exhibit  6-71</t>
  </si>
  <si>
    <t xml:space="preserve">        Exhibit 6.74</t>
  </si>
  <si>
    <t xml:space="preserve">        Exhibit 6.76</t>
  </si>
  <si>
    <t>Exhibit 6.81</t>
  </si>
  <si>
    <t>Exhibit 6.80</t>
  </si>
  <si>
    <t>adjusted</t>
  </si>
  <si>
    <t xml:space="preserve">           Exhibit 6.82</t>
  </si>
  <si>
    <t>Exhibit 6.83</t>
  </si>
  <si>
    <t>Exhibit 6.84</t>
  </si>
  <si>
    <t>Exhibit 6.86</t>
  </si>
  <si>
    <t>Exhibit 6.85</t>
  </si>
  <si>
    <t>Currency*</t>
  </si>
  <si>
    <t>* In this example currency returns are zero</t>
  </si>
  <si>
    <t>Exhibit 6.87</t>
  </si>
  <si>
    <t>Exhibit 6.88</t>
  </si>
  <si>
    <t>Security  Selection (Geometric)</t>
  </si>
  <si>
    <t>Exhibit 6.89</t>
  </si>
  <si>
    <t>Table 6.45</t>
  </si>
  <si>
    <t>Yield Curve Decomposition</t>
  </si>
  <si>
    <t>Table 6-51 &amp; Table 6-56</t>
  </si>
  <si>
    <t>Table 6-50</t>
  </si>
  <si>
    <t>Govt.3% 3 year</t>
  </si>
  <si>
    <t>Govt 4.5% 5 year</t>
  </si>
  <si>
    <t>Govt 5.0% 7 year</t>
  </si>
  <si>
    <t>Corp. 6.5% 7 year</t>
  </si>
  <si>
    <t>Govt 6.0% 10 year</t>
  </si>
  <si>
    <t>Govt 5.5% 12 year</t>
  </si>
  <si>
    <t>Govt 3.0% 14 year</t>
  </si>
  <si>
    <t>Govt 4.0% 15 year</t>
  </si>
  <si>
    <t>Time</t>
  </si>
  <si>
    <t xml:space="preserve">Shift </t>
  </si>
  <si>
    <t>Slope</t>
  </si>
  <si>
    <t>Portfolio contribution to return</t>
  </si>
  <si>
    <t>Benchmark contribution to return</t>
  </si>
  <si>
    <t>Portfolio cont.</t>
  </si>
  <si>
    <t>Benchmark cont.</t>
  </si>
  <si>
    <t>Attribution effects</t>
  </si>
  <si>
    <t>Bond start of period price</t>
  </si>
  <si>
    <t>Bond end of period price</t>
  </si>
  <si>
    <t>Portfolio and benchmark data</t>
  </si>
  <si>
    <t>Start and end of period yields</t>
  </si>
  <si>
    <t>Describing the changing shape of the yield curve</t>
  </si>
  <si>
    <t>Rolldown</t>
  </si>
  <si>
    <t>Return factors</t>
  </si>
  <si>
    <t xml:space="preserve">      Exhibit 6.96</t>
  </si>
  <si>
    <t>Table 6-48</t>
  </si>
  <si>
    <t>Table 6-57</t>
  </si>
  <si>
    <t>to return</t>
  </si>
  <si>
    <t>Table 6-58</t>
  </si>
  <si>
    <t>Table 6-59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</si>
</sst>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0.0"/>
    <numFmt numFmtId="167" formatCode="0.0%"/>
    <numFmt numFmtId="168" formatCode="0.00000"/>
    <numFmt numFmtId="169" formatCode="0.000%"/>
    <numFmt numFmtId="170" formatCode="0.0000%"/>
    <numFmt numFmtId="171" formatCode="0.00000%"/>
    <numFmt numFmtId="172" formatCode="0.00000000000000000%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vertAlign val="subscript"/>
      <sz val="10"/>
      <name val="Arial"/>
      <family val="2"/>
    </font>
    <font>
      <i/>
      <vertAlign val="subscript"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2"/>
      <name val="Symbol"/>
      <family val="1"/>
      <charset val="2"/>
    </font>
    <font>
      <sz val="20"/>
      <name val="Symbol"/>
      <family val="1"/>
      <charset val="2"/>
    </font>
    <font>
      <sz val="9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21" fillId="0" borderId="0"/>
    <xf numFmtId="0" fontId="10" fillId="0" borderId="0"/>
  </cellStyleXfs>
  <cellXfs count="1416">
    <xf numFmtId="0" fontId="0" fillId="0" borderId="0" xfId="0"/>
    <xf numFmtId="2" fontId="0" fillId="0" borderId="0" xfId="0" applyNumberFormat="1"/>
    <xf numFmtId="0" fontId="1" fillId="0" borderId="0" xfId="0" applyFont="1"/>
    <xf numFmtId="166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166" fontId="1" fillId="0" borderId="0" xfId="0" applyNumberFormat="1" applyFont="1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2" fillId="2" borderId="0" xfId="1" applyBorder="1"/>
    <xf numFmtId="0" fontId="2" fillId="2" borderId="5" xfId="1" applyBorder="1"/>
    <xf numFmtId="0" fontId="4" fillId="2" borderId="6" xfId="1" applyFont="1" applyBorder="1"/>
    <xf numFmtId="0" fontId="4" fillId="2" borderId="7" xfId="1" applyFont="1" applyBorder="1"/>
    <xf numFmtId="166" fontId="4" fillId="2" borderId="8" xfId="1" applyNumberFormat="1" applyFont="1" applyBorder="1"/>
    <xf numFmtId="0" fontId="4" fillId="2" borderId="1" xfId="1" applyFont="1" applyBorder="1"/>
    <xf numFmtId="0" fontId="4" fillId="2" borderId="2" xfId="1" applyFont="1" applyBorder="1"/>
    <xf numFmtId="0" fontId="4" fillId="2" borderId="3" xfId="1" applyFont="1" applyBorder="1"/>
    <xf numFmtId="0" fontId="4" fillId="2" borderId="8" xfId="1" applyFont="1" applyBorder="1"/>
    <xf numFmtId="0" fontId="4" fillId="2" borderId="4" xfId="1" applyFont="1" applyBorder="1"/>
    <xf numFmtId="0" fontId="4" fillId="2" borderId="0" xfId="1" applyFont="1" applyBorder="1"/>
    <xf numFmtId="0" fontId="4" fillId="2" borderId="5" xfId="1" applyFont="1" applyBorder="1"/>
    <xf numFmtId="2" fontId="4" fillId="2" borderId="0" xfId="1" applyNumberFormat="1" applyFont="1" applyBorder="1"/>
    <xf numFmtId="2" fontId="4" fillId="2" borderId="5" xfId="1" applyNumberFormat="1" applyFont="1" applyBorder="1"/>
    <xf numFmtId="166" fontId="4" fillId="2" borderId="5" xfId="1" applyNumberFormat="1" applyFont="1" applyBorder="1"/>
    <xf numFmtId="0" fontId="5" fillId="2" borderId="11" xfId="1" applyFont="1" applyBorder="1"/>
    <xf numFmtId="0" fontId="5" fillId="2" borderId="1" xfId="1" applyFont="1" applyBorder="1"/>
    <xf numFmtId="0" fontId="5" fillId="2" borderId="2" xfId="1" applyFont="1" applyBorder="1"/>
    <xf numFmtId="0" fontId="5" fillId="2" borderId="3" xfId="1" applyFont="1" applyBorder="1"/>
    <xf numFmtId="0" fontId="5" fillId="2" borderId="4" xfId="1" applyFont="1" applyBorder="1"/>
    <xf numFmtId="0" fontId="5" fillId="2" borderId="0" xfId="1" applyFont="1" applyBorder="1"/>
    <xf numFmtId="0" fontId="5" fillId="2" borderId="5" xfId="1" applyFont="1" applyBorder="1"/>
    <xf numFmtId="0" fontId="5" fillId="2" borderId="6" xfId="1" applyFont="1" applyBorder="1"/>
    <xf numFmtId="0" fontId="5" fillId="2" borderId="7" xfId="1" applyFont="1" applyBorder="1"/>
    <xf numFmtId="0" fontId="5" fillId="2" borderId="8" xfId="1" applyFont="1" applyBorder="1"/>
    <xf numFmtId="2" fontId="5" fillId="2" borderId="0" xfId="1" applyNumberFormat="1" applyFont="1" applyBorder="1"/>
    <xf numFmtId="0" fontId="4" fillId="2" borderId="9" xfId="1" applyFont="1" applyBorder="1"/>
    <xf numFmtId="0" fontId="4" fillId="2" borderId="10" xfId="1" applyFont="1" applyBorder="1"/>
    <xf numFmtId="0" fontId="4" fillId="2" borderId="11" xfId="1" applyFont="1" applyBorder="1"/>
    <xf numFmtId="166" fontId="5" fillId="2" borderId="0" xfId="1" applyNumberFormat="1" applyFont="1" applyBorder="1"/>
    <xf numFmtId="2" fontId="5" fillId="2" borderId="5" xfId="1" applyNumberFormat="1" applyFont="1" applyBorder="1"/>
    <xf numFmtId="2" fontId="5" fillId="2" borderId="7" xfId="1" applyNumberFormat="1" applyFont="1" applyBorder="1"/>
    <xf numFmtId="2" fontId="4" fillId="2" borderId="7" xfId="1" applyNumberFormat="1" applyFont="1" applyBorder="1"/>
    <xf numFmtId="166" fontId="4" fillId="2" borderId="7" xfId="1" applyNumberFormat="1" applyFont="1" applyBorder="1"/>
    <xf numFmtId="2" fontId="5" fillId="2" borderId="3" xfId="1" applyNumberFormat="1" applyFont="1" applyBorder="1"/>
    <xf numFmtId="2" fontId="4" fillId="2" borderId="3" xfId="1" applyNumberFormat="1" applyFont="1" applyBorder="1"/>
    <xf numFmtId="166" fontId="5" fillId="2" borderId="5" xfId="1" applyNumberFormat="1" applyFont="1" applyBorder="1"/>
    <xf numFmtId="165" fontId="5" fillId="2" borderId="3" xfId="1" applyNumberFormat="1" applyFont="1" applyBorder="1"/>
    <xf numFmtId="2" fontId="5" fillId="2" borderId="2" xfId="1" applyNumberFormat="1" applyFont="1" applyBorder="1"/>
    <xf numFmtId="2" fontId="4" fillId="2" borderId="2" xfId="1" applyNumberFormat="1" applyFont="1" applyBorder="1"/>
    <xf numFmtId="166" fontId="5" fillId="2" borderId="4" xfId="1" applyNumberFormat="1" applyFont="1" applyBorder="1"/>
    <xf numFmtId="0" fontId="4" fillId="2" borderId="1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4" fillId="3" borderId="1" xfId="2" applyFont="1" applyBorder="1"/>
    <xf numFmtId="0" fontId="4" fillId="3" borderId="2" xfId="2" applyFont="1" applyBorder="1"/>
    <xf numFmtId="0" fontId="4" fillId="3" borderId="3" xfId="2" applyFont="1" applyBorder="1"/>
    <xf numFmtId="0" fontId="4" fillId="3" borderId="6" xfId="2" applyFont="1" applyBorder="1"/>
    <xf numFmtId="0" fontId="4" fillId="3" borderId="7" xfId="2" applyFont="1" applyBorder="1"/>
    <xf numFmtId="0" fontId="4" fillId="3" borderId="8" xfId="2" applyFont="1" applyBorder="1"/>
    <xf numFmtId="0" fontId="5" fillId="3" borderId="4" xfId="2" applyFont="1" applyBorder="1"/>
    <xf numFmtId="0" fontId="5" fillId="3" borderId="0" xfId="2" applyFont="1" applyBorder="1"/>
    <xf numFmtId="2" fontId="5" fillId="3" borderId="5" xfId="2" applyNumberFormat="1" applyFont="1" applyBorder="1"/>
    <xf numFmtId="0" fontId="5" fillId="3" borderId="5" xfId="2" applyFont="1" applyBorder="1"/>
    <xf numFmtId="0" fontId="5" fillId="3" borderId="6" xfId="2" applyFont="1" applyBorder="1"/>
    <xf numFmtId="0" fontId="5" fillId="3" borderId="7" xfId="2" applyFont="1" applyBorder="1"/>
    <xf numFmtId="2" fontId="5" fillId="3" borderId="8" xfId="2" applyNumberFormat="1" applyFont="1" applyBorder="1"/>
    <xf numFmtId="2" fontId="5" fillId="2" borderId="8" xfId="1" applyNumberFormat="1" applyFont="1" applyBorder="1"/>
    <xf numFmtId="165" fontId="5" fillId="2" borderId="5" xfId="1" applyNumberFormat="1" applyFont="1" applyBorder="1"/>
    <xf numFmtId="0" fontId="5" fillId="3" borderId="1" xfId="2" applyFont="1" applyBorder="1"/>
    <xf numFmtId="0" fontId="5" fillId="3" borderId="2" xfId="2" applyFont="1" applyBorder="1"/>
    <xf numFmtId="2" fontId="5" fillId="3" borderId="3" xfId="2" applyNumberFormat="1" applyFont="1" applyBorder="1"/>
    <xf numFmtId="165" fontId="5" fillId="3" borderId="8" xfId="2" applyNumberFormat="1" applyFont="1" applyBorder="1"/>
    <xf numFmtId="2" fontId="4" fillId="2" borderId="8" xfId="1" applyNumberFormat="1" applyFont="1" applyBorder="1"/>
    <xf numFmtId="164" fontId="5" fillId="2" borderId="5" xfId="1" applyNumberFormat="1" applyFont="1" applyBorder="1"/>
    <xf numFmtId="0" fontId="2" fillId="2" borderId="4" xfId="1" applyBorder="1"/>
    <xf numFmtId="164" fontId="5" fillId="3" borderId="5" xfId="2" applyNumberFormat="1" applyFont="1" applyBorder="1"/>
    <xf numFmtId="164" fontId="4" fillId="3" borderId="8" xfId="2" applyNumberFormat="1" applyFont="1" applyBorder="1"/>
    <xf numFmtId="10" fontId="5" fillId="2" borderId="0" xfId="1" applyNumberFormat="1" applyFont="1" applyBorder="1"/>
    <xf numFmtId="10" fontId="5" fillId="2" borderId="7" xfId="1" applyNumberFormat="1" applyFont="1" applyBorder="1"/>
    <xf numFmtId="0" fontId="2" fillId="2" borderId="10" xfId="1" applyBorder="1"/>
    <xf numFmtId="0" fontId="2" fillId="2" borderId="11" xfId="1" applyBorder="1"/>
    <xf numFmtId="10" fontId="5" fillId="2" borderId="2" xfId="1" applyNumberFormat="1" applyFont="1" applyBorder="1"/>
    <xf numFmtId="0" fontId="5" fillId="3" borderId="9" xfId="2" applyFont="1" applyBorder="1"/>
    <xf numFmtId="10" fontId="5" fillId="3" borderId="11" xfId="2" applyNumberFormat="1" applyFont="1" applyBorder="1"/>
    <xf numFmtId="0" fontId="4" fillId="3" borderId="4" xfId="2" applyFont="1" applyBorder="1"/>
    <xf numFmtId="0" fontId="4" fillId="3" borderId="0" xfId="2" applyFont="1" applyBorder="1"/>
    <xf numFmtId="0" fontId="4" fillId="3" borderId="5" xfId="2" applyFont="1" applyBorder="1"/>
    <xf numFmtId="14" fontId="5" fillId="3" borderId="5" xfId="2" applyNumberFormat="1" applyFont="1" applyBorder="1"/>
    <xf numFmtId="9" fontId="5" fillId="3" borderId="5" xfId="2" applyNumberFormat="1" applyFont="1" applyBorder="1"/>
    <xf numFmtId="10" fontId="5" fillId="3" borderId="5" xfId="2" applyNumberFormat="1" applyFont="1" applyBorder="1"/>
    <xf numFmtId="0" fontId="3" fillId="3" borderId="4" xfId="2" applyBorder="1"/>
    <xf numFmtId="0" fontId="3" fillId="3" borderId="0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2" fontId="4" fillId="2" borderId="6" xfId="1" applyNumberFormat="1" applyFont="1" applyBorder="1"/>
    <xf numFmtId="0" fontId="0" fillId="0" borderId="7" xfId="0" applyBorder="1"/>
    <xf numFmtId="10" fontId="4" fillId="2" borderId="2" xfId="1" quotePrefix="1" applyNumberFormat="1" applyFont="1" applyBorder="1"/>
    <xf numFmtId="0" fontId="4" fillId="2" borderId="2" xfId="1" quotePrefix="1" applyFont="1" applyBorder="1"/>
    <xf numFmtId="0" fontId="0" fillId="0" borderId="6" xfId="0" applyBorder="1"/>
    <xf numFmtId="10" fontId="5" fillId="2" borderId="5" xfId="3" applyNumberFormat="1" applyFont="1" applyFill="1" applyBorder="1"/>
    <xf numFmtId="0" fontId="5" fillId="2" borderId="0" xfId="1" quotePrefix="1" applyFont="1" applyBorder="1"/>
    <xf numFmtId="10" fontId="5" fillId="2" borderId="0" xfId="1" quotePrefix="1" applyNumberFormat="1" applyFont="1" applyBorder="1"/>
    <xf numFmtId="10" fontId="5" fillId="2" borderId="5" xfId="1" applyNumberFormat="1" applyFont="1" applyBorder="1"/>
    <xf numFmtId="10" fontId="5" fillId="2" borderId="8" xfId="1" applyNumberFormat="1" applyFont="1" applyBorder="1"/>
    <xf numFmtId="0" fontId="4" fillId="2" borderId="12" xfId="1" applyFont="1" applyBorder="1"/>
    <xf numFmtId="2" fontId="0" fillId="4" borderId="13" xfId="0" applyNumberFormat="1" applyFill="1" applyBorder="1"/>
    <xf numFmtId="2" fontId="0" fillId="4" borderId="0" xfId="0" applyNumberFormat="1" applyFill="1"/>
    <xf numFmtId="2" fontId="0" fillId="4" borderId="3" xfId="0" applyNumberFormat="1" applyFill="1" applyBorder="1"/>
    <xf numFmtId="2" fontId="0" fillId="5" borderId="4" xfId="0" applyNumberFormat="1" applyFill="1" applyBorder="1"/>
    <xf numFmtId="2" fontId="0" fillId="5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/>
    <xf numFmtId="2" fontId="0" fillId="6" borderId="5" xfId="0" applyNumberFormat="1" applyFill="1" applyBorder="1"/>
    <xf numFmtId="2" fontId="0" fillId="7" borderId="3" xfId="0" applyNumberFormat="1" applyFill="1" applyBorder="1"/>
    <xf numFmtId="2" fontId="0" fillId="7" borderId="0" xfId="0" applyNumberFormat="1" applyFill="1"/>
    <xf numFmtId="2" fontId="0" fillId="7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7" borderId="7" xfId="0" applyNumberFormat="1" applyFill="1" applyBorder="1"/>
    <xf numFmtId="2" fontId="0" fillId="7" borderId="8" xfId="0" applyNumberFormat="1" applyFill="1" applyBorder="1"/>
    <xf numFmtId="2" fontId="9" fillId="8" borderId="12" xfId="0" applyNumberFormat="1" applyFont="1" applyFill="1" applyBorder="1"/>
    <xf numFmtId="0" fontId="9" fillId="0" borderId="0" xfId="0" applyFont="1"/>
    <xf numFmtId="2" fontId="9" fillId="4" borderId="12" xfId="0" applyNumberFormat="1" applyFont="1" applyFill="1" applyBorder="1"/>
    <xf numFmtId="2" fontId="9" fillId="6" borderId="12" xfId="0" applyNumberFormat="1" applyFont="1" applyFill="1" applyBorder="1"/>
    <xf numFmtId="2" fontId="9" fillId="7" borderId="14" xfId="0" applyNumberFormat="1" applyFont="1" applyFill="1" applyBorder="1"/>
    <xf numFmtId="0" fontId="3" fillId="3" borderId="2" xfId="2" applyBorder="1"/>
    <xf numFmtId="0" fontId="0" fillId="0" borderId="5" xfId="0" applyBorder="1"/>
    <xf numFmtId="0" fontId="0" fillId="9" borderId="4" xfId="0" applyFill="1" applyBorder="1"/>
    <xf numFmtId="0" fontId="0" fillId="9" borderId="0" xfId="0" applyFill="1"/>
    <xf numFmtId="2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2" fontId="5" fillId="2" borderId="4" xfId="1" applyNumberFormat="1" applyFont="1" applyBorder="1"/>
    <xf numFmtId="167" fontId="5" fillId="2" borderId="5" xfId="1" applyNumberFormat="1" applyFont="1" applyBorder="1"/>
    <xf numFmtId="2" fontId="5" fillId="2" borderId="6" xfId="1" applyNumberFormat="1" applyFont="1" applyBorder="1"/>
    <xf numFmtId="167" fontId="5" fillId="2" borderId="8" xfId="1" applyNumberFormat="1" applyFont="1" applyBorder="1"/>
    <xf numFmtId="2" fontId="5" fillId="3" borderId="2" xfId="2" applyNumberFormat="1" applyFont="1" applyBorder="1"/>
    <xf numFmtId="0" fontId="5" fillId="3" borderId="3" xfId="2" applyFont="1" applyBorder="1"/>
    <xf numFmtId="2" fontId="5" fillId="3" borderId="0" xfId="2" applyNumberFormat="1" applyFont="1" applyBorder="1"/>
    <xf numFmtId="2" fontId="5" fillId="3" borderId="7" xfId="2" applyNumberFormat="1" applyFont="1" applyBorder="1"/>
    <xf numFmtId="0" fontId="5" fillId="3" borderId="8" xfId="2" applyFont="1" applyBorder="1"/>
    <xf numFmtId="167" fontId="0" fillId="0" borderId="0" xfId="3" applyNumberFormat="1" applyFont="1"/>
    <xf numFmtId="2" fontId="0" fillId="9" borderId="8" xfId="0" applyNumberFormat="1" applyFill="1" applyBorder="1"/>
    <xf numFmtId="0" fontId="3" fillId="3" borderId="1" xfId="2" applyBorder="1"/>
    <xf numFmtId="164" fontId="3" fillId="3" borderId="3" xfId="2" applyNumberFormat="1" applyBorder="1"/>
    <xf numFmtId="0" fontId="11" fillId="0" borderId="0" xfId="4" applyFont="1"/>
    <xf numFmtId="0" fontId="10" fillId="0" borderId="0" xfId="4"/>
    <xf numFmtId="0" fontId="12" fillId="0" borderId="0" xfId="4" applyFont="1"/>
    <xf numFmtId="0" fontId="13" fillId="0" borderId="0" xfId="4" applyFont="1"/>
    <xf numFmtId="2" fontId="13" fillId="0" borderId="0" xfId="4" applyNumberFormat="1" applyFont="1"/>
    <xf numFmtId="0" fontId="14" fillId="0" borderId="0" xfId="4" applyFont="1"/>
    <xf numFmtId="3" fontId="10" fillId="0" borderId="0" xfId="4" applyNumberFormat="1"/>
    <xf numFmtId="0" fontId="15" fillId="0" borderId="0" xfId="4" applyFont="1"/>
    <xf numFmtId="0" fontId="10" fillId="10" borderId="1" xfId="4" applyFill="1" applyBorder="1"/>
    <xf numFmtId="0" fontId="10" fillId="10" borderId="3" xfId="4" applyFill="1" applyBorder="1"/>
    <xf numFmtId="0" fontId="10" fillId="10" borderId="4" xfId="4" applyFill="1" applyBorder="1"/>
    <xf numFmtId="0" fontId="10" fillId="10" borderId="5" xfId="4" applyFill="1" applyBorder="1"/>
    <xf numFmtId="0" fontId="10" fillId="10" borderId="6" xfId="4" applyFill="1" applyBorder="1"/>
    <xf numFmtId="0" fontId="10" fillId="10" borderId="8" xfId="4" applyFill="1" applyBorder="1"/>
    <xf numFmtId="0" fontId="9" fillId="0" borderId="0" xfId="4" applyFont="1"/>
    <xf numFmtId="10" fontId="9" fillId="0" borderId="0" xfId="4" applyNumberFormat="1" applyFont="1"/>
    <xf numFmtId="166" fontId="10" fillId="0" borderId="0" xfId="4" applyNumberFormat="1"/>
    <xf numFmtId="0" fontId="10" fillId="10" borderId="1" xfId="4" applyFill="1" applyBorder="1" applyAlignment="1">
      <alignment horizontal="right"/>
    </xf>
    <xf numFmtId="0" fontId="10" fillId="10" borderId="2" xfId="4" applyFill="1" applyBorder="1" applyAlignment="1">
      <alignment horizontal="left"/>
    </xf>
    <xf numFmtId="0" fontId="10" fillId="10" borderId="2" xfId="4" applyFill="1" applyBorder="1"/>
    <xf numFmtId="0" fontId="10" fillId="10" borderId="6" xfId="4" applyFill="1" applyBorder="1" applyAlignment="1">
      <alignment horizontal="right"/>
    </xf>
    <xf numFmtId="0" fontId="10" fillId="10" borderId="7" xfId="4" applyFill="1" applyBorder="1" applyAlignment="1">
      <alignment horizontal="left"/>
    </xf>
    <xf numFmtId="0" fontId="10" fillId="10" borderId="7" xfId="4" applyFill="1" applyBorder="1"/>
    <xf numFmtId="0" fontId="10" fillId="0" borderId="0" xfId="4" applyAlignment="1">
      <alignment horizontal="right"/>
    </xf>
    <xf numFmtId="168" fontId="10" fillId="0" borderId="0" xfId="4" applyNumberFormat="1"/>
    <xf numFmtId="0" fontId="9" fillId="0" borderId="0" xfId="4" applyFont="1" applyAlignment="1">
      <alignment horizontal="right"/>
    </xf>
    <xf numFmtId="0" fontId="10" fillId="0" borderId="0" xfId="4" applyAlignment="1">
      <alignment horizontal="left"/>
    </xf>
    <xf numFmtId="0" fontId="18" fillId="0" borderId="0" xfId="4" applyFont="1"/>
    <xf numFmtId="10" fontId="10" fillId="0" borderId="0" xfId="4" applyNumberFormat="1"/>
    <xf numFmtId="166" fontId="10" fillId="10" borderId="8" xfId="4" applyNumberFormat="1" applyFill="1" applyBorder="1"/>
    <xf numFmtId="166" fontId="10" fillId="10" borderId="5" xfId="4" applyNumberFormat="1" applyFill="1" applyBorder="1"/>
    <xf numFmtId="10" fontId="10" fillId="10" borderId="5" xfId="4" applyNumberFormat="1" applyFill="1" applyBorder="1"/>
    <xf numFmtId="10" fontId="10" fillId="10" borderId="8" xfId="4" applyNumberFormat="1" applyFill="1" applyBorder="1"/>
    <xf numFmtId="2" fontId="10" fillId="0" borderId="0" xfId="4" applyNumberFormat="1"/>
    <xf numFmtId="0" fontId="10" fillId="10" borderId="0" xfId="4" applyFill="1"/>
    <xf numFmtId="169" fontId="10" fillId="0" borderId="0" xfId="4" applyNumberFormat="1"/>
    <xf numFmtId="169" fontId="9" fillId="0" borderId="0" xfId="4" applyNumberFormat="1" applyFont="1"/>
    <xf numFmtId="0" fontId="9" fillId="10" borderId="3" xfId="4" applyFont="1" applyFill="1" applyBorder="1"/>
    <xf numFmtId="0" fontId="9" fillId="10" borderId="5" xfId="4" applyFont="1" applyFill="1" applyBorder="1"/>
    <xf numFmtId="9" fontId="10" fillId="10" borderId="1" xfId="4" applyNumberFormat="1" applyFill="1" applyBorder="1"/>
    <xf numFmtId="9" fontId="10" fillId="10" borderId="2" xfId="4" applyNumberFormat="1" applyFill="1" applyBorder="1"/>
    <xf numFmtId="9" fontId="10" fillId="10" borderId="4" xfId="4" applyNumberFormat="1" applyFill="1" applyBorder="1"/>
    <xf numFmtId="9" fontId="10" fillId="10" borderId="0" xfId="4" applyNumberFormat="1" applyFill="1"/>
    <xf numFmtId="9" fontId="10" fillId="10" borderId="6" xfId="4" applyNumberFormat="1" applyFill="1" applyBorder="1"/>
    <xf numFmtId="9" fontId="10" fillId="10" borderId="7" xfId="4" applyNumberFormat="1" applyFill="1" applyBorder="1"/>
    <xf numFmtId="2" fontId="9" fillId="10" borderId="8" xfId="4" applyNumberFormat="1" applyFont="1" applyFill="1" applyBorder="1"/>
    <xf numFmtId="0" fontId="9" fillId="10" borderId="6" xfId="4" applyFont="1" applyFill="1" applyBorder="1"/>
    <xf numFmtId="9" fontId="9" fillId="10" borderId="6" xfId="4" applyNumberFormat="1" applyFont="1" applyFill="1" applyBorder="1"/>
    <xf numFmtId="9" fontId="9" fillId="10" borderId="7" xfId="4" applyNumberFormat="1" applyFont="1" applyFill="1" applyBorder="1"/>
    <xf numFmtId="0" fontId="9" fillId="10" borderId="7" xfId="4" applyFont="1" applyFill="1" applyBorder="1"/>
    <xf numFmtId="0" fontId="10" fillId="11" borderId="13" xfId="4" applyFill="1" applyBorder="1"/>
    <xf numFmtId="0" fontId="10" fillId="11" borderId="2" xfId="4" applyFill="1" applyBorder="1"/>
    <xf numFmtId="0" fontId="10" fillId="11" borderId="14" xfId="4" applyFill="1" applyBorder="1"/>
    <xf numFmtId="0" fontId="10" fillId="11" borderId="7" xfId="4" applyFill="1" applyBorder="1"/>
    <xf numFmtId="0" fontId="10" fillId="11" borderId="15" xfId="4" applyFill="1" applyBorder="1"/>
    <xf numFmtId="9" fontId="10" fillId="11" borderId="0" xfId="4" applyNumberFormat="1" applyFill="1"/>
    <xf numFmtId="0" fontId="10" fillId="11" borderId="0" xfId="4" applyFill="1"/>
    <xf numFmtId="2" fontId="10" fillId="11" borderId="15" xfId="4" applyNumberFormat="1" applyFill="1" applyBorder="1"/>
    <xf numFmtId="2" fontId="9" fillId="11" borderId="14" xfId="4" applyNumberFormat="1" applyFont="1" applyFill="1" applyBorder="1"/>
    <xf numFmtId="10" fontId="10" fillId="11" borderId="0" xfId="4" applyNumberFormat="1" applyFill="1"/>
    <xf numFmtId="0" fontId="10" fillId="12" borderId="1" xfId="4" applyFill="1" applyBorder="1"/>
    <xf numFmtId="0" fontId="9" fillId="12" borderId="13" xfId="4" applyFont="1" applyFill="1" applyBorder="1" applyAlignment="1">
      <alignment horizontal="center"/>
    </xf>
    <xf numFmtId="0" fontId="9" fillId="12" borderId="1" xfId="4" applyFont="1" applyFill="1" applyBorder="1" applyAlignment="1">
      <alignment horizontal="center"/>
    </xf>
    <xf numFmtId="0" fontId="9" fillId="12" borderId="2" xfId="4" applyFont="1" applyFill="1" applyBorder="1" applyAlignment="1">
      <alignment horizontal="center"/>
    </xf>
    <xf numFmtId="0" fontId="9" fillId="12" borderId="3" xfId="4" applyFont="1" applyFill="1" applyBorder="1" applyAlignment="1">
      <alignment horizontal="center"/>
    </xf>
    <xf numFmtId="0" fontId="10" fillId="12" borderId="6" xfId="4" applyFill="1" applyBorder="1"/>
    <xf numFmtId="0" fontId="9" fillId="12" borderId="14" xfId="4" applyFont="1" applyFill="1" applyBorder="1" applyAlignment="1">
      <alignment horizontal="center"/>
    </xf>
    <xf numFmtId="0" fontId="9" fillId="12" borderId="6" xfId="4" applyFont="1" applyFill="1" applyBorder="1" applyAlignment="1">
      <alignment horizontal="center"/>
    </xf>
    <xf numFmtId="0" fontId="9" fillId="12" borderId="7" xfId="4" applyFont="1" applyFill="1" applyBorder="1" applyAlignment="1">
      <alignment horizontal="center"/>
    </xf>
    <xf numFmtId="0" fontId="9" fillId="12" borderId="8" xfId="4" applyFont="1" applyFill="1" applyBorder="1" applyAlignment="1">
      <alignment horizontal="center"/>
    </xf>
    <xf numFmtId="0" fontId="10" fillId="12" borderId="4" xfId="4" applyFill="1" applyBorder="1"/>
    <xf numFmtId="9" fontId="10" fillId="12" borderId="15" xfId="4" applyNumberFormat="1" applyFill="1" applyBorder="1"/>
    <xf numFmtId="2" fontId="10" fillId="12" borderId="4" xfId="4" applyNumberFormat="1" applyFill="1" applyBorder="1"/>
    <xf numFmtId="2" fontId="10" fillId="12" borderId="0" xfId="4" applyNumberFormat="1" applyFill="1"/>
    <xf numFmtId="2" fontId="10" fillId="12" borderId="5" xfId="4" applyNumberFormat="1" applyFill="1" applyBorder="1"/>
    <xf numFmtId="0" fontId="10" fillId="12" borderId="0" xfId="4" applyFill="1"/>
    <xf numFmtId="2" fontId="10" fillId="12" borderId="15" xfId="4" applyNumberFormat="1" applyFill="1" applyBorder="1"/>
    <xf numFmtId="0" fontId="10" fillId="12" borderId="5" xfId="4" applyFill="1" applyBorder="1"/>
    <xf numFmtId="2" fontId="9" fillId="12" borderId="15" xfId="4" applyNumberFormat="1" applyFont="1" applyFill="1" applyBorder="1"/>
    <xf numFmtId="0" fontId="9" fillId="12" borderId="9" xfId="4" applyFont="1" applyFill="1" applyBorder="1"/>
    <xf numFmtId="9" fontId="9" fillId="12" borderId="12" xfId="4" applyNumberFormat="1" applyFont="1" applyFill="1" applyBorder="1"/>
    <xf numFmtId="2" fontId="9" fillId="12" borderId="9" xfId="4" applyNumberFormat="1" applyFont="1" applyFill="1" applyBorder="1"/>
    <xf numFmtId="2" fontId="9" fillId="12" borderId="10" xfId="4" applyNumberFormat="1" applyFont="1" applyFill="1" applyBorder="1"/>
    <xf numFmtId="2" fontId="9" fillId="12" borderId="11" xfId="4" applyNumberFormat="1" applyFont="1" applyFill="1" applyBorder="1"/>
    <xf numFmtId="0" fontId="9" fillId="12" borderId="10" xfId="4" applyFont="1" applyFill="1" applyBorder="1"/>
    <xf numFmtId="0" fontId="10" fillId="12" borderId="10" xfId="4" applyFill="1" applyBorder="1"/>
    <xf numFmtId="2" fontId="9" fillId="12" borderId="12" xfId="4" applyNumberFormat="1" applyFont="1" applyFill="1" applyBorder="1"/>
    <xf numFmtId="0" fontId="9" fillId="12" borderId="1" xfId="4" applyFont="1" applyFill="1" applyBorder="1"/>
    <xf numFmtId="0" fontId="9" fillId="12" borderId="2" xfId="4" applyFont="1" applyFill="1" applyBorder="1"/>
    <xf numFmtId="0" fontId="10" fillId="0" borderId="0" xfId="4" applyAlignment="1">
      <alignment horizontal="center"/>
    </xf>
    <xf numFmtId="0" fontId="9" fillId="12" borderId="6" xfId="4" applyFont="1" applyFill="1" applyBorder="1"/>
    <xf numFmtId="0" fontId="9" fillId="12" borderId="7" xfId="4" applyFont="1" applyFill="1" applyBorder="1"/>
    <xf numFmtId="0" fontId="10" fillId="12" borderId="15" xfId="4" applyFill="1" applyBorder="1"/>
    <xf numFmtId="0" fontId="10" fillId="12" borderId="7" xfId="4" applyFill="1" applyBorder="1"/>
    <xf numFmtId="2" fontId="10" fillId="12" borderId="6" xfId="4" applyNumberFormat="1" applyFill="1" applyBorder="1"/>
    <xf numFmtId="2" fontId="10" fillId="12" borderId="8" xfId="4" applyNumberFormat="1" applyFill="1" applyBorder="1"/>
    <xf numFmtId="2" fontId="9" fillId="12" borderId="14" xfId="4" applyNumberFormat="1" applyFont="1" applyFill="1" applyBorder="1"/>
    <xf numFmtId="0" fontId="10" fillId="12" borderId="8" xfId="4" applyFill="1" applyBorder="1"/>
    <xf numFmtId="0" fontId="10" fillId="12" borderId="4" xfId="4" applyFill="1" applyBorder="1" applyAlignment="1">
      <alignment horizontal="center"/>
    </xf>
    <xf numFmtId="10" fontId="0" fillId="12" borderId="4" xfId="5" applyNumberFormat="1" applyFont="1" applyFill="1" applyBorder="1"/>
    <xf numFmtId="10" fontId="0" fillId="12" borderId="0" xfId="5" applyNumberFormat="1" applyFont="1" applyFill="1" applyBorder="1"/>
    <xf numFmtId="10" fontId="0" fillId="12" borderId="5" xfId="5" applyNumberFormat="1" applyFont="1" applyFill="1" applyBorder="1"/>
    <xf numFmtId="0" fontId="10" fillId="12" borderId="6" xfId="4" applyFill="1" applyBorder="1" applyAlignment="1">
      <alignment horizontal="center"/>
    </xf>
    <xf numFmtId="10" fontId="0" fillId="12" borderId="6" xfId="5" applyNumberFormat="1" applyFont="1" applyFill="1" applyBorder="1"/>
    <xf numFmtId="10" fontId="0" fillId="12" borderId="7" xfId="5" applyNumberFormat="1" applyFont="1" applyFill="1" applyBorder="1"/>
    <xf numFmtId="10" fontId="0" fillId="12" borderId="8" xfId="5" applyNumberFormat="1" applyFont="1" applyFill="1" applyBorder="1"/>
    <xf numFmtId="0" fontId="10" fillId="13" borderId="1" xfId="4" applyFill="1" applyBorder="1" applyAlignment="1">
      <alignment horizontal="center"/>
    </xf>
    <xf numFmtId="0" fontId="10" fillId="12" borderId="3" xfId="4" applyFill="1" applyBorder="1" applyAlignment="1">
      <alignment horizontal="center"/>
    </xf>
    <xf numFmtId="0" fontId="10" fillId="13" borderId="2" xfId="4" applyFill="1" applyBorder="1" applyAlignment="1">
      <alignment horizontal="center"/>
    </xf>
    <xf numFmtId="0" fontId="10" fillId="13" borderId="3" xfId="4" applyFill="1" applyBorder="1" applyAlignment="1">
      <alignment horizontal="center"/>
    </xf>
    <xf numFmtId="0" fontId="9" fillId="13" borderId="13" xfId="4" applyFont="1" applyFill="1" applyBorder="1" applyAlignment="1">
      <alignment horizontal="center"/>
    </xf>
    <xf numFmtId="0" fontId="9" fillId="10" borderId="1" xfId="4" applyFont="1" applyFill="1" applyBorder="1" applyAlignment="1">
      <alignment horizontal="center"/>
    </xf>
    <xf numFmtId="0" fontId="10" fillId="13" borderId="6" xfId="4" applyFill="1" applyBorder="1" applyAlignment="1">
      <alignment horizontal="center"/>
    </xf>
    <xf numFmtId="0" fontId="10" fillId="13" borderId="8" xfId="4" applyFill="1" applyBorder="1" applyAlignment="1">
      <alignment horizontal="center"/>
    </xf>
    <xf numFmtId="0" fontId="10" fillId="13" borderId="7" xfId="4" applyFill="1" applyBorder="1" applyAlignment="1">
      <alignment horizontal="center"/>
    </xf>
    <xf numFmtId="0" fontId="9" fillId="13" borderId="14" xfId="4" applyFont="1" applyFill="1" applyBorder="1" applyAlignment="1">
      <alignment horizontal="center"/>
    </xf>
    <xf numFmtId="0" fontId="9" fillId="10" borderId="6" xfId="4" applyFont="1" applyFill="1" applyBorder="1" applyAlignment="1">
      <alignment horizontal="center"/>
    </xf>
    <xf numFmtId="0" fontId="9" fillId="10" borderId="8" xfId="4" applyFont="1" applyFill="1" applyBorder="1"/>
    <xf numFmtId="9" fontId="9" fillId="13" borderId="4" xfId="4" applyNumberFormat="1" applyFont="1" applyFill="1" applyBorder="1"/>
    <xf numFmtId="0" fontId="10" fillId="13" borderId="5" xfId="4" applyFill="1" applyBorder="1"/>
    <xf numFmtId="10" fontId="10" fillId="13" borderId="0" xfId="4" applyNumberFormat="1" applyFill="1"/>
    <xf numFmtId="0" fontId="10" fillId="13" borderId="0" xfId="4" applyFill="1"/>
    <xf numFmtId="2" fontId="9" fillId="13" borderId="15" xfId="4" applyNumberFormat="1" applyFont="1" applyFill="1" applyBorder="1"/>
    <xf numFmtId="9" fontId="9" fillId="10" borderId="4" xfId="4" applyNumberFormat="1" applyFont="1" applyFill="1" applyBorder="1"/>
    <xf numFmtId="0" fontId="9" fillId="13" borderId="5" xfId="4" applyFont="1" applyFill="1" applyBorder="1"/>
    <xf numFmtId="0" fontId="9" fillId="13" borderId="6" xfId="4" applyFont="1" applyFill="1" applyBorder="1"/>
    <xf numFmtId="2" fontId="9" fillId="13" borderId="8" xfId="4" applyNumberFormat="1" applyFont="1" applyFill="1" applyBorder="1"/>
    <xf numFmtId="2" fontId="9" fillId="13" borderId="7" xfId="4" applyNumberFormat="1" applyFont="1" applyFill="1" applyBorder="1"/>
    <xf numFmtId="10" fontId="10" fillId="13" borderId="4" xfId="4" applyNumberFormat="1" applyFill="1" applyBorder="1"/>
    <xf numFmtId="9" fontId="9" fillId="13" borderId="6" xfId="4" applyNumberFormat="1" applyFont="1" applyFill="1" applyBorder="1"/>
    <xf numFmtId="0" fontId="9" fillId="13" borderId="8" xfId="4" applyFont="1" applyFill="1" applyBorder="1"/>
    <xf numFmtId="10" fontId="10" fillId="13" borderId="7" xfId="4" applyNumberFormat="1" applyFill="1" applyBorder="1"/>
    <xf numFmtId="0" fontId="10" fillId="13" borderId="6" xfId="4" applyFill="1" applyBorder="1"/>
    <xf numFmtId="0" fontId="10" fillId="13" borderId="8" xfId="4" applyFill="1" applyBorder="1"/>
    <xf numFmtId="2" fontId="9" fillId="13" borderId="14" xfId="4" applyNumberFormat="1" applyFont="1" applyFill="1" applyBorder="1"/>
    <xf numFmtId="0" fontId="13" fillId="14" borderId="16" xfId="4" applyFont="1" applyFill="1" applyBorder="1" applyAlignment="1">
      <alignment horizontal="center"/>
    </xf>
    <xf numFmtId="0" fontId="10" fillId="14" borderId="17" xfId="4" applyFill="1" applyBorder="1" applyAlignment="1">
      <alignment horizontal="center"/>
    </xf>
    <xf numFmtId="0" fontId="10" fillId="14" borderId="2" xfId="4" applyFill="1" applyBorder="1"/>
    <xf numFmtId="0" fontId="10" fillId="14" borderId="18" xfId="4" applyFill="1" applyBorder="1"/>
    <xf numFmtId="0" fontId="10" fillId="14" borderId="3" xfId="4" applyFill="1" applyBorder="1" applyAlignment="1">
      <alignment horizontal="center"/>
    </xf>
    <xf numFmtId="0" fontId="9" fillId="15" borderId="1" xfId="4" applyFont="1" applyFill="1" applyBorder="1"/>
    <xf numFmtId="0" fontId="9" fillId="15" borderId="2" xfId="4" applyFont="1" applyFill="1" applyBorder="1"/>
    <xf numFmtId="0" fontId="10" fillId="15" borderId="3" xfId="4" applyFill="1" applyBorder="1"/>
    <xf numFmtId="0" fontId="13" fillId="14" borderId="19" xfId="4" applyFont="1" applyFill="1" applyBorder="1" applyAlignment="1">
      <alignment horizontal="center"/>
    </xf>
    <xf numFmtId="0" fontId="10" fillId="14" borderId="20" xfId="4" applyFill="1" applyBorder="1" applyAlignment="1">
      <alignment horizontal="center"/>
    </xf>
    <xf numFmtId="0" fontId="10" fillId="14" borderId="0" xfId="4" applyFill="1" applyAlignment="1">
      <alignment horizontal="center"/>
    </xf>
    <xf numFmtId="0" fontId="10" fillId="14" borderId="21" xfId="4" applyFill="1" applyBorder="1"/>
    <xf numFmtId="0" fontId="10" fillId="14" borderId="5" xfId="4" applyFill="1" applyBorder="1" applyAlignment="1">
      <alignment horizontal="center"/>
    </xf>
    <xf numFmtId="0" fontId="10" fillId="15" borderId="4" xfId="4" applyFill="1" applyBorder="1" applyAlignment="1">
      <alignment horizontal="center"/>
    </xf>
    <xf numFmtId="0" fontId="10" fillId="15" borderId="0" xfId="4" applyFill="1" applyAlignment="1">
      <alignment horizontal="center"/>
    </xf>
    <xf numFmtId="0" fontId="10" fillId="15" borderId="5" xfId="4" applyFill="1" applyBorder="1" applyAlignment="1">
      <alignment horizontal="center"/>
    </xf>
    <xf numFmtId="0" fontId="9" fillId="14" borderId="22" xfId="4" applyFont="1" applyFill="1" applyBorder="1"/>
    <xf numFmtId="0" fontId="18" fillId="14" borderId="23" xfId="4" applyFont="1" applyFill="1" applyBorder="1" applyAlignment="1">
      <alignment horizontal="center"/>
    </xf>
    <xf numFmtId="0" fontId="18" fillId="14" borderId="24" xfId="4" applyFont="1" applyFill="1" applyBorder="1" applyAlignment="1">
      <alignment horizontal="center"/>
    </xf>
    <xf numFmtId="0" fontId="10" fillId="14" borderId="25" xfId="4" applyFill="1" applyBorder="1"/>
    <xf numFmtId="0" fontId="18" fillId="14" borderId="26" xfId="4" applyFont="1" applyFill="1" applyBorder="1" applyAlignment="1">
      <alignment horizontal="center"/>
    </xf>
    <xf numFmtId="0" fontId="10" fillId="15" borderId="27" xfId="4" applyFill="1" applyBorder="1" applyAlignment="1">
      <alignment horizontal="center"/>
    </xf>
    <xf numFmtId="0" fontId="10" fillId="15" borderId="24" xfId="4" applyFill="1" applyBorder="1" applyAlignment="1">
      <alignment horizontal="center"/>
    </xf>
    <xf numFmtId="0" fontId="10" fillId="15" borderId="26" xfId="4" applyFill="1" applyBorder="1" applyAlignment="1">
      <alignment horizontal="center"/>
    </xf>
    <xf numFmtId="0" fontId="10" fillId="14" borderId="19" xfId="4" applyFill="1" applyBorder="1"/>
    <xf numFmtId="0" fontId="10" fillId="14" borderId="0" xfId="4" applyFill="1"/>
    <xf numFmtId="0" fontId="10" fillId="14" borderId="20" xfId="4" applyFill="1" applyBorder="1"/>
    <xf numFmtId="0" fontId="10" fillId="14" borderId="5" xfId="4" applyFill="1" applyBorder="1"/>
    <xf numFmtId="0" fontId="10" fillId="15" borderId="4" xfId="4" applyFill="1" applyBorder="1"/>
    <xf numFmtId="0" fontId="10" fillId="15" borderId="0" xfId="4" applyFill="1"/>
    <xf numFmtId="0" fontId="10" fillId="15" borderId="5" xfId="4" applyFill="1" applyBorder="1"/>
    <xf numFmtId="167" fontId="10" fillId="14" borderId="0" xfId="4" applyNumberFormat="1" applyFill="1"/>
    <xf numFmtId="166" fontId="10" fillId="14" borderId="20" xfId="4" applyNumberFormat="1" applyFill="1" applyBorder="1"/>
    <xf numFmtId="166" fontId="10" fillId="14" borderId="5" xfId="4" applyNumberFormat="1" applyFill="1" applyBorder="1"/>
    <xf numFmtId="10" fontId="10" fillId="15" borderId="4" xfId="4" applyNumberFormat="1" applyFill="1" applyBorder="1"/>
    <xf numFmtId="10" fontId="10" fillId="15" borderId="0" xfId="4" applyNumberFormat="1" applyFill="1"/>
    <xf numFmtId="10" fontId="10" fillId="15" borderId="5" xfId="4" applyNumberFormat="1" applyFill="1" applyBorder="1"/>
    <xf numFmtId="0" fontId="9" fillId="14" borderId="28" xfId="4" applyFont="1" applyFill="1" applyBorder="1"/>
    <xf numFmtId="167" fontId="9" fillId="14" borderId="7" xfId="4" applyNumberFormat="1" applyFont="1" applyFill="1" applyBorder="1"/>
    <xf numFmtId="0" fontId="9" fillId="14" borderId="7" xfId="4" applyFont="1" applyFill="1" applyBorder="1"/>
    <xf numFmtId="2" fontId="9" fillId="14" borderId="29" xfId="4" applyNumberFormat="1" applyFont="1" applyFill="1" applyBorder="1"/>
    <xf numFmtId="2" fontId="9" fillId="14" borderId="8" xfId="4" applyNumberFormat="1" applyFont="1" applyFill="1" applyBorder="1"/>
    <xf numFmtId="10" fontId="9" fillId="15" borderId="6" xfId="4" applyNumberFormat="1" applyFont="1" applyFill="1" applyBorder="1"/>
    <xf numFmtId="10" fontId="9" fillId="15" borderId="7" xfId="4" applyNumberFormat="1" applyFont="1" applyFill="1" applyBorder="1"/>
    <xf numFmtId="10" fontId="9" fillId="15" borderId="8" xfId="4" applyNumberFormat="1" applyFont="1" applyFill="1" applyBorder="1"/>
    <xf numFmtId="0" fontId="13" fillId="15" borderId="1" xfId="4" applyFont="1" applyFill="1" applyBorder="1"/>
    <xf numFmtId="0" fontId="13" fillId="15" borderId="2" xfId="4" applyFont="1" applyFill="1" applyBorder="1"/>
    <xf numFmtId="10" fontId="13" fillId="15" borderId="3" xfId="4" applyNumberFormat="1" applyFont="1" applyFill="1" applyBorder="1"/>
    <xf numFmtId="10" fontId="9" fillId="15" borderId="5" xfId="4" applyNumberFormat="1" applyFont="1" applyFill="1" applyBorder="1"/>
    <xf numFmtId="0" fontId="10" fillId="15" borderId="6" xfId="4" applyFill="1" applyBorder="1"/>
    <xf numFmtId="0" fontId="10" fillId="15" borderId="7" xfId="4" applyFill="1" applyBorder="1"/>
    <xf numFmtId="10" fontId="10" fillId="15" borderId="8" xfId="4" applyNumberFormat="1" applyFill="1" applyBorder="1"/>
    <xf numFmtId="0" fontId="9" fillId="15" borderId="3" xfId="4" applyFont="1" applyFill="1" applyBorder="1"/>
    <xf numFmtId="0" fontId="9" fillId="14" borderId="22" xfId="4" applyFont="1" applyFill="1" applyBorder="1" applyAlignment="1">
      <alignment horizontal="center"/>
    </xf>
    <xf numFmtId="0" fontId="13" fillId="14" borderId="16" xfId="4" applyFont="1" applyFill="1" applyBorder="1"/>
    <xf numFmtId="0" fontId="13" fillId="15" borderId="3" xfId="4" applyFont="1" applyFill="1" applyBorder="1"/>
    <xf numFmtId="0" fontId="10" fillId="10" borderId="1" xfId="4" applyFill="1" applyBorder="1" applyAlignment="1">
      <alignment horizontal="center"/>
    </xf>
    <xf numFmtId="0" fontId="10" fillId="10" borderId="2" xfId="4" applyFill="1" applyBorder="1" applyAlignment="1">
      <alignment horizontal="center"/>
    </xf>
    <xf numFmtId="0" fontId="10" fillId="16" borderId="3" xfId="4" applyFill="1" applyBorder="1" applyAlignment="1">
      <alignment horizontal="center"/>
    </xf>
    <xf numFmtId="0" fontId="10" fillId="10" borderId="4" xfId="4" applyFill="1" applyBorder="1" applyAlignment="1">
      <alignment horizontal="center"/>
    </xf>
    <xf numFmtId="0" fontId="10" fillId="10" borderId="0" xfId="4" applyFill="1" applyAlignment="1">
      <alignment horizontal="center"/>
    </xf>
    <xf numFmtId="0" fontId="10" fillId="16" borderId="5" xfId="4" applyFill="1" applyBorder="1" applyAlignment="1">
      <alignment horizontal="center"/>
    </xf>
    <xf numFmtId="0" fontId="9" fillId="14" borderId="4" xfId="4" applyFont="1" applyFill="1" applyBorder="1"/>
    <xf numFmtId="0" fontId="18" fillId="14" borderId="20" xfId="4" applyFont="1" applyFill="1" applyBorder="1" applyAlignment="1">
      <alignment horizontal="center"/>
    </xf>
    <xf numFmtId="0" fontId="18" fillId="14" borderId="0" xfId="4" applyFont="1" applyFill="1" applyAlignment="1">
      <alignment horizontal="center"/>
    </xf>
    <xf numFmtId="0" fontId="18" fillId="14" borderId="5" xfId="4" applyFont="1" applyFill="1" applyBorder="1" applyAlignment="1">
      <alignment horizontal="center"/>
    </xf>
    <xf numFmtId="0" fontId="10" fillId="14" borderId="24" xfId="4" applyFill="1" applyBorder="1"/>
    <xf numFmtId="0" fontId="10" fillId="10" borderId="27" xfId="4" applyFill="1" applyBorder="1" applyAlignment="1">
      <alignment horizontal="center"/>
    </xf>
    <xf numFmtId="0" fontId="10" fillId="10" borderId="24" xfId="4" applyFill="1" applyBorder="1" applyAlignment="1">
      <alignment horizontal="center"/>
    </xf>
    <xf numFmtId="0" fontId="10" fillId="16" borderId="26" xfId="4" applyFill="1" applyBorder="1" applyAlignment="1">
      <alignment horizontal="center"/>
    </xf>
    <xf numFmtId="0" fontId="10" fillId="16" borderId="5" xfId="4" applyFill="1" applyBorder="1"/>
    <xf numFmtId="2" fontId="10" fillId="10" borderId="6" xfId="4" applyNumberFormat="1" applyFill="1" applyBorder="1"/>
    <xf numFmtId="2" fontId="10" fillId="10" borderId="7" xfId="4" applyNumberFormat="1" applyFill="1" applyBorder="1"/>
    <xf numFmtId="166" fontId="10" fillId="16" borderId="8" xfId="4" applyNumberFormat="1" applyFill="1" applyBorder="1"/>
    <xf numFmtId="0" fontId="14" fillId="15" borderId="2" xfId="4" applyFont="1" applyFill="1" applyBorder="1"/>
    <xf numFmtId="0" fontId="9" fillId="15" borderId="5" xfId="4" applyFont="1" applyFill="1" applyBorder="1"/>
    <xf numFmtId="10" fontId="10" fillId="10" borderId="13" xfId="4" applyNumberFormat="1" applyFill="1" applyBorder="1"/>
    <xf numFmtId="10" fontId="10" fillId="10" borderId="14" xfId="4" applyNumberFormat="1" applyFill="1" applyBorder="1"/>
    <xf numFmtId="0" fontId="13" fillId="14" borderId="1" xfId="4" applyFont="1" applyFill="1" applyBorder="1" applyAlignment="1">
      <alignment horizontal="center"/>
    </xf>
    <xf numFmtId="0" fontId="13" fillId="14" borderId="4" xfId="4" applyFont="1" applyFill="1" applyBorder="1" applyAlignment="1">
      <alignment horizontal="center"/>
    </xf>
    <xf numFmtId="0" fontId="9" fillId="14" borderId="4" xfId="4" applyFont="1" applyFill="1" applyBorder="1" applyAlignment="1">
      <alignment horizontal="center"/>
    </xf>
    <xf numFmtId="167" fontId="10" fillId="15" borderId="4" xfId="4" applyNumberFormat="1" applyFill="1" applyBorder="1"/>
    <xf numFmtId="167" fontId="10" fillId="15" borderId="5" xfId="4" applyNumberFormat="1" applyFill="1" applyBorder="1"/>
    <xf numFmtId="167" fontId="10" fillId="0" borderId="0" xfId="4" applyNumberFormat="1"/>
    <xf numFmtId="166" fontId="9" fillId="14" borderId="29" xfId="4" applyNumberFormat="1" applyFont="1" applyFill="1" applyBorder="1"/>
    <xf numFmtId="166" fontId="9" fillId="14" borderId="8" xfId="4" applyNumberFormat="1" applyFont="1" applyFill="1" applyBorder="1"/>
    <xf numFmtId="167" fontId="9" fillId="15" borderId="6" xfId="4" applyNumberFormat="1" applyFont="1" applyFill="1" applyBorder="1"/>
    <xf numFmtId="167" fontId="9" fillId="15" borderId="8" xfId="4" applyNumberFormat="1" applyFont="1" applyFill="1" applyBorder="1"/>
    <xf numFmtId="167" fontId="13" fillId="15" borderId="1" xfId="4" applyNumberFormat="1" applyFont="1" applyFill="1" applyBorder="1"/>
    <xf numFmtId="167" fontId="14" fillId="15" borderId="2" xfId="4" applyNumberFormat="1" applyFont="1" applyFill="1" applyBorder="1"/>
    <xf numFmtId="167" fontId="13" fillId="15" borderId="3" xfId="4" applyNumberFormat="1" applyFont="1" applyFill="1" applyBorder="1"/>
    <xf numFmtId="167" fontId="10" fillId="15" borderId="0" xfId="4" applyNumberFormat="1" applyFill="1"/>
    <xf numFmtId="167" fontId="9" fillId="15" borderId="5" xfId="4" applyNumberFormat="1" applyFont="1" applyFill="1" applyBorder="1"/>
    <xf numFmtId="167" fontId="10" fillId="10" borderId="13" xfId="4" applyNumberFormat="1" applyFill="1" applyBorder="1"/>
    <xf numFmtId="167" fontId="10" fillId="10" borderId="14" xfId="4" applyNumberFormat="1" applyFill="1" applyBorder="1"/>
    <xf numFmtId="167" fontId="10" fillId="15" borderId="6" xfId="4" applyNumberFormat="1" applyFill="1" applyBorder="1"/>
    <xf numFmtId="167" fontId="10" fillId="15" borderId="7" xfId="4" applyNumberFormat="1" applyFill="1" applyBorder="1"/>
    <xf numFmtId="167" fontId="10" fillId="15" borderId="8" xfId="4" applyNumberFormat="1" applyFill="1" applyBorder="1"/>
    <xf numFmtId="166" fontId="10" fillId="10" borderId="4" xfId="4" applyNumberFormat="1" applyFill="1" applyBorder="1"/>
    <xf numFmtId="166" fontId="10" fillId="10" borderId="0" xfId="4" applyNumberFormat="1" applyFill="1"/>
    <xf numFmtId="166" fontId="10" fillId="16" borderId="5" xfId="4" applyNumberFormat="1" applyFill="1" applyBorder="1"/>
    <xf numFmtId="167" fontId="10" fillId="14" borderId="20" xfId="4" applyNumberFormat="1" applyFill="1" applyBorder="1"/>
    <xf numFmtId="167" fontId="10" fillId="14" borderId="5" xfId="4" applyNumberFormat="1" applyFill="1" applyBorder="1"/>
    <xf numFmtId="166" fontId="10" fillId="10" borderId="6" xfId="4" applyNumberFormat="1" applyFill="1" applyBorder="1"/>
    <xf numFmtId="166" fontId="10" fillId="10" borderId="7" xfId="4" applyNumberFormat="1" applyFill="1" applyBorder="1"/>
    <xf numFmtId="0" fontId="10" fillId="14" borderId="2" xfId="4" applyFill="1" applyBorder="1" applyAlignment="1">
      <alignment horizontal="center"/>
    </xf>
    <xf numFmtId="0" fontId="10" fillId="14" borderId="24" xfId="4" applyFill="1" applyBorder="1" applyAlignment="1">
      <alignment horizontal="center"/>
    </xf>
    <xf numFmtId="0" fontId="10" fillId="14" borderId="23" xfId="4" applyFill="1" applyBorder="1" applyAlignment="1">
      <alignment horizontal="center"/>
    </xf>
    <xf numFmtId="0" fontId="10" fillId="14" borderId="26" xfId="4" applyFill="1" applyBorder="1" applyAlignment="1">
      <alignment horizontal="center"/>
    </xf>
    <xf numFmtId="0" fontId="10" fillId="15" borderId="30" xfId="4" applyFill="1" applyBorder="1"/>
    <xf numFmtId="0" fontId="10" fillId="15" borderId="31" xfId="4" applyFill="1" applyBorder="1"/>
    <xf numFmtId="2" fontId="10" fillId="14" borderId="5" xfId="4" applyNumberFormat="1" applyFill="1" applyBorder="1"/>
    <xf numFmtId="0" fontId="9" fillId="14" borderId="32" xfId="4" applyFont="1" applyFill="1" applyBorder="1"/>
    <xf numFmtId="0" fontId="13" fillId="14" borderId="1" xfId="4" applyFont="1" applyFill="1" applyBorder="1"/>
    <xf numFmtId="0" fontId="10" fillId="14" borderId="17" xfId="4" applyFill="1" applyBorder="1"/>
    <xf numFmtId="0" fontId="10" fillId="14" borderId="3" xfId="4" applyFill="1" applyBorder="1"/>
    <xf numFmtId="0" fontId="10" fillId="16" borderId="3" xfId="4" applyFill="1" applyBorder="1"/>
    <xf numFmtId="0" fontId="10" fillId="14" borderId="4" xfId="4" applyFill="1" applyBorder="1"/>
    <xf numFmtId="0" fontId="9" fillId="14" borderId="6" xfId="4" applyFont="1" applyFill="1" applyBorder="1"/>
    <xf numFmtId="0" fontId="10" fillId="14" borderId="29" xfId="4" applyFill="1" applyBorder="1"/>
    <xf numFmtId="0" fontId="10" fillId="14" borderId="7" xfId="4" applyFill="1" applyBorder="1"/>
    <xf numFmtId="0" fontId="10" fillId="14" borderId="8" xfId="4" applyFill="1" applyBorder="1"/>
    <xf numFmtId="2" fontId="10" fillId="10" borderId="4" xfId="4" applyNumberFormat="1" applyFill="1" applyBorder="1"/>
    <xf numFmtId="2" fontId="10" fillId="10" borderId="0" xfId="4" applyNumberFormat="1" applyFill="1"/>
    <xf numFmtId="2" fontId="10" fillId="16" borderId="5" xfId="4" applyNumberFormat="1" applyFill="1" applyBorder="1"/>
    <xf numFmtId="2" fontId="10" fillId="16" borderId="8" xfId="4" applyNumberFormat="1" applyFill="1" applyBorder="1"/>
    <xf numFmtId="0" fontId="10" fillId="15" borderId="2" xfId="4" applyFill="1" applyBorder="1"/>
    <xf numFmtId="0" fontId="10" fillId="15" borderId="27" xfId="4" applyFill="1" applyBorder="1"/>
    <xf numFmtId="0" fontId="10" fillId="15" borderId="26" xfId="4" applyFill="1" applyBorder="1"/>
    <xf numFmtId="169" fontId="10" fillId="15" borderId="5" xfId="4" applyNumberFormat="1" applyFill="1" applyBorder="1"/>
    <xf numFmtId="0" fontId="13" fillId="15" borderId="33" xfId="4" applyFont="1" applyFill="1" applyBorder="1"/>
    <xf numFmtId="0" fontId="14" fillId="15" borderId="34" xfId="4" applyFont="1" applyFill="1" applyBorder="1"/>
    <xf numFmtId="10" fontId="13" fillId="15" borderId="35" xfId="4" applyNumberFormat="1" applyFont="1" applyFill="1" applyBorder="1"/>
    <xf numFmtId="0" fontId="10" fillId="15" borderId="20" xfId="4" applyFill="1" applyBorder="1"/>
    <xf numFmtId="0" fontId="9" fillId="15" borderId="21" xfId="4" applyFont="1" applyFill="1" applyBorder="1"/>
    <xf numFmtId="10" fontId="9" fillId="15" borderId="21" xfId="4" applyNumberFormat="1" applyFont="1" applyFill="1" applyBorder="1"/>
    <xf numFmtId="0" fontId="10" fillId="15" borderId="23" xfId="4" applyFill="1" applyBorder="1"/>
    <xf numFmtId="0" fontId="10" fillId="15" borderId="24" xfId="4" applyFill="1" applyBorder="1"/>
    <xf numFmtId="10" fontId="10" fillId="15" borderId="25" xfId="4" applyNumberFormat="1" applyFill="1" applyBorder="1"/>
    <xf numFmtId="0" fontId="9" fillId="0" borderId="24" xfId="4" applyFont="1" applyBorder="1"/>
    <xf numFmtId="9" fontId="10" fillId="0" borderId="0" xfId="4" applyNumberFormat="1"/>
    <xf numFmtId="2" fontId="0" fillId="0" borderId="0" xfId="5" applyNumberFormat="1" applyFont="1"/>
    <xf numFmtId="4" fontId="10" fillId="0" borderId="0" xfId="4" applyNumberFormat="1"/>
    <xf numFmtId="2" fontId="10" fillId="0" borderId="24" xfId="4" applyNumberFormat="1" applyBorder="1"/>
    <xf numFmtId="4" fontId="9" fillId="0" borderId="0" xfId="4" applyNumberFormat="1" applyFont="1"/>
    <xf numFmtId="166" fontId="10" fillId="17" borderId="20" xfId="4" applyNumberFormat="1" applyFill="1" applyBorder="1"/>
    <xf numFmtId="17" fontId="9" fillId="17" borderId="1" xfId="4" applyNumberFormat="1" applyFont="1" applyFill="1" applyBorder="1"/>
    <xf numFmtId="0" fontId="10" fillId="17" borderId="2" xfId="4" applyFill="1" applyBorder="1"/>
    <xf numFmtId="0" fontId="10" fillId="17" borderId="3" xfId="4" applyFill="1" applyBorder="1"/>
    <xf numFmtId="17" fontId="9" fillId="17" borderId="6" xfId="4" applyNumberFormat="1" applyFont="1" applyFill="1" applyBorder="1"/>
    <xf numFmtId="0" fontId="10" fillId="17" borderId="7" xfId="4" applyFill="1" applyBorder="1"/>
    <xf numFmtId="0" fontId="10" fillId="17" borderId="8" xfId="4" applyFill="1" applyBorder="1"/>
    <xf numFmtId="0" fontId="10" fillId="17" borderId="1" xfId="4" applyFill="1" applyBorder="1"/>
    <xf numFmtId="0" fontId="10" fillId="17" borderId="13" xfId="4" applyFill="1" applyBorder="1"/>
    <xf numFmtId="0" fontId="10" fillId="17" borderId="6" xfId="4" applyFill="1" applyBorder="1"/>
    <xf numFmtId="0" fontId="10" fillId="17" borderId="14" xfId="4" applyFill="1" applyBorder="1"/>
    <xf numFmtId="0" fontId="10" fillId="17" borderId="4" xfId="4" applyFill="1" applyBorder="1"/>
    <xf numFmtId="0" fontId="10" fillId="17" borderId="15" xfId="4" applyFill="1" applyBorder="1"/>
    <xf numFmtId="0" fontId="10" fillId="17" borderId="0" xfId="4" applyFill="1"/>
    <xf numFmtId="9" fontId="10" fillId="17" borderId="15" xfId="4" applyNumberFormat="1" applyFill="1" applyBorder="1"/>
    <xf numFmtId="2" fontId="10" fillId="17" borderId="5" xfId="4" applyNumberFormat="1" applyFill="1" applyBorder="1"/>
    <xf numFmtId="0" fontId="10" fillId="17" borderId="5" xfId="4" applyFill="1" applyBorder="1"/>
    <xf numFmtId="9" fontId="9" fillId="17" borderId="14" xfId="4" applyNumberFormat="1" applyFont="1" applyFill="1" applyBorder="1"/>
    <xf numFmtId="0" fontId="9" fillId="17" borderId="7" xfId="4" applyFont="1" applyFill="1" applyBorder="1"/>
    <xf numFmtId="2" fontId="9" fillId="17" borderId="8" xfId="4" applyNumberFormat="1" applyFont="1" applyFill="1" applyBorder="1"/>
    <xf numFmtId="9" fontId="10" fillId="17" borderId="0" xfId="4" applyNumberFormat="1" applyFill="1"/>
    <xf numFmtId="2" fontId="10" fillId="17" borderId="0" xfId="4" applyNumberFormat="1" applyFill="1"/>
    <xf numFmtId="9" fontId="9" fillId="17" borderId="7" xfId="4" applyNumberFormat="1" applyFont="1" applyFill="1" applyBorder="1"/>
    <xf numFmtId="2" fontId="9" fillId="17" borderId="7" xfId="4" applyNumberFormat="1" applyFont="1" applyFill="1" applyBorder="1"/>
    <xf numFmtId="0" fontId="9" fillId="17" borderId="1" xfId="4" applyFont="1" applyFill="1" applyBorder="1"/>
    <xf numFmtId="0" fontId="9" fillId="17" borderId="2" xfId="4" applyFont="1" applyFill="1" applyBorder="1"/>
    <xf numFmtId="0" fontId="9" fillId="17" borderId="3" xfId="4" applyFont="1" applyFill="1" applyBorder="1"/>
    <xf numFmtId="0" fontId="9" fillId="17" borderId="24" xfId="4" applyFont="1" applyFill="1" applyBorder="1"/>
    <xf numFmtId="0" fontId="9" fillId="17" borderId="26" xfId="4" applyFont="1" applyFill="1" applyBorder="1"/>
    <xf numFmtId="9" fontId="10" fillId="17" borderId="24" xfId="4" applyNumberFormat="1" applyFill="1" applyBorder="1"/>
    <xf numFmtId="0" fontId="10" fillId="17" borderId="24" xfId="4" applyFill="1" applyBorder="1"/>
    <xf numFmtId="2" fontId="10" fillId="17" borderId="24" xfId="4" applyNumberFormat="1" applyFill="1" applyBorder="1"/>
    <xf numFmtId="0" fontId="9" fillId="17" borderId="6" xfId="4" applyFont="1" applyFill="1" applyBorder="1"/>
    <xf numFmtId="0" fontId="10" fillId="18" borderId="5" xfId="4" applyFill="1" applyBorder="1"/>
    <xf numFmtId="0" fontId="9" fillId="18" borderId="3" xfId="4" applyFont="1" applyFill="1" applyBorder="1"/>
    <xf numFmtId="0" fontId="9" fillId="18" borderId="26" xfId="4" applyFont="1" applyFill="1" applyBorder="1"/>
    <xf numFmtId="4" fontId="10" fillId="18" borderId="5" xfId="4" applyNumberFormat="1" applyFill="1" applyBorder="1"/>
    <xf numFmtId="4" fontId="10" fillId="18" borderId="26" xfId="4" applyNumberFormat="1" applyFill="1" applyBorder="1"/>
    <xf numFmtId="4" fontId="9" fillId="18" borderId="8" xfId="4" applyNumberFormat="1" applyFont="1" applyFill="1" applyBorder="1"/>
    <xf numFmtId="0" fontId="9" fillId="18" borderId="1" xfId="4" applyFont="1" applyFill="1" applyBorder="1"/>
    <xf numFmtId="0" fontId="9" fillId="18" borderId="27" xfId="4" applyFont="1" applyFill="1" applyBorder="1"/>
    <xf numFmtId="0" fontId="10" fillId="18" borderId="4" xfId="4" applyFill="1" applyBorder="1"/>
    <xf numFmtId="2" fontId="10" fillId="18" borderId="4" xfId="4" applyNumberFormat="1" applyFill="1" applyBorder="1"/>
    <xf numFmtId="2" fontId="10" fillId="18" borderId="27" xfId="4" applyNumberFormat="1" applyFill="1" applyBorder="1"/>
    <xf numFmtId="2" fontId="9" fillId="18" borderId="6" xfId="4" applyNumberFormat="1" applyFont="1" applyFill="1" applyBorder="1"/>
    <xf numFmtId="2" fontId="10" fillId="17" borderId="26" xfId="4" applyNumberFormat="1" applyFill="1" applyBorder="1"/>
    <xf numFmtId="0" fontId="9" fillId="17" borderId="8" xfId="4" applyFont="1" applyFill="1" applyBorder="1"/>
    <xf numFmtId="0" fontId="9" fillId="18" borderId="6" xfId="4" applyFont="1" applyFill="1" applyBorder="1"/>
    <xf numFmtId="0" fontId="9" fillId="18" borderId="8" xfId="4" applyFont="1" applyFill="1" applyBorder="1"/>
    <xf numFmtId="0" fontId="9" fillId="17" borderId="13" xfId="4" applyFont="1" applyFill="1" applyBorder="1"/>
    <xf numFmtId="0" fontId="9" fillId="17" borderId="14" xfId="4" applyFont="1" applyFill="1" applyBorder="1"/>
    <xf numFmtId="0" fontId="10" fillId="17" borderId="36" xfId="4" applyFill="1" applyBorder="1"/>
    <xf numFmtId="9" fontId="10" fillId="17" borderId="36" xfId="4" applyNumberFormat="1" applyFill="1" applyBorder="1"/>
    <xf numFmtId="4" fontId="10" fillId="17" borderId="15" xfId="4" applyNumberFormat="1" applyFill="1" applyBorder="1"/>
    <xf numFmtId="4" fontId="10" fillId="17" borderId="36" xfId="4" applyNumberFormat="1" applyFill="1" applyBorder="1"/>
    <xf numFmtId="4" fontId="9" fillId="17" borderId="14" xfId="4" applyNumberFormat="1" applyFont="1" applyFill="1" applyBorder="1"/>
    <xf numFmtId="166" fontId="10" fillId="17" borderId="0" xfId="4" applyNumberFormat="1" applyFill="1"/>
    <xf numFmtId="166" fontId="10" fillId="17" borderId="5" xfId="4" applyNumberFormat="1" applyFill="1" applyBorder="1"/>
    <xf numFmtId="0" fontId="10" fillId="17" borderId="26" xfId="4" applyFill="1" applyBorder="1"/>
    <xf numFmtId="0" fontId="10" fillId="18" borderId="27" xfId="4" applyFill="1" applyBorder="1"/>
    <xf numFmtId="0" fontId="10" fillId="18" borderId="26" xfId="4" applyFill="1" applyBorder="1"/>
    <xf numFmtId="2" fontId="9" fillId="18" borderId="8" xfId="4" applyNumberFormat="1" applyFont="1" applyFill="1" applyBorder="1"/>
    <xf numFmtId="0" fontId="9" fillId="18" borderId="1" xfId="4" applyFont="1" applyFill="1" applyBorder="1" applyAlignment="1">
      <alignment horizontal="center"/>
    </xf>
    <xf numFmtId="0" fontId="9" fillId="18" borderId="3" xfId="4" applyFont="1" applyFill="1" applyBorder="1" applyAlignment="1">
      <alignment horizontal="center"/>
    </xf>
    <xf numFmtId="0" fontId="9" fillId="18" borderId="27" xfId="4" applyFont="1" applyFill="1" applyBorder="1" applyAlignment="1">
      <alignment horizontal="center"/>
    </xf>
    <xf numFmtId="0" fontId="9" fillId="18" borderId="26" xfId="4" applyFont="1" applyFill="1" applyBorder="1" applyAlignment="1">
      <alignment horizontal="center"/>
    </xf>
    <xf numFmtId="0" fontId="10" fillId="11" borderId="1" xfId="4" applyFill="1" applyBorder="1" applyAlignment="1">
      <alignment horizontal="center"/>
    </xf>
    <xf numFmtId="0" fontId="9" fillId="11" borderId="13" xfId="4" applyFont="1" applyFill="1" applyBorder="1"/>
    <xf numFmtId="0" fontId="9" fillId="11" borderId="14" xfId="4" applyFont="1" applyFill="1" applyBorder="1"/>
    <xf numFmtId="0" fontId="10" fillId="11" borderId="36" xfId="4" applyFill="1" applyBorder="1"/>
    <xf numFmtId="0" fontId="10" fillId="16" borderId="13" xfId="4" applyFill="1" applyBorder="1"/>
    <xf numFmtId="0" fontId="10" fillId="16" borderId="15" xfId="4" applyFill="1" applyBorder="1"/>
    <xf numFmtId="0" fontId="10" fillId="19" borderId="5" xfId="4" applyFill="1" applyBorder="1"/>
    <xf numFmtId="0" fontId="10" fillId="19" borderId="13" xfId="4" applyFill="1" applyBorder="1"/>
    <xf numFmtId="0" fontId="10" fillId="19" borderId="15" xfId="4" applyFill="1" applyBorder="1"/>
    <xf numFmtId="0" fontId="10" fillId="19" borderId="36" xfId="4" applyFill="1" applyBorder="1"/>
    <xf numFmtId="0" fontId="9" fillId="19" borderId="14" xfId="4" applyFont="1" applyFill="1" applyBorder="1"/>
    <xf numFmtId="0" fontId="9" fillId="19" borderId="13" xfId="4" applyFont="1" applyFill="1" applyBorder="1"/>
    <xf numFmtId="4" fontId="10" fillId="19" borderId="15" xfId="4" applyNumberFormat="1" applyFill="1" applyBorder="1"/>
    <xf numFmtId="4" fontId="9" fillId="19" borderId="14" xfId="4" applyNumberFormat="1" applyFont="1" applyFill="1" applyBorder="1"/>
    <xf numFmtId="4" fontId="10" fillId="19" borderId="36" xfId="4" applyNumberFormat="1" applyFill="1" applyBorder="1"/>
    <xf numFmtId="0" fontId="9" fillId="11" borderId="1" xfId="4" applyFont="1" applyFill="1" applyBorder="1"/>
    <xf numFmtId="0" fontId="10" fillId="11" borderId="3" xfId="4" applyFill="1" applyBorder="1"/>
    <xf numFmtId="0" fontId="10" fillId="11" borderId="4" xfId="4" applyFill="1" applyBorder="1"/>
    <xf numFmtId="0" fontId="10" fillId="11" borderId="5" xfId="4" applyFill="1" applyBorder="1"/>
    <xf numFmtId="0" fontId="10" fillId="11" borderId="6" xfId="4" applyFill="1" applyBorder="1"/>
    <xf numFmtId="0" fontId="10" fillId="11" borderId="8" xfId="4" applyFill="1" applyBorder="1"/>
    <xf numFmtId="2" fontId="0" fillId="11" borderId="0" xfId="5" applyNumberFormat="1" applyFont="1" applyFill="1" applyBorder="1"/>
    <xf numFmtId="2" fontId="0" fillId="11" borderId="5" xfId="5" applyNumberFormat="1" applyFont="1" applyFill="1" applyBorder="1"/>
    <xf numFmtId="2" fontId="10" fillId="11" borderId="0" xfId="4" applyNumberFormat="1" applyFill="1"/>
    <xf numFmtId="0" fontId="10" fillId="11" borderId="1" xfId="4" applyFill="1" applyBorder="1"/>
    <xf numFmtId="9" fontId="9" fillId="11" borderId="7" xfId="4" applyNumberFormat="1" applyFont="1" applyFill="1" applyBorder="1"/>
    <xf numFmtId="0" fontId="9" fillId="11" borderId="7" xfId="4" applyFont="1" applyFill="1" applyBorder="1"/>
    <xf numFmtId="2" fontId="9" fillId="11" borderId="7" xfId="4" applyNumberFormat="1" applyFont="1" applyFill="1" applyBorder="1"/>
    <xf numFmtId="2" fontId="9" fillId="11" borderId="8" xfId="4" applyNumberFormat="1" applyFont="1" applyFill="1" applyBorder="1"/>
    <xf numFmtId="0" fontId="9" fillId="11" borderId="2" xfId="4" applyFont="1" applyFill="1" applyBorder="1"/>
    <xf numFmtId="0" fontId="9" fillId="11" borderId="3" xfId="4" applyFont="1" applyFill="1" applyBorder="1"/>
    <xf numFmtId="0" fontId="9" fillId="11" borderId="6" xfId="4" applyFont="1" applyFill="1" applyBorder="1"/>
    <xf numFmtId="2" fontId="0" fillId="11" borderId="4" xfId="5" applyNumberFormat="1" applyFont="1" applyFill="1" applyBorder="1"/>
    <xf numFmtId="2" fontId="9" fillId="11" borderId="6" xfId="4" applyNumberFormat="1" applyFont="1" applyFill="1" applyBorder="1"/>
    <xf numFmtId="0" fontId="9" fillId="18" borderId="9" xfId="4" applyFont="1" applyFill="1" applyBorder="1"/>
    <xf numFmtId="0" fontId="10" fillId="18" borderId="10" xfId="4" applyFill="1" applyBorder="1"/>
    <xf numFmtId="2" fontId="9" fillId="18" borderId="11" xfId="4" applyNumberFormat="1" applyFont="1" applyFill="1" applyBorder="1"/>
    <xf numFmtId="9" fontId="0" fillId="17" borderId="0" xfId="5" applyFont="1" applyFill="1" applyBorder="1"/>
    <xf numFmtId="9" fontId="0" fillId="17" borderId="24" xfId="5" applyFont="1" applyFill="1" applyBorder="1"/>
    <xf numFmtId="0" fontId="10" fillId="15" borderId="1" xfId="4" applyFill="1" applyBorder="1"/>
    <xf numFmtId="0" fontId="10" fillId="15" borderId="27" xfId="4" applyFill="1" applyBorder="1" applyAlignment="1">
      <alignment horizontal="right"/>
    </xf>
    <xf numFmtId="0" fontId="10" fillId="15" borderId="26" xfId="4" applyFill="1" applyBorder="1" applyAlignment="1">
      <alignment horizontal="right"/>
    </xf>
    <xf numFmtId="0" fontId="10" fillId="16" borderId="8" xfId="4" applyFill="1" applyBorder="1"/>
    <xf numFmtId="0" fontId="13" fillId="15" borderId="34" xfId="4" applyFont="1" applyFill="1" applyBorder="1"/>
    <xf numFmtId="0" fontId="10" fillId="15" borderId="21" xfId="4" applyFill="1" applyBorder="1"/>
    <xf numFmtId="2" fontId="10" fillId="16" borderId="15" xfId="4" applyNumberFormat="1" applyFill="1" applyBorder="1"/>
    <xf numFmtId="2" fontId="10" fillId="15" borderId="4" xfId="4" applyNumberFormat="1" applyFill="1" applyBorder="1"/>
    <xf numFmtId="2" fontId="10" fillId="15" borderId="0" xfId="4" applyNumberFormat="1" applyFill="1"/>
    <xf numFmtId="2" fontId="10" fillId="15" borderId="5" xfId="4" applyNumberFormat="1" applyFill="1" applyBorder="1"/>
    <xf numFmtId="2" fontId="10" fillId="15" borderId="6" xfId="4" applyNumberFormat="1" applyFill="1" applyBorder="1"/>
    <xf numFmtId="2" fontId="10" fillId="15" borderId="7" xfId="4" applyNumberFormat="1" applyFill="1" applyBorder="1"/>
    <xf numFmtId="2" fontId="10" fillId="15" borderId="8" xfId="4" applyNumberFormat="1" applyFill="1" applyBorder="1"/>
    <xf numFmtId="0" fontId="15" fillId="0" borderId="0" xfId="6" applyFont="1"/>
    <xf numFmtId="0" fontId="21" fillId="0" borderId="0" xfId="6"/>
    <xf numFmtId="0" fontId="13" fillId="14" borderId="16" xfId="6" applyFont="1" applyFill="1" applyBorder="1"/>
    <xf numFmtId="0" fontId="21" fillId="14" borderId="2" xfId="6" applyFill="1" applyBorder="1" applyAlignment="1">
      <alignment horizontal="center"/>
    </xf>
    <xf numFmtId="0" fontId="21" fillId="14" borderId="2" xfId="6" applyFill="1" applyBorder="1"/>
    <xf numFmtId="0" fontId="21" fillId="14" borderId="17" xfId="6" applyFill="1" applyBorder="1" applyAlignment="1">
      <alignment horizontal="center"/>
    </xf>
    <xf numFmtId="0" fontId="21" fillId="14" borderId="3" xfId="6" applyFill="1" applyBorder="1" applyAlignment="1">
      <alignment horizontal="center"/>
    </xf>
    <xf numFmtId="0" fontId="21" fillId="15" borderId="1" xfId="6" applyFill="1" applyBorder="1"/>
    <xf numFmtId="0" fontId="21" fillId="15" borderId="3" xfId="6" applyFill="1" applyBorder="1"/>
    <xf numFmtId="0" fontId="21" fillId="10" borderId="1" xfId="6" applyFill="1" applyBorder="1" applyAlignment="1">
      <alignment horizontal="center"/>
    </xf>
    <xf numFmtId="0" fontId="21" fillId="10" borderId="2" xfId="6" applyFill="1" applyBorder="1" applyAlignment="1">
      <alignment horizontal="center"/>
    </xf>
    <xf numFmtId="0" fontId="21" fillId="16" borderId="3" xfId="6" applyFill="1" applyBorder="1"/>
    <xf numFmtId="0" fontId="21" fillId="14" borderId="19" xfId="6" applyFill="1" applyBorder="1"/>
    <xf numFmtId="0" fontId="21" fillId="14" borderId="0" xfId="6" applyFill="1" applyAlignment="1">
      <alignment horizontal="center"/>
    </xf>
    <xf numFmtId="0" fontId="21" fillId="14" borderId="0" xfId="6" applyFill="1"/>
    <xf numFmtId="0" fontId="21" fillId="14" borderId="20" xfId="6" applyFill="1" applyBorder="1" applyAlignment="1">
      <alignment horizontal="center"/>
    </xf>
    <xf numFmtId="0" fontId="21" fillId="14" borderId="5" xfId="6" applyFill="1" applyBorder="1" applyAlignment="1">
      <alignment horizontal="center"/>
    </xf>
    <xf numFmtId="0" fontId="21" fillId="15" borderId="4" xfId="6" applyFill="1" applyBorder="1"/>
    <xf numFmtId="0" fontId="21" fillId="15" borderId="5" xfId="6" applyFill="1" applyBorder="1"/>
    <xf numFmtId="0" fontId="21" fillId="10" borderId="4" xfId="6" applyFill="1" applyBorder="1" applyAlignment="1">
      <alignment horizontal="center"/>
    </xf>
    <xf numFmtId="0" fontId="21" fillId="10" borderId="0" xfId="6" applyFill="1" applyAlignment="1">
      <alignment horizontal="center"/>
    </xf>
    <xf numFmtId="0" fontId="21" fillId="16" borderId="5" xfId="6" applyFill="1" applyBorder="1"/>
    <xf numFmtId="0" fontId="9" fillId="14" borderId="22" xfId="6" applyFont="1" applyFill="1" applyBorder="1"/>
    <xf numFmtId="0" fontId="21" fillId="14" borderId="24" xfId="6" applyFill="1" applyBorder="1" applyAlignment="1">
      <alignment horizontal="center"/>
    </xf>
    <xf numFmtId="0" fontId="21" fillId="14" borderId="24" xfId="6" applyFill="1" applyBorder="1"/>
    <xf numFmtId="0" fontId="21" fillId="14" borderId="23" xfId="6" applyFill="1" applyBorder="1" applyAlignment="1">
      <alignment horizontal="center"/>
    </xf>
    <xf numFmtId="0" fontId="21" fillId="14" borderId="26" xfId="6" applyFill="1" applyBorder="1" applyAlignment="1">
      <alignment horizontal="center"/>
    </xf>
    <xf numFmtId="0" fontId="21" fillId="15" borderId="27" xfId="6" applyFill="1" applyBorder="1" applyAlignment="1">
      <alignment horizontal="center"/>
    </xf>
    <xf numFmtId="0" fontId="21" fillId="15" borderId="26" xfId="6" applyFill="1" applyBorder="1" applyAlignment="1">
      <alignment horizontal="center"/>
    </xf>
    <xf numFmtId="0" fontId="21" fillId="15" borderId="27" xfId="6" applyFill="1" applyBorder="1" applyAlignment="1">
      <alignment horizontal="right"/>
    </xf>
    <xf numFmtId="0" fontId="21" fillId="15" borderId="26" xfId="6" applyFill="1" applyBorder="1" applyAlignment="1">
      <alignment horizontal="right"/>
    </xf>
    <xf numFmtId="0" fontId="21" fillId="14" borderId="20" xfId="6" applyFill="1" applyBorder="1"/>
    <xf numFmtId="0" fontId="21" fillId="14" borderId="5" xfId="6" applyFill="1" applyBorder="1"/>
    <xf numFmtId="167" fontId="21" fillId="14" borderId="0" xfId="6" applyNumberFormat="1" applyFill="1"/>
    <xf numFmtId="166" fontId="21" fillId="14" borderId="20" xfId="6" applyNumberFormat="1" applyFill="1" applyBorder="1"/>
    <xf numFmtId="166" fontId="21" fillId="14" borderId="5" xfId="6" applyNumberFormat="1" applyFill="1" applyBorder="1"/>
    <xf numFmtId="10" fontId="21" fillId="15" borderId="4" xfId="6" applyNumberFormat="1" applyFill="1" applyBorder="1"/>
    <xf numFmtId="10" fontId="21" fillId="15" borderId="5" xfId="6" applyNumberFormat="1" applyFill="1" applyBorder="1"/>
    <xf numFmtId="0" fontId="21" fillId="10" borderId="4" xfId="6" applyFill="1" applyBorder="1"/>
    <xf numFmtId="0" fontId="21" fillId="10" borderId="0" xfId="6" applyFill="1"/>
    <xf numFmtId="0" fontId="9" fillId="14" borderId="28" xfId="6" applyFont="1" applyFill="1" applyBorder="1"/>
    <xf numFmtId="167" fontId="9" fillId="14" borderId="7" xfId="6" applyNumberFormat="1" applyFont="1" applyFill="1" applyBorder="1"/>
    <xf numFmtId="0" fontId="9" fillId="14" borderId="7" xfId="6" applyFont="1" applyFill="1" applyBorder="1"/>
    <xf numFmtId="2" fontId="9" fillId="14" borderId="29" xfId="6" applyNumberFormat="1" applyFont="1" applyFill="1" applyBorder="1"/>
    <xf numFmtId="2" fontId="9" fillId="14" borderId="8" xfId="6" applyNumberFormat="1" applyFont="1" applyFill="1" applyBorder="1"/>
    <xf numFmtId="0" fontId="9" fillId="0" borderId="0" xfId="6" applyFont="1"/>
    <xf numFmtId="10" fontId="9" fillId="15" borderId="6" xfId="6" applyNumberFormat="1" applyFont="1" applyFill="1" applyBorder="1"/>
    <xf numFmtId="10" fontId="9" fillId="15" borderId="8" xfId="6" applyNumberFormat="1" applyFont="1" applyFill="1" applyBorder="1"/>
    <xf numFmtId="0" fontId="21" fillId="10" borderId="6" xfId="6" applyFill="1" applyBorder="1"/>
    <xf numFmtId="0" fontId="21" fillId="10" borderId="7" xfId="6" applyFill="1" applyBorder="1"/>
    <xf numFmtId="0" fontId="21" fillId="16" borderId="8" xfId="6" applyFill="1" applyBorder="1"/>
    <xf numFmtId="0" fontId="13" fillId="15" borderId="1" xfId="6" applyFont="1" applyFill="1" applyBorder="1"/>
    <xf numFmtId="0" fontId="13" fillId="15" borderId="2" xfId="6" applyFont="1" applyFill="1" applyBorder="1"/>
    <xf numFmtId="10" fontId="13" fillId="15" borderId="3" xfId="6" applyNumberFormat="1" applyFont="1" applyFill="1" applyBorder="1"/>
    <xf numFmtId="0" fontId="21" fillId="15" borderId="0" xfId="6" applyFill="1"/>
    <xf numFmtId="10" fontId="9" fillId="15" borderId="5" xfId="6" applyNumberFormat="1" applyFont="1" applyFill="1" applyBorder="1"/>
    <xf numFmtId="10" fontId="21" fillId="10" borderId="13" xfId="6" applyNumberFormat="1" applyFill="1" applyBorder="1"/>
    <xf numFmtId="10" fontId="21" fillId="10" borderId="14" xfId="6" applyNumberFormat="1" applyFill="1" applyBorder="1"/>
    <xf numFmtId="0" fontId="21" fillId="15" borderId="6" xfId="6" applyFill="1" applyBorder="1"/>
    <xf numFmtId="0" fontId="21" fillId="15" borderId="7" xfId="6" applyFill="1" applyBorder="1"/>
    <xf numFmtId="10" fontId="21" fillId="15" borderId="8" xfId="6" applyNumberFormat="1" applyFill="1" applyBorder="1"/>
    <xf numFmtId="2" fontId="21" fillId="14" borderId="20" xfId="6" applyNumberFormat="1" applyFill="1" applyBorder="1"/>
    <xf numFmtId="2" fontId="21" fillId="14" borderId="5" xfId="6" applyNumberFormat="1" applyFill="1" applyBorder="1"/>
    <xf numFmtId="2" fontId="21" fillId="16" borderId="8" xfId="6" applyNumberFormat="1" applyFill="1" applyBorder="1"/>
    <xf numFmtId="0" fontId="13" fillId="15" borderId="33" xfId="6" applyFont="1" applyFill="1" applyBorder="1"/>
    <xf numFmtId="0" fontId="13" fillId="15" borderId="34" xfId="6" applyFont="1" applyFill="1" applyBorder="1"/>
    <xf numFmtId="10" fontId="13" fillId="15" borderId="35" xfId="6" applyNumberFormat="1" applyFont="1" applyFill="1" applyBorder="1"/>
    <xf numFmtId="0" fontId="21" fillId="15" borderId="20" xfId="6" applyFill="1" applyBorder="1"/>
    <xf numFmtId="0" fontId="21" fillId="15" borderId="21" xfId="6" applyFill="1" applyBorder="1"/>
    <xf numFmtId="10" fontId="9" fillId="15" borderId="21" xfId="6" applyNumberFormat="1" applyFont="1" applyFill="1" applyBorder="1"/>
    <xf numFmtId="0" fontId="21" fillId="15" borderId="23" xfId="6" applyFill="1" applyBorder="1"/>
    <xf numFmtId="0" fontId="21" fillId="15" borderId="24" xfId="6" applyFill="1" applyBorder="1"/>
    <xf numFmtId="10" fontId="21" fillId="15" borderId="25" xfId="6" applyNumberFormat="1" applyFill="1" applyBorder="1"/>
    <xf numFmtId="0" fontId="13" fillId="14" borderId="1" xfId="6" applyFont="1" applyFill="1" applyBorder="1" applyAlignment="1">
      <alignment horizontal="center"/>
    </xf>
    <xf numFmtId="0" fontId="21" fillId="14" borderId="18" xfId="6" applyFill="1" applyBorder="1" applyAlignment="1">
      <alignment horizontal="center"/>
    </xf>
    <xf numFmtId="0" fontId="21" fillId="15" borderId="2" xfId="6" applyFill="1" applyBorder="1"/>
    <xf numFmtId="0" fontId="21" fillId="10" borderId="2" xfId="6" applyFill="1" applyBorder="1"/>
    <xf numFmtId="0" fontId="21" fillId="10" borderId="3" xfId="6" applyFill="1" applyBorder="1"/>
    <xf numFmtId="0" fontId="13" fillId="14" borderId="4" xfId="6" applyFont="1" applyFill="1" applyBorder="1" applyAlignment="1">
      <alignment horizontal="center"/>
    </xf>
    <xf numFmtId="0" fontId="21" fillId="14" borderId="21" xfId="6" applyFill="1" applyBorder="1" applyAlignment="1">
      <alignment horizontal="center"/>
    </xf>
    <xf numFmtId="0" fontId="21" fillId="15" borderId="4" xfId="6" applyFill="1" applyBorder="1" applyAlignment="1">
      <alignment horizontal="center"/>
    </xf>
    <xf numFmtId="0" fontId="21" fillId="15" borderId="0" xfId="6" applyFill="1" applyAlignment="1">
      <alignment horizontal="center"/>
    </xf>
    <xf numFmtId="0" fontId="21" fillId="15" borderId="5" xfId="6" applyFill="1" applyBorder="1" applyAlignment="1">
      <alignment horizontal="center"/>
    </xf>
    <xf numFmtId="0" fontId="21" fillId="10" borderId="5" xfId="6" applyFill="1" applyBorder="1"/>
    <xf numFmtId="0" fontId="9" fillId="14" borderId="27" xfId="6" applyFont="1" applyFill="1" applyBorder="1"/>
    <xf numFmtId="0" fontId="18" fillId="14" borderId="23" xfId="6" applyFont="1" applyFill="1" applyBorder="1" applyAlignment="1">
      <alignment horizontal="center"/>
    </xf>
    <xf numFmtId="0" fontId="18" fillId="14" borderId="25" xfId="6" applyFont="1" applyFill="1" applyBorder="1" applyAlignment="1">
      <alignment horizontal="center"/>
    </xf>
    <xf numFmtId="0" fontId="18" fillId="14" borderId="26" xfId="6" applyFont="1" applyFill="1" applyBorder="1" applyAlignment="1">
      <alignment horizontal="center"/>
    </xf>
    <xf numFmtId="0" fontId="18" fillId="14" borderId="24" xfId="6" applyFont="1" applyFill="1" applyBorder="1" applyAlignment="1">
      <alignment horizontal="center"/>
    </xf>
    <xf numFmtId="0" fontId="21" fillId="15" borderId="6" xfId="6" applyFill="1" applyBorder="1" applyAlignment="1">
      <alignment horizontal="center"/>
    </xf>
    <xf numFmtId="0" fontId="21" fillId="15" borderId="7" xfId="6" applyFill="1" applyBorder="1" applyAlignment="1">
      <alignment horizontal="center"/>
    </xf>
    <xf numFmtId="0" fontId="21" fillId="15" borderId="8" xfId="6" applyFill="1" applyBorder="1" applyAlignment="1">
      <alignment horizontal="center"/>
    </xf>
    <xf numFmtId="0" fontId="22" fillId="10" borderId="6" xfId="6" applyFont="1" applyFill="1" applyBorder="1" applyAlignment="1">
      <alignment horizontal="center"/>
    </xf>
    <xf numFmtId="0" fontId="18" fillId="10" borderId="7" xfId="6" applyFont="1" applyFill="1" applyBorder="1" applyAlignment="1">
      <alignment horizontal="center"/>
    </xf>
    <xf numFmtId="0" fontId="18" fillId="10" borderId="8" xfId="6" applyFont="1" applyFill="1" applyBorder="1" applyAlignment="1">
      <alignment horizontal="center"/>
    </xf>
    <xf numFmtId="166" fontId="21" fillId="14" borderId="0" xfId="6" applyNumberFormat="1" applyFill="1"/>
    <xf numFmtId="2" fontId="21" fillId="15" borderId="4" xfId="6" applyNumberFormat="1" applyFill="1" applyBorder="1"/>
    <xf numFmtId="2" fontId="21" fillId="15" borderId="0" xfId="6" applyNumberFormat="1" applyFill="1"/>
    <xf numFmtId="2" fontId="21" fillId="15" borderId="5" xfId="6" applyNumberFormat="1" applyFill="1" applyBorder="1"/>
    <xf numFmtId="2" fontId="21" fillId="10" borderId="4" xfId="6" applyNumberFormat="1" applyFill="1" applyBorder="1"/>
    <xf numFmtId="2" fontId="21" fillId="10" borderId="0" xfId="6" applyNumberFormat="1" applyFill="1"/>
    <xf numFmtId="2" fontId="21" fillId="10" borderId="5" xfId="6" applyNumberFormat="1" applyFill="1" applyBorder="1"/>
    <xf numFmtId="0" fontId="21" fillId="14" borderId="22" xfId="6" applyFill="1" applyBorder="1"/>
    <xf numFmtId="167" fontId="21" fillId="14" borderId="24" xfId="6" applyNumberFormat="1" applyFill="1" applyBorder="1"/>
    <xf numFmtId="166" fontId="21" fillId="14" borderId="23" xfId="6" applyNumberFormat="1" applyFill="1" applyBorder="1"/>
    <xf numFmtId="166" fontId="21" fillId="14" borderId="26" xfId="6" applyNumberFormat="1" applyFill="1" applyBorder="1"/>
    <xf numFmtId="166" fontId="21" fillId="14" borderId="7" xfId="6" applyNumberFormat="1" applyFill="1" applyBorder="1"/>
    <xf numFmtId="166" fontId="21" fillId="14" borderId="8" xfId="6" applyNumberFormat="1" applyFill="1" applyBorder="1"/>
    <xf numFmtId="10" fontId="21" fillId="15" borderId="0" xfId="6" applyNumberFormat="1" applyFill="1"/>
    <xf numFmtId="0" fontId="21" fillId="14" borderId="16" xfId="6" applyFill="1" applyBorder="1"/>
    <xf numFmtId="167" fontId="21" fillId="14" borderId="2" xfId="6" applyNumberFormat="1" applyFill="1" applyBorder="1"/>
    <xf numFmtId="0" fontId="21" fillId="14" borderId="17" xfId="6" applyFill="1" applyBorder="1"/>
    <xf numFmtId="0" fontId="21" fillId="14" borderId="3" xfId="6" applyFill="1" applyBorder="1"/>
    <xf numFmtId="2" fontId="13" fillId="14" borderId="29" xfId="6" applyNumberFormat="1" applyFont="1" applyFill="1" applyBorder="1"/>
    <xf numFmtId="2" fontId="13" fillId="14" borderId="8" xfId="6" applyNumberFormat="1" applyFont="1" applyFill="1" applyBorder="1"/>
    <xf numFmtId="2" fontId="9" fillId="15" borderId="6" xfId="6" applyNumberFormat="1" applyFont="1" applyFill="1" applyBorder="1"/>
    <xf numFmtId="2" fontId="9" fillId="15" borderId="7" xfId="6" applyNumberFormat="1" applyFont="1" applyFill="1" applyBorder="1"/>
    <xf numFmtId="2" fontId="9" fillId="15" borderId="8" xfId="6" applyNumberFormat="1" applyFont="1" applyFill="1" applyBorder="1"/>
    <xf numFmtId="2" fontId="9" fillId="10" borderId="6" xfId="6" applyNumberFormat="1" applyFont="1" applyFill="1" applyBorder="1"/>
    <xf numFmtId="2" fontId="9" fillId="10" borderId="7" xfId="6" applyNumberFormat="1" applyFont="1" applyFill="1" applyBorder="1"/>
    <xf numFmtId="2" fontId="9" fillId="10" borderId="8" xfId="6" applyNumberFormat="1" applyFont="1" applyFill="1" applyBorder="1"/>
    <xf numFmtId="0" fontId="14" fillId="15" borderId="2" xfId="6" applyFont="1" applyFill="1" applyBorder="1"/>
    <xf numFmtId="2" fontId="13" fillId="15" borderId="3" xfId="6" applyNumberFormat="1" applyFont="1" applyFill="1" applyBorder="1"/>
    <xf numFmtId="2" fontId="9" fillId="15" borderId="5" xfId="6" applyNumberFormat="1" applyFont="1" applyFill="1" applyBorder="1"/>
    <xf numFmtId="2" fontId="21" fillId="15" borderId="8" xfId="6" applyNumberFormat="1" applyFill="1" applyBorder="1"/>
    <xf numFmtId="0" fontId="21" fillId="14" borderId="18" xfId="6" applyFill="1" applyBorder="1"/>
    <xf numFmtId="0" fontId="21" fillId="14" borderId="1" xfId="6" applyFill="1" applyBorder="1"/>
    <xf numFmtId="0" fontId="21" fillId="10" borderId="1" xfId="6" applyFill="1" applyBorder="1"/>
    <xf numFmtId="0" fontId="21" fillId="20" borderId="1" xfId="6" applyFill="1" applyBorder="1"/>
    <xf numFmtId="0" fontId="21" fillId="20" borderId="3" xfId="6" applyFill="1" applyBorder="1"/>
    <xf numFmtId="0" fontId="21" fillId="14" borderId="21" xfId="6" applyFill="1" applyBorder="1"/>
    <xf numFmtId="0" fontId="21" fillId="14" borderId="4" xfId="6" applyFill="1" applyBorder="1"/>
    <xf numFmtId="0" fontId="21" fillId="20" borderId="4" xfId="6" applyFill="1" applyBorder="1"/>
    <xf numFmtId="0" fontId="21" fillId="20" borderId="5" xfId="6" applyFill="1" applyBorder="1"/>
    <xf numFmtId="0" fontId="9" fillId="14" borderId="4" xfId="6" applyFont="1" applyFill="1" applyBorder="1"/>
    <xf numFmtId="0" fontId="21" fillId="20" borderId="5" xfId="6" quotePrefix="1" applyFill="1" applyBorder="1"/>
    <xf numFmtId="0" fontId="9" fillId="14" borderId="6" xfId="6" applyFont="1" applyFill="1" applyBorder="1"/>
    <xf numFmtId="0" fontId="21" fillId="14" borderId="23" xfId="6" applyFill="1" applyBorder="1"/>
    <xf numFmtId="0" fontId="21" fillId="14" borderId="25" xfId="6" applyFill="1" applyBorder="1"/>
    <xf numFmtId="0" fontId="21" fillId="14" borderId="27" xfId="6" applyFill="1" applyBorder="1"/>
    <xf numFmtId="0" fontId="21" fillId="14" borderId="26" xfId="6" applyFill="1" applyBorder="1"/>
    <xf numFmtId="0" fontId="21" fillId="15" borderId="8" xfId="6" applyFill="1" applyBorder="1"/>
    <xf numFmtId="0" fontId="18" fillId="10" borderId="6" xfId="6" applyFont="1" applyFill="1" applyBorder="1" applyAlignment="1">
      <alignment horizontal="center"/>
    </xf>
    <xf numFmtId="0" fontId="22" fillId="10" borderId="8" xfId="6" applyFont="1" applyFill="1" applyBorder="1" applyAlignment="1">
      <alignment horizontal="center"/>
    </xf>
    <xf numFmtId="0" fontId="18" fillId="20" borderId="6" xfId="6" applyFont="1" applyFill="1" applyBorder="1" applyAlignment="1">
      <alignment horizontal="center"/>
    </xf>
    <xf numFmtId="0" fontId="18" fillId="20" borderId="8" xfId="6" applyFont="1" applyFill="1" applyBorder="1" applyAlignment="1">
      <alignment horizontal="center"/>
    </xf>
    <xf numFmtId="167" fontId="21" fillId="14" borderId="20" xfId="6" applyNumberFormat="1" applyFill="1" applyBorder="1"/>
    <xf numFmtId="167" fontId="21" fillId="14" borderId="21" xfId="6" applyNumberFormat="1" applyFill="1" applyBorder="1"/>
    <xf numFmtId="166" fontId="21" fillId="14" borderId="4" xfId="6" applyNumberFormat="1" applyFill="1" applyBorder="1"/>
    <xf numFmtId="167" fontId="21" fillId="14" borderId="23" xfId="6" applyNumberFormat="1" applyFill="1" applyBorder="1"/>
    <xf numFmtId="167" fontId="21" fillId="14" borderId="25" xfId="6" applyNumberFormat="1" applyFill="1" applyBorder="1"/>
    <xf numFmtId="166" fontId="21" fillId="14" borderId="24" xfId="6" applyNumberFormat="1" applyFill="1" applyBorder="1"/>
    <xf numFmtId="166" fontId="21" fillId="14" borderId="27" xfId="6" applyNumberFormat="1" applyFill="1" applyBorder="1"/>
    <xf numFmtId="2" fontId="21" fillId="14" borderId="0" xfId="6" applyNumberFormat="1" applyFill="1"/>
    <xf numFmtId="0" fontId="21" fillId="14" borderId="28" xfId="6" applyFill="1" applyBorder="1"/>
    <xf numFmtId="167" fontId="21" fillId="14" borderId="29" xfId="6" applyNumberFormat="1" applyFill="1" applyBorder="1"/>
    <xf numFmtId="167" fontId="21" fillId="14" borderId="32" xfId="6" applyNumberFormat="1" applyFill="1" applyBorder="1"/>
    <xf numFmtId="0" fontId="21" fillId="14" borderId="6" xfId="6" applyFill="1" applyBorder="1"/>
    <xf numFmtId="0" fontId="21" fillId="14" borderId="8" xfId="6" applyFill="1" applyBorder="1"/>
    <xf numFmtId="2" fontId="9" fillId="20" borderId="6" xfId="6" applyNumberFormat="1" applyFont="1" applyFill="1" applyBorder="1"/>
    <xf numFmtId="2" fontId="9" fillId="20" borderId="8" xfId="6" applyNumberFormat="1" applyFont="1" applyFill="1" applyBorder="1"/>
    <xf numFmtId="0" fontId="14" fillId="15" borderId="34" xfId="6" applyFont="1" applyFill="1" applyBorder="1"/>
    <xf numFmtId="2" fontId="13" fillId="15" borderId="35" xfId="6" applyNumberFormat="1" applyFont="1" applyFill="1" applyBorder="1"/>
    <xf numFmtId="2" fontId="9" fillId="15" borderId="21" xfId="6" applyNumberFormat="1" applyFont="1" applyFill="1" applyBorder="1"/>
    <xf numFmtId="2" fontId="21" fillId="15" borderId="25" xfId="6" applyNumberFormat="1" applyFill="1" applyBorder="1"/>
    <xf numFmtId="0" fontId="21" fillId="15" borderId="35" xfId="6" applyFill="1" applyBorder="1"/>
    <xf numFmtId="0" fontId="21" fillId="10" borderId="33" xfId="6" applyFill="1" applyBorder="1" applyAlignment="1">
      <alignment horizontal="center"/>
    </xf>
    <xf numFmtId="0" fontId="21" fillId="10" borderId="34" xfId="6" applyFill="1" applyBorder="1" applyAlignment="1">
      <alignment horizontal="center"/>
    </xf>
    <xf numFmtId="0" fontId="21" fillId="10" borderId="35" xfId="6" applyFill="1" applyBorder="1" applyAlignment="1">
      <alignment horizontal="center"/>
    </xf>
    <xf numFmtId="0" fontId="21" fillId="16" borderId="37" xfId="6" applyFill="1" applyBorder="1" applyAlignment="1">
      <alignment horizontal="center"/>
    </xf>
    <xf numFmtId="0" fontId="21" fillId="15" borderId="20" xfId="6" applyFill="1" applyBorder="1" applyAlignment="1">
      <alignment horizontal="center"/>
    </xf>
    <xf numFmtId="0" fontId="21" fillId="10" borderId="20" xfId="6" applyFill="1" applyBorder="1" applyAlignment="1">
      <alignment horizontal="center"/>
    </xf>
    <xf numFmtId="0" fontId="21" fillId="10" borderId="21" xfId="6" applyFill="1" applyBorder="1" applyAlignment="1">
      <alignment horizontal="center"/>
    </xf>
    <xf numFmtId="0" fontId="21" fillId="16" borderId="38" xfId="6" applyFill="1" applyBorder="1" applyAlignment="1">
      <alignment horizontal="center"/>
    </xf>
    <xf numFmtId="0" fontId="18" fillId="10" borderId="20" xfId="6" applyFont="1" applyFill="1" applyBorder="1" applyAlignment="1">
      <alignment horizontal="center"/>
    </xf>
    <xf numFmtId="0" fontId="18" fillId="10" borderId="0" xfId="6" applyFont="1" applyFill="1" applyAlignment="1">
      <alignment horizontal="center"/>
    </xf>
    <xf numFmtId="0" fontId="18" fillId="10" borderId="21" xfId="6" applyFont="1" applyFill="1" applyBorder="1" applyAlignment="1">
      <alignment horizontal="center"/>
    </xf>
    <xf numFmtId="0" fontId="18" fillId="16" borderId="38" xfId="6" applyFont="1" applyFill="1" applyBorder="1" applyAlignment="1">
      <alignment horizontal="center"/>
    </xf>
    <xf numFmtId="0" fontId="21" fillId="14" borderId="25" xfId="6" applyFill="1" applyBorder="1" applyAlignment="1">
      <alignment horizontal="center"/>
    </xf>
    <xf numFmtId="0" fontId="21" fillId="15" borderId="23" xfId="6" applyFill="1" applyBorder="1" applyAlignment="1">
      <alignment horizontal="center"/>
    </xf>
    <xf numFmtId="0" fontId="21" fillId="15" borderId="24" xfId="6" applyFill="1" applyBorder="1" applyAlignment="1">
      <alignment horizontal="center"/>
    </xf>
    <xf numFmtId="0" fontId="21" fillId="15" borderId="25" xfId="6" applyFill="1" applyBorder="1"/>
    <xf numFmtId="0" fontId="21" fillId="10" borderId="23" xfId="6" applyFill="1" applyBorder="1" applyAlignment="1">
      <alignment horizontal="center"/>
    </xf>
    <xf numFmtId="0" fontId="21" fillId="10" borderId="24" xfId="6" applyFill="1" applyBorder="1" applyAlignment="1">
      <alignment horizontal="center"/>
    </xf>
    <xf numFmtId="0" fontId="21" fillId="10" borderId="25" xfId="6" applyFill="1" applyBorder="1" applyAlignment="1">
      <alignment horizontal="center"/>
    </xf>
    <xf numFmtId="0" fontId="21" fillId="16" borderId="39" xfId="6" applyFill="1" applyBorder="1" applyAlignment="1">
      <alignment horizontal="center"/>
    </xf>
    <xf numFmtId="0" fontId="21" fillId="14" borderId="40" xfId="6" applyFill="1" applyBorder="1"/>
    <xf numFmtId="0" fontId="21" fillId="10" borderId="20" xfId="6" applyFill="1" applyBorder="1"/>
    <xf numFmtId="0" fontId="21" fillId="16" borderId="38" xfId="6" applyFill="1" applyBorder="1"/>
    <xf numFmtId="166" fontId="21" fillId="14" borderId="21" xfId="6" applyNumberFormat="1" applyFill="1" applyBorder="1"/>
    <xf numFmtId="166" fontId="21" fillId="14" borderId="40" xfId="6" applyNumberFormat="1" applyFill="1" applyBorder="1"/>
    <xf numFmtId="10" fontId="21" fillId="15" borderId="20" xfId="6" applyNumberFormat="1" applyFill="1" applyBorder="1"/>
    <xf numFmtId="0" fontId="21" fillId="20" borderId="33" xfId="6" applyFill="1" applyBorder="1"/>
    <xf numFmtId="0" fontId="21" fillId="20" borderId="35" xfId="6" applyFill="1" applyBorder="1"/>
    <xf numFmtId="0" fontId="21" fillId="20" borderId="20" xfId="6" applyFill="1" applyBorder="1"/>
    <xf numFmtId="0" fontId="21" fillId="20" borderId="21" xfId="6" applyFill="1" applyBorder="1"/>
    <xf numFmtId="167" fontId="9" fillId="14" borderId="29" xfId="6" applyNumberFormat="1" applyFont="1" applyFill="1" applyBorder="1"/>
    <xf numFmtId="0" fontId="9" fillId="14" borderId="32" xfId="6" applyFont="1" applyFill="1" applyBorder="1"/>
    <xf numFmtId="2" fontId="9" fillId="14" borderId="32" xfId="6" applyNumberFormat="1" applyFont="1" applyFill="1" applyBorder="1"/>
    <xf numFmtId="2" fontId="9" fillId="14" borderId="41" xfId="6" applyNumberFormat="1" applyFont="1" applyFill="1" applyBorder="1"/>
    <xf numFmtId="10" fontId="9" fillId="15" borderId="23" xfId="6" applyNumberFormat="1" applyFont="1" applyFill="1" applyBorder="1"/>
    <xf numFmtId="10" fontId="9" fillId="15" borderId="24" xfId="6" applyNumberFormat="1" applyFont="1" applyFill="1" applyBorder="1"/>
    <xf numFmtId="10" fontId="9" fillId="15" borderId="25" xfId="6" applyNumberFormat="1" applyFont="1" applyFill="1" applyBorder="1"/>
    <xf numFmtId="2" fontId="9" fillId="10" borderId="23" xfId="6" applyNumberFormat="1" applyFont="1" applyFill="1" applyBorder="1"/>
    <xf numFmtId="2" fontId="9" fillId="10" borderId="24" xfId="6" applyNumberFormat="1" applyFont="1" applyFill="1" applyBorder="1"/>
    <xf numFmtId="166" fontId="9" fillId="16" borderId="39" xfId="6" applyNumberFormat="1" applyFont="1" applyFill="1" applyBorder="1"/>
    <xf numFmtId="2" fontId="9" fillId="20" borderId="23" xfId="6" applyNumberFormat="1" applyFont="1" applyFill="1" applyBorder="1"/>
    <xf numFmtId="2" fontId="9" fillId="20" borderId="25" xfId="6" applyNumberFormat="1" applyFont="1" applyFill="1" applyBorder="1"/>
    <xf numFmtId="0" fontId="9" fillId="15" borderId="21" xfId="6" applyFont="1" applyFill="1" applyBorder="1"/>
    <xf numFmtId="10" fontId="21" fillId="10" borderId="37" xfId="6" applyNumberFormat="1" applyFill="1" applyBorder="1"/>
    <xf numFmtId="10" fontId="21" fillId="10" borderId="39" xfId="6" applyNumberFormat="1" applyFill="1" applyBorder="1"/>
    <xf numFmtId="0" fontId="21" fillId="21" borderId="0" xfId="6" applyFill="1"/>
    <xf numFmtId="0" fontId="21" fillId="16" borderId="13" xfId="6" applyFill="1" applyBorder="1"/>
    <xf numFmtId="0" fontId="21" fillId="20" borderId="2" xfId="6" applyFill="1" applyBorder="1"/>
    <xf numFmtId="0" fontId="13" fillId="14" borderId="19" xfId="6" applyFont="1" applyFill="1" applyBorder="1"/>
    <xf numFmtId="0" fontId="21" fillId="16" borderId="15" xfId="6" applyFill="1" applyBorder="1"/>
    <xf numFmtId="0" fontId="21" fillId="20" borderId="0" xfId="6" applyFill="1"/>
    <xf numFmtId="0" fontId="21" fillId="15" borderId="27" xfId="6" applyFill="1" applyBorder="1"/>
    <xf numFmtId="0" fontId="21" fillId="15" borderId="26" xfId="6" applyFill="1" applyBorder="1"/>
    <xf numFmtId="0" fontId="21" fillId="16" borderId="14" xfId="6" applyFill="1" applyBorder="1"/>
    <xf numFmtId="0" fontId="21" fillId="14" borderId="7" xfId="6" applyFill="1" applyBorder="1"/>
    <xf numFmtId="0" fontId="21" fillId="20" borderId="6" xfId="6" applyFill="1" applyBorder="1"/>
    <xf numFmtId="0" fontId="21" fillId="20" borderId="7" xfId="6" applyFill="1" applyBorder="1"/>
    <xf numFmtId="0" fontId="21" fillId="20" borderId="8" xfId="6" applyFill="1" applyBorder="1"/>
    <xf numFmtId="2" fontId="21" fillId="16" borderId="15" xfId="6" applyNumberFormat="1" applyFill="1" applyBorder="1"/>
    <xf numFmtId="166" fontId="21" fillId="20" borderId="4" xfId="6" applyNumberFormat="1" applyFill="1" applyBorder="1"/>
    <xf numFmtId="166" fontId="21" fillId="20" borderId="0" xfId="6" applyNumberFormat="1" applyFill="1"/>
    <xf numFmtId="2" fontId="21" fillId="20" borderId="0" xfId="6" applyNumberFormat="1" applyFill="1"/>
    <xf numFmtId="10" fontId="21" fillId="20" borderId="0" xfId="6" applyNumberFormat="1" applyFill="1"/>
    <xf numFmtId="10" fontId="21" fillId="20" borderId="5" xfId="6" applyNumberFormat="1" applyFill="1" applyBorder="1"/>
    <xf numFmtId="10" fontId="21" fillId="15" borderId="27" xfId="6" applyNumberFormat="1" applyFill="1" applyBorder="1"/>
    <xf numFmtId="10" fontId="21" fillId="15" borderId="24" xfId="6" applyNumberFormat="1" applyFill="1" applyBorder="1"/>
    <xf numFmtId="10" fontId="21" fillId="15" borderId="26" xfId="6" applyNumberFormat="1" applyFill="1" applyBorder="1"/>
    <xf numFmtId="2" fontId="21" fillId="10" borderId="1" xfId="6" applyNumberFormat="1" applyFill="1" applyBorder="1"/>
    <xf numFmtId="2" fontId="21" fillId="10" borderId="2" xfId="6" applyNumberFormat="1" applyFill="1" applyBorder="1"/>
    <xf numFmtId="2" fontId="21" fillId="16" borderId="13" xfId="6" applyNumberFormat="1" applyFill="1" applyBorder="1"/>
    <xf numFmtId="166" fontId="21" fillId="14" borderId="2" xfId="6" applyNumberFormat="1" applyFill="1" applyBorder="1"/>
    <xf numFmtId="2" fontId="9" fillId="14" borderId="7" xfId="6" applyNumberFormat="1" applyFont="1" applyFill="1" applyBorder="1"/>
    <xf numFmtId="10" fontId="9" fillId="15" borderId="7" xfId="6" applyNumberFormat="1" applyFont="1" applyFill="1" applyBorder="1"/>
    <xf numFmtId="2" fontId="21" fillId="10" borderId="6" xfId="6" applyNumberFormat="1" applyFill="1" applyBorder="1"/>
    <xf numFmtId="2" fontId="21" fillId="10" borderId="7" xfId="6" applyNumberFormat="1" applyFill="1" applyBorder="1"/>
    <xf numFmtId="2" fontId="21" fillId="16" borderId="14" xfId="6" applyNumberFormat="1" applyFill="1" applyBorder="1"/>
    <xf numFmtId="2" fontId="21" fillId="14" borderId="6" xfId="6" applyNumberFormat="1" applyFill="1" applyBorder="1"/>
    <xf numFmtId="2" fontId="21" fillId="14" borderId="7" xfId="6" applyNumberFormat="1" applyFill="1" applyBorder="1"/>
    <xf numFmtId="2" fontId="21" fillId="20" borderId="4" xfId="6" applyNumberFormat="1" applyFill="1" applyBorder="1"/>
    <xf numFmtId="10" fontId="21" fillId="10" borderId="0" xfId="6" applyNumberFormat="1" applyFill="1" applyAlignment="1">
      <alignment horizontal="right"/>
    </xf>
    <xf numFmtId="10" fontId="21" fillId="10" borderId="0" xfId="6" applyNumberFormat="1" applyFill="1"/>
    <xf numFmtId="10" fontId="9" fillId="20" borderId="8" xfId="6" applyNumberFormat="1" applyFont="1" applyFill="1" applyBorder="1"/>
    <xf numFmtId="10" fontId="21" fillId="0" borderId="0" xfId="6" applyNumberFormat="1"/>
    <xf numFmtId="0" fontId="9" fillId="15" borderId="5" xfId="6" applyFont="1" applyFill="1" applyBorder="1"/>
    <xf numFmtId="10" fontId="21" fillId="10" borderId="38" xfId="6" applyNumberFormat="1" applyFill="1" applyBorder="1"/>
    <xf numFmtId="0" fontId="21" fillId="14" borderId="29" xfId="6" applyFill="1" applyBorder="1"/>
    <xf numFmtId="0" fontId="21" fillId="14" borderId="32" xfId="6" applyFill="1" applyBorder="1"/>
    <xf numFmtId="0" fontId="21" fillId="15" borderId="30" xfId="6" applyFill="1" applyBorder="1"/>
    <xf numFmtId="0" fontId="21" fillId="15" borderId="34" xfId="6" applyFill="1" applyBorder="1"/>
    <xf numFmtId="0" fontId="21" fillId="15" borderId="31" xfId="6" applyFill="1" applyBorder="1"/>
    <xf numFmtId="166" fontId="21" fillId="14" borderId="3" xfId="6" applyNumberFormat="1" applyFill="1" applyBorder="1"/>
    <xf numFmtId="2" fontId="21" fillId="14" borderId="8" xfId="6" applyNumberFormat="1" applyFill="1" applyBorder="1"/>
    <xf numFmtId="10" fontId="21" fillId="10" borderId="12" xfId="6" applyNumberFormat="1" applyFill="1" applyBorder="1"/>
    <xf numFmtId="10" fontId="10" fillId="10" borderId="42" xfId="6" applyNumberFormat="1" applyFont="1" applyFill="1" applyBorder="1"/>
    <xf numFmtId="0" fontId="21" fillId="16" borderId="2" xfId="6" applyFill="1" applyBorder="1"/>
    <xf numFmtId="0" fontId="21" fillId="14" borderId="13" xfId="6" applyFill="1" applyBorder="1"/>
    <xf numFmtId="0" fontId="21" fillId="16" borderId="0" xfId="6" applyFill="1"/>
    <xf numFmtId="0" fontId="21" fillId="14" borderId="15" xfId="6" applyFill="1" applyBorder="1"/>
    <xf numFmtId="0" fontId="21" fillId="16" borderId="7" xfId="6" applyFill="1" applyBorder="1"/>
    <xf numFmtId="0" fontId="21" fillId="14" borderId="14" xfId="6" applyFill="1" applyBorder="1"/>
    <xf numFmtId="0" fontId="21" fillId="16" borderId="4" xfId="6" applyFill="1" applyBorder="1"/>
    <xf numFmtId="0" fontId="21" fillId="16" borderId="1" xfId="6" applyFill="1" applyBorder="1"/>
    <xf numFmtId="2" fontId="21" fillId="16" borderId="4" xfId="6" applyNumberFormat="1" applyFill="1" applyBorder="1"/>
    <xf numFmtId="166" fontId="21" fillId="16" borderId="4" xfId="6" applyNumberFormat="1" applyFill="1" applyBorder="1"/>
    <xf numFmtId="166" fontId="21" fillId="16" borderId="5" xfId="6" applyNumberFormat="1" applyFill="1" applyBorder="1"/>
    <xf numFmtId="10" fontId="21" fillId="16" borderId="0" xfId="6" applyNumberFormat="1" applyFill="1"/>
    <xf numFmtId="166" fontId="21" fillId="14" borderId="15" xfId="6" applyNumberFormat="1" applyFill="1" applyBorder="1"/>
    <xf numFmtId="2" fontId="21" fillId="16" borderId="5" xfId="6" applyNumberFormat="1" applyFill="1" applyBorder="1"/>
    <xf numFmtId="2" fontId="21" fillId="16" borderId="0" xfId="6" applyNumberFormat="1" applyFill="1"/>
    <xf numFmtId="2" fontId="21" fillId="14" borderId="15" xfId="6" applyNumberFormat="1" applyFill="1" applyBorder="1"/>
    <xf numFmtId="2" fontId="21" fillId="16" borderId="6" xfId="6" applyNumberFormat="1" applyFill="1" applyBorder="1"/>
    <xf numFmtId="2" fontId="21" fillId="16" borderId="1" xfId="6" applyNumberFormat="1" applyFill="1" applyBorder="1"/>
    <xf numFmtId="2" fontId="21" fillId="16" borderId="3" xfId="6" applyNumberFormat="1" applyFill="1" applyBorder="1"/>
    <xf numFmtId="2" fontId="21" fillId="16" borderId="2" xfId="6" applyNumberFormat="1" applyFill="1" applyBorder="1"/>
    <xf numFmtId="10" fontId="21" fillId="16" borderId="8" xfId="6" applyNumberFormat="1" applyFill="1" applyBorder="1"/>
    <xf numFmtId="2" fontId="21" fillId="14" borderId="14" xfId="6" applyNumberFormat="1" applyFill="1" applyBorder="1"/>
    <xf numFmtId="0" fontId="21" fillId="16" borderId="9" xfId="6" applyFill="1" applyBorder="1"/>
    <xf numFmtId="0" fontId="21" fillId="16" borderId="10" xfId="6" applyFill="1" applyBorder="1"/>
    <xf numFmtId="10" fontId="23" fillId="16" borderId="11" xfId="6" applyNumberFormat="1" applyFont="1" applyFill="1" applyBorder="1"/>
    <xf numFmtId="0" fontId="13" fillId="14" borderId="1" xfId="6" applyFont="1" applyFill="1" applyBorder="1"/>
    <xf numFmtId="0" fontId="13" fillId="14" borderId="4" xfId="6" applyFont="1" applyFill="1" applyBorder="1"/>
    <xf numFmtId="166" fontId="21" fillId="16" borderId="0" xfId="6" applyNumberFormat="1" applyFill="1"/>
    <xf numFmtId="166" fontId="21" fillId="14" borderId="14" xfId="6" applyNumberFormat="1" applyFill="1" applyBorder="1"/>
    <xf numFmtId="10" fontId="21" fillId="15" borderId="1" xfId="6" applyNumberFormat="1" applyFill="1" applyBorder="1"/>
    <xf numFmtId="10" fontId="21" fillId="15" borderId="2" xfId="6" applyNumberFormat="1" applyFill="1" applyBorder="1"/>
    <xf numFmtId="0" fontId="21" fillId="20" borderId="0" xfId="6" applyFill="1" applyAlignment="1">
      <alignment horizontal="center"/>
    </xf>
    <xf numFmtId="10" fontId="21" fillId="15" borderId="6" xfId="6" applyNumberFormat="1" applyFill="1" applyBorder="1"/>
    <xf numFmtId="10" fontId="21" fillId="15" borderId="7" xfId="6" applyNumberFormat="1" applyFill="1" applyBorder="1"/>
    <xf numFmtId="2" fontId="21" fillId="10" borderId="0" xfId="6" applyNumberFormat="1" applyFill="1" applyAlignment="1">
      <alignment horizontal="right"/>
    </xf>
    <xf numFmtId="10" fontId="21" fillId="10" borderId="5" xfId="6" applyNumberFormat="1" applyFill="1" applyBorder="1"/>
    <xf numFmtId="170" fontId="21" fillId="0" borderId="0" xfId="6" applyNumberFormat="1"/>
    <xf numFmtId="10" fontId="21" fillId="20" borderId="7" xfId="6" applyNumberFormat="1" applyFill="1" applyBorder="1"/>
    <xf numFmtId="0" fontId="21" fillId="22" borderId="2" xfId="6" applyFill="1" applyBorder="1"/>
    <xf numFmtId="0" fontId="21" fillId="14" borderId="43" xfId="6" applyFill="1" applyBorder="1"/>
    <xf numFmtId="0" fontId="21" fillId="22" borderId="2" xfId="6" applyFill="1" applyBorder="1" applyAlignment="1">
      <alignment horizontal="center"/>
    </xf>
    <xf numFmtId="0" fontId="21" fillId="14" borderId="43" xfId="6" applyFill="1" applyBorder="1" applyAlignment="1">
      <alignment horizontal="center"/>
    </xf>
    <xf numFmtId="0" fontId="21" fillId="22" borderId="44" xfId="6" applyFill="1" applyBorder="1" applyAlignment="1">
      <alignment horizontal="center"/>
    </xf>
    <xf numFmtId="0" fontId="21" fillId="15" borderId="16" xfId="6" applyFill="1" applyBorder="1"/>
    <xf numFmtId="0" fontId="9" fillId="15" borderId="17" xfId="6" applyFont="1" applyFill="1" applyBorder="1"/>
    <xf numFmtId="0" fontId="9" fillId="15" borderId="18" xfId="6" applyFont="1" applyFill="1" applyBorder="1"/>
    <xf numFmtId="0" fontId="13" fillId="15" borderId="3" xfId="6" applyFont="1" applyFill="1" applyBorder="1"/>
    <xf numFmtId="0" fontId="21" fillId="15" borderId="37" xfId="6" applyFill="1" applyBorder="1"/>
    <xf numFmtId="0" fontId="9" fillId="15" borderId="33" xfId="6" applyFont="1" applyFill="1" applyBorder="1"/>
    <xf numFmtId="0" fontId="9" fillId="15" borderId="35" xfId="6" applyFont="1" applyFill="1" applyBorder="1"/>
    <xf numFmtId="0" fontId="13" fillId="15" borderId="35" xfId="6" applyFont="1" applyFill="1" applyBorder="1"/>
    <xf numFmtId="0" fontId="21" fillId="22" borderId="0" xfId="6" applyFill="1"/>
    <xf numFmtId="0" fontId="21" fillId="14" borderId="38" xfId="6" applyFill="1" applyBorder="1"/>
    <xf numFmtId="0" fontId="21" fillId="22" borderId="0" xfId="6" applyFill="1" applyAlignment="1">
      <alignment horizontal="center"/>
    </xf>
    <xf numFmtId="0" fontId="21" fillId="14" borderId="38" xfId="6" applyFill="1" applyBorder="1" applyAlignment="1">
      <alignment horizontal="center"/>
    </xf>
    <xf numFmtId="0" fontId="21" fillId="22" borderId="40" xfId="6" applyFill="1" applyBorder="1" applyAlignment="1">
      <alignment horizontal="center"/>
    </xf>
    <xf numFmtId="0" fontId="21" fillId="15" borderId="19" xfId="6" applyFill="1" applyBorder="1"/>
    <xf numFmtId="0" fontId="10" fillId="15" borderId="20" xfId="6" applyFont="1" applyFill="1" applyBorder="1"/>
    <xf numFmtId="0" fontId="10" fillId="15" borderId="21" xfId="6" applyFont="1" applyFill="1" applyBorder="1"/>
    <xf numFmtId="0" fontId="21" fillId="15" borderId="38" xfId="6" applyFill="1" applyBorder="1"/>
    <xf numFmtId="0" fontId="21" fillId="15" borderId="21" xfId="6" applyFill="1" applyBorder="1" applyAlignment="1">
      <alignment horizontal="center"/>
    </xf>
    <xf numFmtId="0" fontId="21" fillId="22" borderId="24" xfId="6" applyFill="1" applyBorder="1"/>
    <xf numFmtId="0" fontId="21" fillId="14" borderId="39" xfId="6" applyFill="1" applyBorder="1"/>
    <xf numFmtId="0" fontId="21" fillId="22" borderId="24" xfId="6" applyFill="1" applyBorder="1" applyAlignment="1">
      <alignment horizontal="center"/>
    </xf>
    <xf numFmtId="0" fontId="21" fillId="14" borderId="39" xfId="6" applyFill="1" applyBorder="1" applyAlignment="1">
      <alignment horizontal="center"/>
    </xf>
    <xf numFmtId="0" fontId="21" fillId="22" borderId="45" xfId="6" applyFill="1" applyBorder="1"/>
    <xf numFmtId="0" fontId="21" fillId="15" borderId="22" xfId="6" applyFill="1" applyBorder="1"/>
    <xf numFmtId="0" fontId="10" fillId="15" borderId="23" xfId="6" applyFont="1" applyFill="1" applyBorder="1"/>
    <xf numFmtId="0" fontId="10" fillId="15" borderId="25" xfId="6" applyFont="1" applyFill="1" applyBorder="1"/>
    <xf numFmtId="0" fontId="21" fillId="15" borderId="39" xfId="6" applyFill="1" applyBorder="1"/>
    <xf numFmtId="0" fontId="21" fillId="22" borderId="20" xfId="6" applyFill="1" applyBorder="1"/>
    <xf numFmtId="0" fontId="21" fillId="22" borderId="21" xfId="6" applyFill="1" applyBorder="1"/>
    <xf numFmtId="0" fontId="21" fillId="22" borderId="40" xfId="6" applyFill="1" applyBorder="1"/>
    <xf numFmtId="166" fontId="21" fillId="22" borderId="20" xfId="6" applyNumberFormat="1" applyFill="1" applyBorder="1"/>
    <xf numFmtId="166" fontId="21" fillId="22" borderId="21" xfId="6" applyNumberFormat="1" applyFill="1" applyBorder="1"/>
    <xf numFmtId="2" fontId="21" fillId="22" borderId="0" xfId="6" applyNumberFormat="1" applyFill="1"/>
    <xf numFmtId="166" fontId="21" fillId="14" borderId="38" xfId="6" applyNumberFormat="1" applyFill="1" applyBorder="1"/>
    <xf numFmtId="2" fontId="21" fillId="22" borderId="40" xfId="6" applyNumberFormat="1" applyFill="1" applyBorder="1"/>
    <xf numFmtId="2" fontId="21" fillId="15" borderId="20" xfId="6" applyNumberFormat="1" applyFill="1" applyBorder="1"/>
    <xf numFmtId="166" fontId="21" fillId="10" borderId="5" xfId="6" applyNumberFormat="1" applyFill="1" applyBorder="1"/>
    <xf numFmtId="167" fontId="21" fillId="22" borderId="20" xfId="6" applyNumberFormat="1" applyFill="1" applyBorder="1"/>
    <xf numFmtId="166" fontId="21" fillId="22" borderId="0" xfId="6" applyNumberFormat="1" applyFill="1"/>
    <xf numFmtId="166" fontId="21" fillId="22" borderId="40" xfId="6" applyNumberFormat="1" applyFill="1" applyBorder="1"/>
    <xf numFmtId="10" fontId="21" fillId="15" borderId="21" xfId="6" applyNumberFormat="1" applyFill="1" applyBorder="1"/>
    <xf numFmtId="166" fontId="9" fillId="22" borderId="29" xfId="6" applyNumberFormat="1" applyFont="1" applyFill="1" applyBorder="1"/>
    <xf numFmtId="166" fontId="9" fillId="22" borderId="32" xfId="6" applyNumberFormat="1" applyFont="1" applyFill="1" applyBorder="1"/>
    <xf numFmtId="2" fontId="9" fillId="22" borderId="29" xfId="6" applyNumberFormat="1" applyFont="1" applyFill="1" applyBorder="1"/>
    <xf numFmtId="2" fontId="9" fillId="22" borderId="7" xfId="6" applyNumberFormat="1" applyFont="1" applyFill="1" applyBorder="1"/>
    <xf numFmtId="2" fontId="9" fillId="14" borderId="46" xfId="6" applyNumberFormat="1" applyFont="1" applyFill="1" applyBorder="1"/>
    <xf numFmtId="2" fontId="9" fillId="22" borderId="41" xfId="6" applyNumberFormat="1" applyFont="1" applyFill="1" applyBorder="1"/>
    <xf numFmtId="2" fontId="9" fillId="15" borderId="29" xfId="6" applyNumberFormat="1" applyFont="1" applyFill="1" applyBorder="1"/>
    <xf numFmtId="2" fontId="9" fillId="15" borderId="32" xfId="6" applyNumberFormat="1" applyFont="1" applyFill="1" applyBorder="1"/>
    <xf numFmtId="2" fontId="21" fillId="10" borderId="8" xfId="6" applyNumberFormat="1" applyFill="1" applyBorder="1"/>
    <xf numFmtId="2" fontId="9" fillId="15" borderId="25" xfId="6" applyNumberFormat="1" applyFont="1" applyFill="1" applyBorder="1"/>
    <xf numFmtId="0" fontId="21" fillId="10" borderId="21" xfId="6" applyFill="1" applyBorder="1"/>
    <xf numFmtId="0" fontId="21" fillId="15" borderId="25" xfId="6" applyFill="1" applyBorder="1" applyAlignment="1">
      <alignment horizontal="center"/>
    </xf>
    <xf numFmtId="0" fontId="21" fillId="10" borderId="24" xfId="6" applyFill="1" applyBorder="1"/>
    <xf numFmtId="2" fontId="21" fillId="10" borderId="20" xfId="6" applyNumberFormat="1" applyFill="1" applyBorder="1"/>
    <xf numFmtId="2" fontId="21" fillId="22" borderId="21" xfId="6" applyNumberFormat="1" applyFill="1" applyBorder="1"/>
    <xf numFmtId="2" fontId="21" fillId="15" borderId="21" xfId="6" applyNumberFormat="1" applyFill="1" applyBorder="1"/>
    <xf numFmtId="166" fontId="21" fillId="10" borderId="21" xfId="6" applyNumberFormat="1" applyFill="1" applyBorder="1"/>
    <xf numFmtId="2" fontId="21" fillId="15" borderId="39" xfId="6" applyNumberFormat="1" applyFill="1" applyBorder="1"/>
    <xf numFmtId="2" fontId="9" fillId="15" borderId="23" xfId="6" applyNumberFormat="1" applyFont="1" applyFill="1" applyBorder="1"/>
    <xf numFmtId="2" fontId="21" fillId="10" borderId="37" xfId="6" applyNumberFormat="1" applyFill="1" applyBorder="1"/>
    <xf numFmtId="2" fontId="21" fillId="10" borderId="38" xfId="6" applyNumberFormat="1" applyFill="1" applyBorder="1"/>
    <xf numFmtId="2" fontId="21" fillId="10" borderId="39" xfId="6" applyNumberFormat="1" applyFill="1" applyBorder="1"/>
    <xf numFmtId="2" fontId="21" fillId="0" borderId="0" xfId="6" applyNumberFormat="1"/>
    <xf numFmtId="0" fontId="21" fillId="22" borderId="33" xfId="6" applyFill="1" applyBorder="1"/>
    <xf numFmtId="0" fontId="21" fillId="22" borderId="23" xfId="6" applyFill="1" applyBorder="1"/>
    <xf numFmtId="0" fontId="9" fillId="14" borderId="13" xfId="6" applyFont="1" applyFill="1" applyBorder="1" applyAlignment="1">
      <alignment horizontal="center"/>
    </xf>
    <xf numFmtId="0" fontId="21" fillId="0" borderId="0" xfId="6" applyAlignment="1">
      <alignment horizontal="center"/>
    </xf>
    <xf numFmtId="0" fontId="21" fillId="14" borderId="13" xfId="6" applyFill="1" applyBorder="1" applyAlignment="1">
      <alignment horizontal="center"/>
    </xf>
    <xf numFmtId="0" fontId="21" fillId="20" borderId="1" xfId="6" applyFill="1" applyBorder="1" applyAlignment="1">
      <alignment horizontal="center"/>
    </xf>
    <xf numFmtId="0" fontId="21" fillId="20" borderId="2" xfId="6" applyFill="1" applyBorder="1" applyAlignment="1">
      <alignment horizontal="center"/>
    </xf>
    <xf numFmtId="0" fontId="21" fillId="20" borderId="3" xfId="6" applyFill="1" applyBorder="1" applyAlignment="1">
      <alignment horizontal="center"/>
    </xf>
    <xf numFmtId="0" fontId="21" fillId="20" borderId="13" xfId="6" applyFill="1" applyBorder="1" applyAlignment="1">
      <alignment horizontal="center"/>
    </xf>
    <xf numFmtId="0" fontId="21" fillId="10" borderId="3" xfId="6" applyFill="1" applyBorder="1" applyAlignment="1">
      <alignment horizontal="center"/>
    </xf>
    <xf numFmtId="0" fontId="21" fillId="15" borderId="1" xfId="6" applyFill="1" applyBorder="1" applyAlignment="1">
      <alignment horizontal="center"/>
    </xf>
    <xf numFmtId="0" fontId="21" fillId="15" borderId="2" xfId="6" applyFill="1" applyBorder="1" applyAlignment="1">
      <alignment horizontal="center"/>
    </xf>
    <xf numFmtId="0" fontId="21" fillId="14" borderId="14" xfId="6" applyFill="1" applyBorder="1" applyAlignment="1">
      <alignment horizontal="center"/>
    </xf>
    <xf numFmtId="0" fontId="21" fillId="14" borderId="7" xfId="6" applyFill="1" applyBorder="1" applyAlignment="1">
      <alignment horizontal="center"/>
    </xf>
    <xf numFmtId="0" fontId="21" fillId="14" borderId="8" xfId="6" applyFill="1" applyBorder="1" applyAlignment="1">
      <alignment horizontal="center"/>
    </xf>
    <xf numFmtId="0" fontId="21" fillId="20" borderId="6" xfId="6" applyFill="1" applyBorder="1" applyAlignment="1">
      <alignment horizontal="center"/>
    </xf>
    <xf numFmtId="0" fontId="21" fillId="20" borderId="7" xfId="6" applyFill="1" applyBorder="1" applyAlignment="1">
      <alignment horizontal="center"/>
    </xf>
    <xf numFmtId="0" fontId="21" fillId="20" borderId="8" xfId="6" applyFill="1" applyBorder="1" applyAlignment="1">
      <alignment horizontal="center"/>
    </xf>
    <xf numFmtId="0" fontId="21" fillId="20" borderId="14" xfId="6" applyFill="1" applyBorder="1" applyAlignment="1">
      <alignment horizontal="center"/>
    </xf>
    <xf numFmtId="0" fontId="21" fillId="10" borderId="5" xfId="6" applyFill="1" applyBorder="1" applyAlignment="1">
      <alignment horizontal="center"/>
    </xf>
    <xf numFmtId="0" fontId="21" fillId="20" borderId="15" xfId="6" applyFill="1" applyBorder="1"/>
    <xf numFmtId="10" fontId="21" fillId="14" borderId="0" xfId="6" applyNumberFormat="1" applyFill="1"/>
    <xf numFmtId="10" fontId="21" fillId="14" borderId="15" xfId="6" applyNumberFormat="1" applyFill="1" applyBorder="1"/>
    <xf numFmtId="10" fontId="21" fillId="20" borderId="4" xfId="6" applyNumberFormat="1" applyFill="1" applyBorder="1"/>
    <xf numFmtId="10" fontId="21" fillId="20" borderId="15" xfId="6" applyNumberFormat="1" applyFill="1" applyBorder="1"/>
    <xf numFmtId="10" fontId="21" fillId="10" borderId="4" xfId="6" applyNumberFormat="1" applyFill="1" applyBorder="1"/>
    <xf numFmtId="9" fontId="21" fillId="14" borderId="15" xfId="6" applyNumberFormat="1" applyFill="1" applyBorder="1"/>
    <xf numFmtId="0" fontId="9" fillId="14" borderId="14" xfId="6" applyFont="1" applyFill="1" applyBorder="1"/>
    <xf numFmtId="10" fontId="9" fillId="14" borderId="7" xfId="6" applyNumberFormat="1" applyFont="1" applyFill="1" applyBorder="1"/>
    <xf numFmtId="10" fontId="21" fillId="14" borderId="14" xfId="6" applyNumberFormat="1" applyFill="1" applyBorder="1"/>
    <xf numFmtId="10" fontId="9" fillId="20" borderId="6" xfId="6" applyNumberFormat="1" applyFont="1" applyFill="1" applyBorder="1"/>
    <xf numFmtId="10" fontId="9" fillId="20" borderId="7" xfId="6" applyNumberFormat="1" applyFont="1" applyFill="1" applyBorder="1"/>
    <xf numFmtId="10" fontId="9" fillId="20" borderId="14" xfId="6" applyNumberFormat="1" applyFont="1" applyFill="1" applyBorder="1"/>
    <xf numFmtId="169" fontId="9" fillId="10" borderId="6" xfId="6" applyNumberFormat="1" applyFont="1" applyFill="1" applyBorder="1"/>
    <xf numFmtId="0" fontId="9" fillId="10" borderId="7" xfId="6" applyFont="1" applyFill="1" applyBorder="1"/>
    <xf numFmtId="169" fontId="9" fillId="10" borderId="7" xfId="6" applyNumberFormat="1" applyFont="1" applyFill="1" applyBorder="1"/>
    <xf numFmtId="169" fontId="9" fillId="10" borderId="8" xfId="6" applyNumberFormat="1" applyFont="1" applyFill="1" applyBorder="1"/>
    <xf numFmtId="0" fontId="9" fillId="15" borderId="7" xfId="6" applyFont="1" applyFill="1" applyBorder="1"/>
    <xf numFmtId="0" fontId="9" fillId="15" borderId="13" xfId="6" applyFont="1" applyFill="1" applyBorder="1" applyAlignment="1">
      <alignment horizontal="center"/>
    </xf>
    <xf numFmtId="0" fontId="9" fillId="15" borderId="2" xfId="6" applyFont="1" applyFill="1" applyBorder="1" applyAlignment="1">
      <alignment horizontal="center"/>
    </xf>
    <xf numFmtId="0" fontId="9" fillId="15" borderId="1" xfId="6" applyFont="1" applyFill="1" applyBorder="1" applyAlignment="1">
      <alignment horizontal="center"/>
    </xf>
    <xf numFmtId="0" fontId="9" fillId="15" borderId="14" xfId="6" applyFont="1" applyFill="1" applyBorder="1" applyAlignment="1">
      <alignment horizontal="center"/>
    </xf>
    <xf numFmtId="0" fontId="9" fillId="15" borderId="7" xfId="6" applyFont="1" applyFill="1" applyBorder="1" applyAlignment="1">
      <alignment horizontal="center"/>
    </xf>
    <xf numFmtId="0" fontId="9" fillId="15" borderId="6" xfId="6" applyFont="1" applyFill="1" applyBorder="1" applyAlignment="1">
      <alignment horizontal="center"/>
    </xf>
    <xf numFmtId="0" fontId="21" fillId="15" borderId="15" xfId="6" applyFill="1" applyBorder="1"/>
    <xf numFmtId="0" fontId="9" fillId="15" borderId="15" xfId="6" applyFont="1" applyFill="1" applyBorder="1"/>
    <xf numFmtId="10" fontId="9" fillId="15" borderId="0" xfId="6" applyNumberFormat="1" applyFont="1" applyFill="1"/>
    <xf numFmtId="10" fontId="9" fillId="15" borderId="15" xfId="6" applyNumberFormat="1" applyFont="1" applyFill="1" applyBorder="1"/>
    <xf numFmtId="0" fontId="9" fillId="15" borderId="4" xfId="6" applyFont="1" applyFill="1" applyBorder="1"/>
    <xf numFmtId="10" fontId="21" fillId="15" borderId="15" xfId="6" applyNumberFormat="1" applyFill="1" applyBorder="1"/>
    <xf numFmtId="0" fontId="21" fillId="15" borderId="14" xfId="6" applyFill="1" applyBorder="1"/>
    <xf numFmtId="10" fontId="21" fillId="15" borderId="14" xfId="6" applyNumberFormat="1" applyFill="1" applyBorder="1"/>
    <xf numFmtId="0" fontId="9" fillId="14" borderId="14" xfId="6" applyFont="1" applyFill="1" applyBorder="1" applyAlignment="1">
      <alignment horizontal="center"/>
    </xf>
    <xf numFmtId="167" fontId="21" fillId="14" borderId="4" xfId="6" applyNumberFormat="1" applyFill="1" applyBorder="1"/>
    <xf numFmtId="10" fontId="21" fillId="14" borderId="5" xfId="6" applyNumberFormat="1" applyFill="1" applyBorder="1"/>
    <xf numFmtId="167" fontId="9" fillId="14" borderId="6" xfId="6" applyNumberFormat="1" applyFont="1" applyFill="1" applyBorder="1"/>
    <xf numFmtId="10" fontId="9" fillId="14" borderId="8" xfId="6" applyNumberFormat="1" applyFont="1" applyFill="1" applyBorder="1"/>
    <xf numFmtId="0" fontId="9" fillId="15" borderId="1" xfId="6" applyFont="1" applyFill="1" applyBorder="1"/>
    <xf numFmtId="10" fontId="9" fillId="15" borderId="3" xfId="6" applyNumberFormat="1" applyFont="1" applyFill="1" applyBorder="1"/>
    <xf numFmtId="0" fontId="21" fillId="10" borderId="6" xfId="6" applyFill="1" applyBorder="1" applyAlignment="1">
      <alignment horizontal="center"/>
    </xf>
    <xf numFmtId="0" fontId="21" fillId="10" borderId="7" xfId="6" applyFill="1" applyBorder="1" applyAlignment="1">
      <alignment horizontal="center"/>
    </xf>
    <xf numFmtId="0" fontId="21" fillId="10" borderId="8" xfId="6" applyFill="1" applyBorder="1" applyAlignment="1">
      <alignment horizontal="center"/>
    </xf>
    <xf numFmtId="0" fontId="21" fillId="20" borderId="14" xfId="6" applyFill="1" applyBorder="1"/>
    <xf numFmtId="169" fontId="9" fillId="10" borderId="0" xfId="6" applyNumberFormat="1" applyFont="1" applyFill="1"/>
    <xf numFmtId="10" fontId="9" fillId="20" borderId="0" xfId="6" applyNumberFormat="1" applyFont="1" applyFill="1"/>
    <xf numFmtId="0" fontId="13" fillId="14" borderId="16" xfId="6" applyFont="1" applyFill="1" applyBorder="1" applyAlignment="1">
      <alignment horizontal="center"/>
    </xf>
    <xf numFmtId="0" fontId="9" fillId="15" borderId="3" xfId="6" applyFont="1" applyFill="1" applyBorder="1" applyAlignment="1">
      <alignment horizontal="left" indent="1"/>
    </xf>
    <xf numFmtId="0" fontId="13" fillId="14" borderId="19" xfId="6" applyFont="1" applyFill="1" applyBorder="1" applyAlignment="1">
      <alignment horizontal="center"/>
    </xf>
    <xf numFmtId="0" fontId="9" fillId="14" borderId="22" xfId="6" applyFont="1" applyFill="1" applyBorder="1" applyAlignment="1">
      <alignment horizontal="center"/>
    </xf>
    <xf numFmtId="0" fontId="18" fillId="22" borderId="47" xfId="6" applyFont="1" applyFill="1" applyBorder="1"/>
    <xf numFmtId="168" fontId="21" fillId="22" borderId="48" xfId="6" applyNumberFormat="1" applyFill="1" applyBorder="1"/>
    <xf numFmtId="0" fontId="13" fillId="0" borderId="0" xfId="6" applyFont="1"/>
    <xf numFmtId="0" fontId="18" fillId="0" borderId="0" xfId="6" applyFont="1"/>
    <xf numFmtId="0" fontId="9" fillId="15" borderId="35" xfId="6" applyFont="1" applyFill="1" applyBorder="1" applyAlignment="1">
      <alignment horizontal="left" indent="1"/>
    </xf>
    <xf numFmtId="0" fontId="24" fillId="22" borderId="33" xfId="6" applyFont="1" applyFill="1" applyBorder="1"/>
    <xf numFmtId="168" fontId="21" fillId="22" borderId="35" xfId="6" applyNumberFormat="1" applyFill="1" applyBorder="1"/>
    <xf numFmtId="0" fontId="25" fillId="22" borderId="20" xfId="6" applyFont="1" applyFill="1" applyBorder="1"/>
    <xf numFmtId="168" fontId="21" fillId="22" borderId="21" xfId="6" applyNumberFormat="1" applyFill="1" applyBorder="1"/>
    <xf numFmtId="0" fontId="25" fillId="22" borderId="23" xfId="6" applyFont="1" applyFill="1" applyBorder="1"/>
    <xf numFmtId="168" fontId="21" fillId="22" borderId="25" xfId="6" applyNumberFormat="1" applyFill="1" applyBorder="1"/>
    <xf numFmtId="165" fontId="13" fillId="0" borderId="0" xfId="4" applyNumberFormat="1" applyFont="1"/>
    <xf numFmtId="0" fontId="26" fillId="22" borderId="47" xfId="6" applyFont="1" applyFill="1" applyBorder="1"/>
    <xf numFmtId="0" fontId="25" fillId="22" borderId="33" xfId="6" applyFont="1" applyFill="1" applyBorder="1"/>
    <xf numFmtId="0" fontId="13" fillId="22" borderId="20" xfId="6" applyFont="1" applyFill="1" applyBorder="1"/>
    <xf numFmtId="0" fontId="13" fillId="22" borderId="23" xfId="6" applyFont="1" applyFill="1" applyBorder="1"/>
    <xf numFmtId="2" fontId="21" fillId="22" borderId="35" xfId="6" applyNumberFormat="1" applyFill="1" applyBorder="1"/>
    <xf numFmtId="170" fontId="21" fillId="22" borderId="21" xfId="6" applyNumberFormat="1" applyFill="1" applyBorder="1"/>
    <xf numFmtId="0" fontId="21" fillId="16" borderId="3" xfId="6" applyFill="1" applyBorder="1" applyAlignment="1">
      <alignment horizontal="center"/>
    </xf>
    <xf numFmtId="0" fontId="21" fillId="23" borderId="0" xfId="6" applyFill="1"/>
    <xf numFmtId="0" fontId="21" fillId="16" borderId="5" xfId="6" applyFill="1" applyBorder="1" applyAlignment="1">
      <alignment horizontal="center"/>
    </xf>
    <xf numFmtId="10" fontId="21" fillId="23" borderId="0" xfId="6" applyNumberFormat="1" applyFill="1"/>
    <xf numFmtId="166" fontId="21" fillId="16" borderId="8" xfId="6" applyNumberFormat="1" applyFill="1" applyBorder="1"/>
    <xf numFmtId="169" fontId="21" fillId="23" borderId="0" xfId="6" applyNumberFormat="1" applyFill="1"/>
    <xf numFmtId="0" fontId="0" fillId="11" borderId="0" xfId="0" applyFill="1"/>
    <xf numFmtId="0" fontId="0" fillId="18" borderId="13" xfId="0" applyFill="1" applyBorder="1"/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14" xfId="0" applyFill="1" applyBorder="1"/>
    <xf numFmtId="0" fontId="1" fillId="18" borderId="7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166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0" fillId="18" borderId="5" xfId="0" applyNumberFormat="1" applyFill="1" applyBorder="1"/>
    <xf numFmtId="0" fontId="0" fillId="18" borderId="5" xfId="0" applyFill="1" applyBorder="1"/>
    <xf numFmtId="2" fontId="0" fillId="18" borderId="7" xfId="0" applyNumberFormat="1" applyFill="1" applyBorder="1"/>
    <xf numFmtId="2" fontId="0" fillId="18" borderId="8" xfId="0" applyNumberFormat="1" applyFill="1" applyBorder="1"/>
    <xf numFmtId="0" fontId="1" fillId="18" borderId="15" xfId="0" applyFont="1" applyFill="1" applyBorder="1"/>
    <xf numFmtId="0" fontId="1" fillId="18" borderId="14" xfId="0" applyFont="1" applyFill="1" applyBorder="1"/>
    <xf numFmtId="0" fontId="1" fillId="18" borderId="13" xfId="0" applyFont="1" applyFill="1" applyBorder="1"/>
    <xf numFmtId="2" fontId="0" fillId="18" borderId="2" xfId="0" applyNumberFormat="1" applyFill="1" applyBorder="1"/>
    <xf numFmtId="2" fontId="0" fillId="18" borderId="3" xfId="0" applyNumberFormat="1" applyFill="1" applyBorder="1"/>
    <xf numFmtId="0" fontId="10" fillId="16" borderId="2" xfId="4" applyFill="1" applyBorder="1"/>
    <xf numFmtId="0" fontId="13" fillId="14" borderId="19" xfId="4" applyFont="1" applyFill="1" applyBorder="1"/>
    <xf numFmtId="0" fontId="27" fillId="14" borderId="5" xfId="4" applyFont="1" applyFill="1" applyBorder="1" applyAlignment="1">
      <alignment horizontal="center"/>
    </xf>
    <xf numFmtId="0" fontId="10" fillId="16" borderId="0" xfId="4" applyFill="1"/>
    <xf numFmtId="0" fontId="27" fillId="10" borderId="5" xfId="4" applyFont="1" applyFill="1" applyBorder="1" applyAlignment="1">
      <alignment horizontal="center"/>
    </xf>
    <xf numFmtId="0" fontId="27" fillId="14" borderId="26" xfId="4" applyFont="1" applyFill="1" applyBorder="1" applyAlignment="1">
      <alignment horizontal="center"/>
    </xf>
    <xf numFmtId="2" fontId="10" fillId="14" borderId="0" xfId="4" applyNumberFormat="1" applyFill="1"/>
    <xf numFmtId="166" fontId="10" fillId="14" borderId="0" xfId="4" applyNumberFormat="1" applyFill="1"/>
    <xf numFmtId="4" fontId="10" fillId="16" borderId="0" xfId="4" applyNumberFormat="1" applyFill="1"/>
    <xf numFmtId="2" fontId="10" fillId="16" borderId="7" xfId="4" applyNumberFormat="1" applyFill="1" applyBorder="1"/>
    <xf numFmtId="2" fontId="10" fillId="10" borderId="8" xfId="4" applyNumberFormat="1" applyFill="1" applyBorder="1"/>
    <xf numFmtId="10" fontId="10" fillId="10" borderId="15" xfId="4" applyNumberFormat="1" applyFill="1" applyBorder="1"/>
    <xf numFmtId="0" fontId="28" fillId="0" borderId="0" xfId="4" applyFont="1" applyAlignment="1">
      <alignment vertical="center"/>
    </xf>
    <xf numFmtId="0" fontId="28" fillId="24" borderId="47" xfId="4" applyFont="1" applyFill="1" applyBorder="1" applyAlignment="1">
      <alignment horizontal="center" vertical="center" wrapText="1"/>
    </xf>
    <xf numFmtId="0" fontId="28" fillId="24" borderId="48" xfId="4" applyFont="1" applyFill="1" applyBorder="1" applyAlignment="1">
      <alignment horizontal="center" vertical="center" wrapText="1"/>
    </xf>
    <xf numFmtId="0" fontId="29" fillId="0" borderId="0" xfId="4" applyFont="1" applyAlignment="1">
      <alignment vertical="center"/>
    </xf>
    <xf numFmtId="0" fontId="28" fillId="24" borderId="49" xfId="4" applyFont="1" applyFill="1" applyBorder="1" applyAlignment="1">
      <alignment horizontal="center" vertical="center" wrapText="1"/>
    </xf>
    <xf numFmtId="0" fontId="29" fillId="0" borderId="0" xfId="4" applyFont="1" applyAlignment="1">
      <alignment horizontal="center" vertical="center"/>
    </xf>
    <xf numFmtId="0" fontId="28" fillId="25" borderId="47" xfId="4" applyFont="1" applyFill="1" applyBorder="1" applyAlignment="1">
      <alignment horizontal="center" vertical="center" wrapText="1"/>
    </xf>
    <xf numFmtId="0" fontId="28" fillId="15" borderId="49" xfId="4" applyFont="1" applyFill="1" applyBorder="1" applyAlignment="1">
      <alignment horizontal="center" vertical="center" wrapText="1"/>
    </xf>
    <xf numFmtId="0" fontId="28" fillId="14" borderId="48" xfId="4" applyFont="1" applyFill="1" applyBorder="1" applyAlignment="1">
      <alignment horizontal="center" vertical="center" wrapText="1"/>
    </xf>
    <xf numFmtId="0" fontId="28" fillId="10" borderId="42" xfId="4" applyFont="1" applyFill="1" applyBorder="1" applyAlignment="1">
      <alignment horizontal="center" vertical="center" wrapText="1"/>
    </xf>
    <xf numFmtId="0" fontId="28" fillId="10" borderId="48" xfId="4" applyFont="1" applyFill="1" applyBorder="1" applyAlignment="1">
      <alignment horizontal="center" vertical="center" wrapText="1"/>
    </xf>
    <xf numFmtId="0" fontId="10" fillId="25" borderId="37" xfId="4" applyFill="1" applyBorder="1"/>
    <xf numFmtId="0" fontId="10" fillId="25" borderId="35" xfId="4" applyFill="1" applyBorder="1"/>
    <xf numFmtId="167" fontId="10" fillId="25" borderId="20" xfId="5" applyNumberFormat="1" applyFill="1" applyBorder="1" applyAlignment="1">
      <alignment horizontal="left" indent="1"/>
    </xf>
    <xf numFmtId="167" fontId="10" fillId="25" borderId="21" xfId="5" applyNumberFormat="1" applyFill="1" applyBorder="1" applyAlignment="1">
      <alignment horizontal="left" indent="1"/>
    </xf>
    <xf numFmtId="10" fontId="10" fillId="25" borderId="33" xfId="5" applyNumberFormat="1" applyFill="1" applyBorder="1" applyAlignment="1">
      <alignment horizontal="left" indent="1"/>
    </xf>
    <xf numFmtId="10" fontId="10" fillId="25" borderId="35" xfId="5" applyNumberFormat="1" applyFill="1" applyBorder="1" applyAlignment="1">
      <alignment horizontal="left" indent="1"/>
    </xf>
    <xf numFmtId="10" fontId="10" fillId="25" borderId="20" xfId="4" applyNumberFormat="1" applyFill="1" applyBorder="1"/>
    <xf numFmtId="10" fontId="10" fillId="25" borderId="0" xfId="4" applyNumberFormat="1" applyFill="1"/>
    <xf numFmtId="10" fontId="10" fillId="14" borderId="21" xfId="4" applyNumberFormat="1" applyFill="1" applyBorder="1"/>
    <xf numFmtId="10" fontId="10" fillId="10" borderId="38" xfId="4" applyNumberFormat="1" applyFill="1" applyBorder="1"/>
    <xf numFmtId="10" fontId="10" fillId="10" borderId="21" xfId="4" applyNumberFormat="1" applyFill="1" applyBorder="1"/>
    <xf numFmtId="0" fontId="10" fillId="25" borderId="38" xfId="4" applyFill="1" applyBorder="1"/>
    <xf numFmtId="0" fontId="10" fillId="25" borderId="21" xfId="4" applyFill="1" applyBorder="1"/>
    <xf numFmtId="10" fontId="10" fillId="25" borderId="20" xfId="5" applyNumberFormat="1" applyFill="1" applyBorder="1" applyAlignment="1">
      <alignment horizontal="left" indent="1"/>
    </xf>
    <xf numFmtId="10" fontId="10" fillId="25" borderId="21" xfId="5" applyNumberFormat="1" applyFill="1" applyBorder="1" applyAlignment="1">
      <alignment horizontal="left" indent="1"/>
    </xf>
    <xf numFmtId="10" fontId="10" fillId="25" borderId="21" xfId="4" applyNumberFormat="1" applyFill="1" applyBorder="1"/>
    <xf numFmtId="0" fontId="30" fillId="15" borderId="38" xfId="4" applyFont="1" applyFill="1" applyBorder="1" applyAlignment="1">
      <alignment horizontal="center"/>
    </xf>
    <xf numFmtId="0" fontId="30" fillId="15" borderId="21" xfId="4" applyFont="1" applyFill="1" applyBorder="1"/>
    <xf numFmtId="167" fontId="31" fillId="15" borderId="20" xfId="5" applyNumberFormat="1" applyFont="1" applyFill="1" applyBorder="1" applyAlignment="1">
      <alignment horizontal="left" indent="2"/>
    </xf>
    <xf numFmtId="167" fontId="31" fillId="15" borderId="21" xfId="5" applyNumberFormat="1" applyFont="1" applyFill="1" applyBorder="1" applyAlignment="1">
      <alignment horizontal="left" indent="2"/>
    </xf>
    <xf numFmtId="10" fontId="31" fillId="15" borderId="20" xfId="4" applyNumberFormat="1" applyFont="1" applyFill="1" applyBorder="1" applyAlignment="1">
      <alignment horizontal="left" indent="2"/>
    </xf>
    <xf numFmtId="10" fontId="31" fillId="15" borderId="21" xfId="4" applyNumberFormat="1" applyFont="1" applyFill="1" applyBorder="1" applyAlignment="1">
      <alignment horizontal="left" indent="2"/>
    </xf>
    <xf numFmtId="10" fontId="31" fillId="15" borderId="20" xfId="5" applyNumberFormat="1" applyFont="1" applyFill="1" applyBorder="1"/>
    <xf numFmtId="10" fontId="31" fillId="15" borderId="0" xfId="5" applyNumberFormat="1" applyFont="1" applyFill="1" applyBorder="1"/>
    <xf numFmtId="10" fontId="31" fillId="15" borderId="21" xfId="5" applyNumberFormat="1" applyFont="1" applyFill="1" applyBorder="1"/>
    <xf numFmtId="0" fontId="30" fillId="0" borderId="0" xfId="4" applyFont="1"/>
    <xf numFmtId="10" fontId="31" fillId="25" borderId="20" xfId="5" applyNumberFormat="1" applyFont="1" applyFill="1" applyBorder="1"/>
    <xf numFmtId="10" fontId="31" fillId="14" borderId="21" xfId="5" applyNumberFormat="1" applyFont="1" applyFill="1" applyBorder="1"/>
    <xf numFmtId="0" fontId="30" fillId="14" borderId="38" xfId="4" applyFont="1" applyFill="1" applyBorder="1" applyAlignment="1">
      <alignment horizontal="right"/>
    </xf>
    <xf numFmtId="0" fontId="30" fillId="14" borderId="21" xfId="4" applyFont="1" applyFill="1" applyBorder="1" applyAlignment="1">
      <alignment horizontal="left" indent="2"/>
    </xf>
    <xf numFmtId="167" fontId="30" fillId="14" borderId="20" xfId="5" applyNumberFormat="1" applyFont="1" applyFill="1" applyBorder="1" applyAlignment="1">
      <alignment horizontal="left" indent="3"/>
    </xf>
    <xf numFmtId="167" fontId="30" fillId="14" borderId="21" xfId="5" applyNumberFormat="1" applyFont="1" applyFill="1" applyBorder="1" applyAlignment="1">
      <alignment horizontal="left" indent="3"/>
    </xf>
    <xf numFmtId="10" fontId="30" fillId="14" borderId="20" xfId="4" applyNumberFormat="1" applyFont="1" applyFill="1" applyBorder="1" applyAlignment="1">
      <alignment horizontal="left" indent="3"/>
    </xf>
    <xf numFmtId="10" fontId="30" fillId="14" borderId="21" xfId="4" applyNumberFormat="1" applyFont="1" applyFill="1" applyBorder="1" applyAlignment="1">
      <alignment horizontal="left" indent="3"/>
    </xf>
    <xf numFmtId="10" fontId="31" fillId="14" borderId="20" xfId="5" applyNumberFormat="1" applyFont="1" applyFill="1" applyBorder="1"/>
    <xf numFmtId="10" fontId="31" fillId="14" borderId="0" xfId="5" applyNumberFormat="1" applyFont="1" applyFill="1" applyBorder="1"/>
    <xf numFmtId="10" fontId="30" fillId="14" borderId="0" xfId="5" applyNumberFormat="1" applyFont="1" applyFill="1" applyBorder="1"/>
    <xf numFmtId="10" fontId="30" fillId="14" borderId="21" xfId="5" applyNumberFormat="1" applyFont="1" applyFill="1" applyBorder="1"/>
    <xf numFmtId="10" fontId="30" fillId="25" borderId="20" xfId="5" applyNumberFormat="1" applyFont="1" applyFill="1" applyBorder="1"/>
    <xf numFmtId="10" fontId="30" fillId="15" borderId="0" xfId="5" applyNumberFormat="1" applyFont="1" applyFill="1" applyBorder="1"/>
    <xf numFmtId="10" fontId="31" fillId="15" borderId="20" xfId="5" applyNumberFormat="1" applyFont="1" applyFill="1" applyBorder="1" applyAlignment="1">
      <alignment horizontal="left" indent="2"/>
    </xf>
    <xf numFmtId="10" fontId="31" fillId="15" borderId="21" xfId="5" applyNumberFormat="1" applyFont="1" applyFill="1" applyBorder="1" applyAlignment="1">
      <alignment horizontal="left" indent="2"/>
    </xf>
    <xf numFmtId="10" fontId="30" fillId="15" borderId="21" xfId="5" applyNumberFormat="1" applyFont="1" applyFill="1" applyBorder="1"/>
    <xf numFmtId="10" fontId="31" fillId="15" borderId="23" xfId="5" applyNumberFormat="1" applyFont="1" applyFill="1" applyBorder="1"/>
    <xf numFmtId="10" fontId="31" fillId="15" borderId="24" xfId="5" applyNumberFormat="1" applyFont="1" applyFill="1" applyBorder="1"/>
    <xf numFmtId="10" fontId="30" fillId="15" borderId="25" xfId="5" applyNumberFormat="1" applyFont="1" applyFill="1" applyBorder="1"/>
    <xf numFmtId="0" fontId="32" fillId="26" borderId="39" xfId="4" applyFont="1" applyFill="1" applyBorder="1"/>
    <xf numFmtId="0" fontId="32" fillId="26" borderId="25" xfId="4" applyFont="1" applyFill="1" applyBorder="1"/>
    <xf numFmtId="167" fontId="32" fillId="26" borderId="23" xfId="4" applyNumberFormat="1" applyFont="1" applyFill="1" applyBorder="1" applyAlignment="1">
      <alignment horizontal="center"/>
    </xf>
    <xf numFmtId="167" fontId="32" fillId="26" borderId="25" xfId="4" applyNumberFormat="1" applyFont="1" applyFill="1" applyBorder="1" applyAlignment="1">
      <alignment horizontal="center"/>
    </xf>
    <xf numFmtId="10" fontId="32" fillId="26" borderId="23" xfId="4" applyNumberFormat="1" applyFont="1" applyFill="1" applyBorder="1" applyAlignment="1">
      <alignment horizontal="center"/>
    </xf>
    <xf numFmtId="10" fontId="32" fillId="26" borderId="25" xfId="4" applyNumberFormat="1" applyFont="1" applyFill="1" applyBorder="1" applyAlignment="1">
      <alignment horizontal="center"/>
    </xf>
    <xf numFmtId="10" fontId="32" fillId="26" borderId="23" xfId="4" applyNumberFormat="1" applyFont="1" applyFill="1" applyBorder="1"/>
    <xf numFmtId="10" fontId="32" fillId="26" borderId="24" xfId="4" applyNumberFormat="1" applyFont="1" applyFill="1" applyBorder="1"/>
    <xf numFmtId="10" fontId="32" fillId="26" borderId="25" xfId="4" applyNumberFormat="1" applyFont="1" applyFill="1" applyBorder="1"/>
    <xf numFmtId="10" fontId="9" fillId="25" borderId="47" xfId="4" applyNumberFormat="1" applyFont="1" applyFill="1" applyBorder="1"/>
    <xf numFmtId="10" fontId="9" fillId="15" borderId="49" xfId="4" applyNumberFormat="1" applyFont="1" applyFill="1" applyBorder="1"/>
    <xf numFmtId="10" fontId="9" fillId="14" borderId="48" xfId="4" applyNumberFormat="1" applyFont="1" applyFill="1" applyBorder="1"/>
    <xf numFmtId="10" fontId="10" fillId="10" borderId="42" xfId="4" applyNumberFormat="1" applyFill="1" applyBorder="1"/>
    <xf numFmtId="171" fontId="33" fillId="0" borderId="0" xfId="4" applyNumberFormat="1" applyFont="1"/>
    <xf numFmtId="0" fontId="10" fillId="15" borderId="33" xfId="4" applyFill="1" applyBorder="1"/>
    <xf numFmtId="0" fontId="10" fillId="15" borderId="34" xfId="4" applyFill="1" applyBorder="1"/>
    <xf numFmtId="10" fontId="10" fillId="15" borderId="35" xfId="4" applyNumberFormat="1" applyFill="1" applyBorder="1"/>
    <xf numFmtId="10" fontId="10" fillId="15" borderId="21" xfId="4" applyNumberFormat="1" applyFill="1" applyBorder="1"/>
    <xf numFmtId="10" fontId="10" fillId="10" borderId="37" xfId="4" applyNumberFormat="1" applyFill="1" applyBorder="1"/>
    <xf numFmtId="171" fontId="10" fillId="0" borderId="0" xfId="4" applyNumberFormat="1"/>
    <xf numFmtId="171" fontId="10" fillId="15" borderId="20" xfId="4" applyNumberFormat="1" applyFill="1" applyBorder="1"/>
    <xf numFmtId="10" fontId="10" fillId="10" borderId="39" xfId="4" applyNumberFormat="1" applyFill="1" applyBorder="1"/>
    <xf numFmtId="0" fontId="28" fillId="25" borderId="49" xfId="4" applyFont="1" applyFill="1" applyBorder="1" applyAlignment="1">
      <alignment horizontal="center" vertical="center" wrapText="1"/>
    </xf>
    <xf numFmtId="0" fontId="28" fillId="15" borderId="48" xfId="4" applyFont="1" applyFill="1" applyBorder="1" applyAlignment="1">
      <alignment horizontal="center" vertical="center" wrapText="1"/>
    </xf>
    <xf numFmtId="10" fontId="31" fillId="25" borderId="0" xfId="5" applyNumberFormat="1" applyFont="1" applyFill="1" applyBorder="1"/>
    <xf numFmtId="0" fontId="30" fillId="15" borderId="38" xfId="4" applyFont="1" applyFill="1" applyBorder="1" applyAlignment="1">
      <alignment horizontal="right"/>
    </xf>
    <xf numFmtId="0" fontId="30" fillId="15" borderId="21" xfId="4" applyFont="1" applyFill="1" applyBorder="1" applyAlignment="1">
      <alignment horizontal="left" indent="2"/>
    </xf>
    <xf numFmtId="167" fontId="30" fillId="15" borderId="20" xfId="5" applyNumberFormat="1" applyFont="1" applyFill="1" applyBorder="1" applyAlignment="1">
      <alignment horizontal="left" indent="3"/>
    </xf>
    <xf numFmtId="167" fontId="30" fillId="15" borderId="21" xfId="5" applyNumberFormat="1" applyFont="1" applyFill="1" applyBorder="1" applyAlignment="1">
      <alignment horizontal="left" indent="3"/>
    </xf>
    <xf numFmtId="10" fontId="30" fillId="15" borderId="20" xfId="4" applyNumberFormat="1" applyFont="1" applyFill="1" applyBorder="1" applyAlignment="1">
      <alignment horizontal="left" indent="3"/>
    </xf>
    <xf numFmtId="10" fontId="30" fillId="15" borderId="21" xfId="4" applyNumberFormat="1" applyFont="1" applyFill="1" applyBorder="1" applyAlignment="1">
      <alignment horizontal="left" indent="3"/>
    </xf>
    <xf numFmtId="10" fontId="30" fillId="25" borderId="0" xfId="5" applyNumberFormat="1" applyFont="1" applyFill="1" applyBorder="1"/>
    <xf numFmtId="10" fontId="31" fillId="24" borderId="33" xfId="4" applyNumberFormat="1" applyFont="1" applyFill="1" applyBorder="1" applyAlignment="1">
      <alignment horizontal="left" indent="2"/>
    </xf>
    <xf numFmtId="10" fontId="31" fillId="24" borderId="34" xfId="4" applyNumberFormat="1" applyFont="1" applyFill="1" applyBorder="1" applyAlignment="1">
      <alignment horizontal="left" indent="2"/>
    </xf>
    <xf numFmtId="10" fontId="31" fillId="24" borderId="34" xfId="4" applyNumberFormat="1" applyFont="1" applyFill="1" applyBorder="1" applyAlignment="1">
      <alignment horizontal="center"/>
    </xf>
    <xf numFmtId="10" fontId="31" fillId="24" borderId="35" xfId="4" applyNumberFormat="1" applyFont="1" applyFill="1" applyBorder="1" applyAlignment="1">
      <alignment horizontal="center"/>
    </xf>
    <xf numFmtId="10" fontId="31" fillId="24" borderId="20" xfId="4" applyNumberFormat="1" applyFont="1" applyFill="1" applyBorder="1" applyAlignment="1">
      <alignment horizontal="left" indent="2"/>
    </xf>
    <xf numFmtId="10" fontId="31" fillId="24" borderId="0" xfId="4" applyNumberFormat="1" applyFont="1" applyFill="1" applyAlignment="1">
      <alignment horizontal="left" indent="2"/>
    </xf>
    <xf numFmtId="10" fontId="31" fillId="24" borderId="0" xfId="4" applyNumberFormat="1" applyFont="1" applyFill="1" applyAlignment="1">
      <alignment horizontal="center"/>
    </xf>
    <xf numFmtId="10" fontId="31" fillId="24" borderId="21" xfId="4" applyNumberFormat="1" applyFont="1" applyFill="1" applyBorder="1" applyAlignment="1">
      <alignment horizontal="center"/>
    </xf>
    <xf numFmtId="10" fontId="10" fillId="25" borderId="0" xfId="5" applyNumberFormat="1" applyFill="1" applyBorder="1" applyAlignment="1">
      <alignment horizontal="left" indent="1"/>
    </xf>
    <xf numFmtId="2" fontId="31" fillId="15" borderId="20" xfId="5" applyNumberFormat="1" applyFont="1" applyFill="1" applyBorder="1" applyAlignment="1">
      <alignment horizontal="left" indent="2"/>
    </xf>
    <xf numFmtId="2" fontId="31" fillId="15" borderId="0" xfId="5" applyNumberFormat="1" applyFont="1" applyFill="1" applyBorder="1" applyAlignment="1">
      <alignment horizontal="left" indent="2"/>
    </xf>
    <xf numFmtId="10" fontId="31" fillId="15" borderId="0" xfId="5" applyNumberFormat="1" applyFont="1" applyFill="1" applyBorder="1" applyAlignment="1">
      <alignment horizontal="left" indent="2"/>
    </xf>
    <xf numFmtId="172" fontId="30" fillId="0" borderId="0" xfId="4" applyNumberFormat="1" applyFont="1"/>
    <xf numFmtId="10" fontId="10" fillId="10" borderId="33" xfId="4" applyNumberFormat="1" applyFill="1" applyBorder="1"/>
    <xf numFmtId="10" fontId="10" fillId="10" borderId="34" xfId="4" applyNumberFormat="1" applyFill="1" applyBorder="1"/>
    <xf numFmtId="10" fontId="10" fillId="10" borderId="20" xfId="4" applyNumberFormat="1" applyFill="1" applyBorder="1"/>
    <xf numFmtId="10" fontId="10" fillId="10" borderId="0" xfId="4" applyNumberFormat="1" applyFill="1"/>
    <xf numFmtId="2" fontId="31" fillId="15" borderId="20" xfId="4" applyNumberFormat="1" applyFont="1" applyFill="1" applyBorder="1" applyAlignment="1">
      <alignment horizontal="left" indent="2"/>
    </xf>
    <xf numFmtId="2" fontId="31" fillId="15" borderId="0" xfId="4" applyNumberFormat="1" applyFont="1" applyFill="1" applyAlignment="1">
      <alignment horizontal="left" indent="2"/>
    </xf>
    <xf numFmtId="10" fontId="31" fillId="15" borderId="0" xfId="4" applyNumberFormat="1" applyFont="1" applyFill="1" applyAlignment="1">
      <alignment horizontal="left" indent="2"/>
    </xf>
    <xf numFmtId="10" fontId="31" fillId="15" borderId="25" xfId="5" applyNumberFormat="1" applyFont="1" applyFill="1" applyBorder="1"/>
    <xf numFmtId="2" fontId="32" fillId="26" borderId="23" xfId="4" applyNumberFormat="1" applyFont="1" applyFill="1" applyBorder="1" applyAlignment="1">
      <alignment horizontal="center"/>
    </xf>
    <xf numFmtId="10" fontId="32" fillId="26" borderId="24" xfId="4" applyNumberFormat="1" applyFont="1" applyFill="1" applyBorder="1" applyAlignment="1">
      <alignment horizontal="center"/>
    </xf>
    <xf numFmtId="10" fontId="32" fillId="26" borderId="24" xfId="5" applyNumberFormat="1" applyFont="1" applyFill="1" applyBorder="1" applyAlignment="1">
      <alignment horizontal="left" indent="2"/>
    </xf>
    <xf numFmtId="10" fontId="32" fillId="26" borderId="25" xfId="5" applyNumberFormat="1" applyFont="1" applyFill="1" applyBorder="1" applyAlignment="1">
      <alignment horizontal="left" indent="2"/>
    </xf>
    <xf numFmtId="10" fontId="9" fillId="15" borderId="48" xfId="4" applyNumberFormat="1" applyFont="1" applyFill="1" applyBorder="1"/>
    <xf numFmtId="10" fontId="10" fillId="10" borderId="47" xfId="4" applyNumberFormat="1" applyFill="1" applyBorder="1"/>
    <xf numFmtId="10" fontId="10" fillId="10" borderId="48" xfId="4" applyNumberFormat="1" applyFill="1" applyBorder="1"/>
    <xf numFmtId="171" fontId="10" fillId="15" borderId="0" xfId="4" applyNumberFormat="1" applyFill="1"/>
    <xf numFmtId="0" fontId="10" fillId="0" borderId="0" xfId="7"/>
    <xf numFmtId="10" fontId="10" fillId="0" borderId="0" xfId="7" applyNumberFormat="1"/>
    <xf numFmtId="10" fontId="10" fillId="0" borderId="0" xfId="5" applyNumberFormat="1"/>
    <xf numFmtId="9" fontId="0" fillId="0" borderId="0" xfId="3" applyFont="1"/>
    <xf numFmtId="10" fontId="0" fillId="0" borderId="0" xfId="3" applyNumberFormat="1" applyFont="1"/>
    <xf numFmtId="0" fontId="10" fillId="10" borderId="1" xfId="7" applyFill="1" applyBorder="1" applyAlignment="1">
      <alignment horizontal="center"/>
    </xf>
    <xf numFmtId="0" fontId="10" fillId="10" borderId="2" xfId="7" applyFill="1" applyBorder="1" applyAlignment="1">
      <alignment horizontal="center"/>
    </xf>
    <xf numFmtId="0" fontId="10" fillId="10" borderId="13" xfId="7" applyFill="1" applyBorder="1" applyAlignment="1">
      <alignment horizontal="center" vertical="distributed"/>
    </xf>
    <xf numFmtId="0" fontId="10" fillId="10" borderId="4" xfId="7" applyFill="1" applyBorder="1" applyAlignment="1">
      <alignment horizontal="center"/>
    </xf>
    <xf numFmtId="0" fontId="10" fillId="10" borderId="0" xfId="7" applyFill="1" applyAlignment="1">
      <alignment horizontal="center"/>
    </xf>
    <xf numFmtId="0" fontId="10" fillId="10" borderId="15" xfId="7" applyFill="1" applyBorder="1" applyAlignment="1">
      <alignment horizontal="center" vertical="distributed"/>
    </xf>
    <xf numFmtId="0" fontId="10" fillId="10" borderId="6" xfId="7" applyFill="1" applyBorder="1"/>
    <xf numFmtId="0" fontId="10" fillId="10" borderId="7" xfId="7" applyFill="1" applyBorder="1"/>
    <xf numFmtId="0" fontId="10" fillId="10" borderId="14" xfId="7" applyFill="1" applyBorder="1"/>
    <xf numFmtId="0" fontId="10" fillId="10" borderId="1" xfId="7" applyFill="1" applyBorder="1"/>
    <xf numFmtId="0" fontId="10" fillId="10" borderId="2" xfId="7" applyFill="1" applyBorder="1"/>
    <xf numFmtId="10" fontId="10" fillId="10" borderId="2" xfId="7" applyNumberFormat="1" applyFill="1" applyBorder="1"/>
    <xf numFmtId="2" fontId="10" fillId="10" borderId="13" xfId="7" applyNumberFormat="1" applyFill="1" applyBorder="1"/>
    <xf numFmtId="0" fontId="10" fillId="10" borderId="4" xfId="7" applyFill="1" applyBorder="1"/>
    <xf numFmtId="0" fontId="10" fillId="10" borderId="0" xfId="7" applyFill="1"/>
    <xf numFmtId="10" fontId="10" fillId="10" borderId="0" xfId="7" applyNumberFormat="1" applyFill="1"/>
    <xf numFmtId="2" fontId="10" fillId="10" borderId="15" xfId="7" applyNumberFormat="1" applyFill="1" applyBorder="1"/>
    <xf numFmtId="10" fontId="10" fillId="10" borderId="7" xfId="7" applyNumberFormat="1" applyFill="1" applyBorder="1"/>
    <xf numFmtId="2" fontId="10" fillId="10" borderId="14" xfId="7" applyNumberFormat="1" applyFill="1" applyBorder="1"/>
    <xf numFmtId="10" fontId="10" fillId="10" borderId="3" xfId="7" applyNumberFormat="1" applyFill="1" applyBorder="1"/>
    <xf numFmtId="10" fontId="10" fillId="10" borderId="5" xfId="7" applyNumberFormat="1" applyFill="1" applyBorder="1"/>
    <xf numFmtId="10" fontId="10" fillId="10" borderId="8" xfId="7" applyNumberFormat="1" applyFill="1" applyBorder="1"/>
    <xf numFmtId="2" fontId="10" fillId="10" borderId="7" xfId="7" applyNumberFormat="1" applyFill="1" applyBorder="1"/>
    <xf numFmtId="0" fontId="9" fillId="10" borderId="7" xfId="7" applyFont="1" applyFill="1" applyBorder="1"/>
    <xf numFmtId="2" fontId="9" fillId="22" borderId="14" xfId="7" applyNumberFormat="1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0" borderId="12" xfId="0" applyBorder="1"/>
    <xf numFmtId="2" fontId="10" fillId="10" borderId="3" xfId="7" applyNumberFormat="1" applyFill="1" applyBorder="1"/>
    <xf numFmtId="2" fontId="10" fillId="10" borderId="5" xfId="7" applyNumberFormat="1" applyFill="1" applyBorder="1"/>
    <xf numFmtId="0" fontId="0" fillId="4" borderId="1" xfId="0" applyFill="1" applyBorder="1"/>
    <xf numFmtId="0" fontId="0" fillId="4" borderId="2" xfId="0" applyFill="1" applyBorder="1"/>
    <xf numFmtId="10" fontId="0" fillId="4" borderId="3" xfId="3" applyNumberFormat="1" applyFont="1" applyFill="1" applyBorder="1"/>
    <xf numFmtId="0" fontId="0" fillId="4" borderId="4" xfId="0" applyFill="1" applyBorder="1"/>
    <xf numFmtId="0" fontId="0" fillId="4" borderId="0" xfId="0" applyFill="1"/>
    <xf numFmtId="10" fontId="0" fillId="4" borderId="5" xfId="3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8" xfId="0" applyNumberFormat="1" applyFill="1" applyBorder="1"/>
    <xf numFmtId="1" fontId="10" fillId="10" borderId="5" xfId="4" applyNumberFormat="1" applyFill="1" applyBorder="1"/>
    <xf numFmtId="0" fontId="9" fillId="11" borderId="1" xfId="4" applyFont="1" applyFill="1" applyBorder="1" applyAlignment="1">
      <alignment horizontal="right"/>
    </xf>
    <xf numFmtId="10" fontId="9" fillId="11" borderId="2" xfId="4" applyNumberFormat="1" applyFont="1" applyFill="1" applyBorder="1"/>
    <xf numFmtId="0" fontId="9" fillId="11" borderId="5" xfId="4" applyFont="1" applyFill="1" applyBorder="1"/>
    <xf numFmtId="0" fontId="9" fillId="11" borderId="6" xfId="4" applyFont="1" applyFill="1" applyBorder="1" applyAlignment="1">
      <alignment horizontal="right"/>
    </xf>
    <xf numFmtId="10" fontId="9" fillId="11" borderId="7" xfId="4" applyNumberFormat="1" applyFont="1" applyFill="1" applyBorder="1"/>
    <xf numFmtId="0" fontId="9" fillId="11" borderId="8" xfId="4" applyFont="1" applyFill="1" applyBorder="1"/>
    <xf numFmtId="167" fontId="9" fillId="0" borderId="0" xfId="4" applyNumberFormat="1" applyFont="1"/>
    <xf numFmtId="9" fontId="9" fillId="0" borderId="0" xfId="4" applyNumberFormat="1" applyFont="1"/>
    <xf numFmtId="2" fontId="9" fillId="0" borderId="0" xfId="4" applyNumberFormat="1" applyFont="1"/>
    <xf numFmtId="167" fontId="10" fillId="0" borderId="0" xfId="3" applyNumberFormat="1" applyFont="1"/>
    <xf numFmtId="10" fontId="10" fillId="0" borderId="0" xfId="3" applyNumberFormat="1" applyFont="1"/>
    <xf numFmtId="0" fontId="9" fillId="11" borderId="0" xfId="4" applyFont="1" applyFill="1"/>
    <xf numFmtId="0" fontId="10" fillId="11" borderId="4" xfId="4" applyFill="1" applyBorder="1" applyAlignment="1">
      <alignment horizontal="right"/>
    </xf>
    <xf numFmtId="165" fontId="10" fillId="11" borderId="0" xfId="4" applyNumberFormat="1" applyFill="1"/>
    <xf numFmtId="169" fontId="10" fillId="11" borderId="0" xfId="3" applyNumberFormat="1" applyFont="1" applyFill="1" applyBorder="1"/>
    <xf numFmtId="169" fontId="10" fillId="11" borderId="5" xfId="3" applyNumberFormat="1" applyFont="1" applyFill="1" applyBorder="1"/>
    <xf numFmtId="0" fontId="10" fillId="11" borderId="6" xfId="4" applyFill="1" applyBorder="1" applyAlignment="1">
      <alignment horizontal="right"/>
    </xf>
    <xf numFmtId="2" fontId="10" fillId="11" borderId="7" xfId="4" applyNumberFormat="1" applyFill="1" applyBorder="1"/>
    <xf numFmtId="169" fontId="10" fillId="11" borderId="7" xfId="3" applyNumberFormat="1" applyFont="1" applyFill="1" applyBorder="1"/>
    <xf numFmtId="169" fontId="10" fillId="11" borderId="8" xfId="3" applyNumberFormat="1" applyFont="1" applyFill="1" applyBorder="1"/>
    <xf numFmtId="0" fontId="0" fillId="11" borderId="13" xfId="0" applyFill="1" applyBorder="1"/>
    <xf numFmtId="0" fontId="0" fillId="11" borderId="14" xfId="0" applyFill="1" applyBorder="1"/>
    <xf numFmtId="0" fontId="1" fillId="11" borderId="15" xfId="0" applyFont="1" applyFill="1" applyBorder="1" applyAlignment="1">
      <alignment horizontal="right"/>
    </xf>
    <xf numFmtId="0" fontId="1" fillId="11" borderId="14" xfId="0" applyFont="1" applyFill="1" applyBorder="1" applyAlignment="1">
      <alignment horizontal="right"/>
    </xf>
    <xf numFmtId="0" fontId="9" fillId="11" borderId="1" xfId="4" applyFont="1" applyFill="1" applyBorder="1" applyAlignment="1">
      <alignment horizontal="center"/>
    </xf>
    <xf numFmtId="10" fontId="9" fillId="11" borderId="2" xfId="4" applyNumberFormat="1" applyFont="1" applyFill="1" applyBorder="1" applyAlignment="1">
      <alignment horizontal="center"/>
    </xf>
    <xf numFmtId="0" fontId="9" fillId="11" borderId="2" xfId="4" applyFont="1" applyFill="1" applyBorder="1" applyAlignment="1">
      <alignment horizontal="center"/>
    </xf>
    <xf numFmtId="0" fontId="9" fillId="11" borderId="3" xfId="4" applyFont="1" applyFill="1" applyBorder="1" applyAlignment="1">
      <alignment horizontal="center"/>
    </xf>
    <xf numFmtId="0" fontId="9" fillId="11" borderId="6" xfId="4" applyFont="1" applyFill="1" applyBorder="1" applyAlignment="1">
      <alignment horizontal="center"/>
    </xf>
    <xf numFmtId="10" fontId="9" fillId="11" borderId="7" xfId="4" applyNumberFormat="1" applyFont="1" applyFill="1" applyBorder="1" applyAlignment="1">
      <alignment horizontal="center"/>
    </xf>
    <xf numFmtId="0" fontId="9" fillId="11" borderId="7" xfId="4" applyFont="1" applyFill="1" applyBorder="1" applyAlignment="1">
      <alignment horizontal="center"/>
    </xf>
    <xf numFmtId="0" fontId="9" fillId="11" borderId="8" xfId="4" applyFont="1" applyFill="1" applyBorder="1" applyAlignment="1">
      <alignment horizontal="center"/>
    </xf>
    <xf numFmtId="166" fontId="13" fillId="0" borderId="0" xfId="4" applyNumberFormat="1" applyFont="1"/>
    <xf numFmtId="167" fontId="10" fillId="11" borderId="5" xfId="3" applyNumberFormat="1" applyFont="1" applyFill="1" applyBorder="1"/>
    <xf numFmtId="167" fontId="9" fillId="11" borderId="5" xfId="3" applyNumberFormat="1" applyFont="1" applyFill="1" applyBorder="1"/>
    <xf numFmtId="0" fontId="9" fillId="11" borderId="13" xfId="4" applyFont="1" applyFill="1" applyBorder="1" applyAlignment="1">
      <alignment horizontal="center"/>
    </xf>
    <xf numFmtId="0" fontId="9" fillId="11" borderId="14" xfId="4" applyFont="1" applyFill="1" applyBorder="1" applyAlignment="1">
      <alignment horizontal="center"/>
    </xf>
    <xf numFmtId="167" fontId="10" fillId="11" borderId="0" xfId="3" applyNumberFormat="1" applyFont="1" applyFill="1" applyBorder="1"/>
    <xf numFmtId="167" fontId="9" fillId="11" borderId="0" xfId="3" applyNumberFormat="1" applyFont="1" applyFill="1" applyBorder="1"/>
    <xf numFmtId="167" fontId="10" fillId="11" borderId="1" xfId="3" applyNumberFormat="1" applyFont="1" applyFill="1" applyBorder="1"/>
    <xf numFmtId="167" fontId="10" fillId="11" borderId="2" xfId="3" applyNumberFormat="1" applyFont="1" applyFill="1" applyBorder="1"/>
    <xf numFmtId="167" fontId="10" fillId="11" borderId="3" xfId="3" applyNumberFormat="1" applyFont="1" applyFill="1" applyBorder="1"/>
    <xf numFmtId="167" fontId="10" fillId="11" borderId="4" xfId="3" applyNumberFormat="1" applyFont="1" applyFill="1" applyBorder="1"/>
    <xf numFmtId="167" fontId="9" fillId="11" borderId="4" xfId="3" applyNumberFormat="1" applyFont="1" applyFill="1" applyBorder="1"/>
    <xf numFmtId="167" fontId="9" fillId="11" borderId="6" xfId="3" applyNumberFormat="1" applyFont="1" applyFill="1" applyBorder="1"/>
    <xf numFmtId="167" fontId="9" fillId="11" borderId="7" xfId="3" applyNumberFormat="1" applyFont="1" applyFill="1" applyBorder="1"/>
    <xf numFmtId="167" fontId="9" fillId="11" borderId="8" xfId="3" applyNumberFormat="1" applyFont="1" applyFill="1" applyBorder="1"/>
    <xf numFmtId="168" fontId="10" fillId="11" borderId="5" xfId="4" applyNumberFormat="1" applyFill="1" applyBorder="1"/>
    <xf numFmtId="168" fontId="10" fillId="11" borderId="8" xfId="4" applyNumberFormat="1" applyFill="1" applyBorder="1"/>
    <xf numFmtId="169" fontId="0" fillId="0" borderId="0" xfId="3" applyNumberFormat="1" applyFont="1"/>
    <xf numFmtId="166" fontId="9" fillId="10" borderId="7" xfId="4" applyNumberFormat="1" applyFont="1" applyFill="1" applyBorder="1"/>
    <xf numFmtId="166" fontId="9" fillId="10" borderId="8" xfId="4" applyNumberFormat="1" applyFont="1" applyFill="1" applyBorder="1"/>
    <xf numFmtId="166" fontId="9" fillId="10" borderId="3" xfId="4" applyNumberFormat="1" applyFont="1" applyFill="1" applyBorder="1"/>
    <xf numFmtId="166" fontId="9" fillId="10" borderId="5" xfId="4" applyNumberFormat="1" applyFont="1" applyFill="1" applyBorder="1"/>
    <xf numFmtId="10" fontId="0" fillId="0" borderId="0" xfId="5" applyNumberFormat="1" applyFont="1"/>
    <xf numFmtId="10" fontId="9" fillId="0" borderId="0" xfId="5" applyNumberFormat="1" applyFont="1"/>
    <xf numFmtId="10" fontId="9" fillId="0" borderId="0" xfId="0" applyNumberFormat="1" applyFont="1"/>
    <xf numFmtId="2" fontId="9" fillId="0" borderId="0" xfId="0" applyNumberFormat="1" applyFont="1"/>
    <xf numFmtId="2" fontId="9" fillId="0" borderId="0" xfId="5" applyNumberFormat="1" applyFont="1"/>
    <xf numFmtId="0" fontId="9" fillId="11" borderId="4" xfId="4" applyFont="1" applyFill="1" applyBorder="1" applyAlignment="1">
      <alignment horizontal="right"/>
    </xf>
    <xf numFmtId="167" fontId="0" fillId="11" borderId="0" xfId="5" applyNumberFormat="1" applyFont="1" applyFill="1" applyBorder="1"/>
    <xf numFmtId="0" fontId="0" fillId="11" borderId="5" xfId="0" applyFill="1" applyBorder="1"/>
    <xf numFmtId="0" fontId="10" fillId="11" borderId="0" xfId="0" applyFont="1" applyFill="1"/>
    <xf numFmtId="0" fontId="9" fillId="11" borderId="7" xfId="0" applyFont="1" applyFill="1" applyBorder="1"/>
    <xf numFmtId="10" fontId="9" fillId="11" borderId="4" xfId="4" applyNumberFormat="1" applyFont="1" applyFill="1" applyBorder="1"/>
    <xf numFmtId="0" fontId="0" fillId="11" borderId="4" xfId="0" applyFill="1" applyBorder="1"/>
    <xf numFmtId="0" fontId="9" fillId="11" borderId="6" xfId="0" applyFont="1" applyFill="1" applyBorder="1"/>
    <xf numFmtId="10" fontId="9" fillId="11" borderId="1" xfId="4" applyNumberFormat="1" applyFont="1" applyFill="1" applyBorder="1" applyAlignment="1">
      <alignment horizontal="center"/>
    </xf>
    <xf numFmtId="0" fontId="10" fillId="11" borderId="2" xfId="4" applyFill="1" applyBorder="1" applyAlignment="1">
      <alignment horizontal="center"/>
    </xf>
    <xf numFmtId="10" fontId="9" fillId="11" borderId="4" xfId="4" applyNumberFormat="1" applyFont="1" applyFill="1" applyBorder="1" applyAlignment="1">
      <alignment horizontal="center"/>
    </xf>
    <xf numFmtId="0" fontId="10" fillId="11" borderId="0" xfId="4" applyFill="1" applyAlignment="1">
      <alignment horizontal="center"/>
    </xf>
    <xf numFmtId="10" fontId="9" fillId="11" borderId="0" xfId="4" applyNumberFormat="1" applyFont="1" applyFill="1" applyAlignment="1">
      <alignment horizontal="center"/>
    </xf>
    <xf numFmtId="0" fontId="10" fillId="11" borderId="5" xfId="4" applyFill="1" applyBorder="1" applyAlignment="1">
      <alignment horizontal="center"/>
    </xf>
    <xf numFmtId="10" fontId="9" fillId="11" borderId="6" xfId="4" applyNumberFormat="1" applyFont="1" applyFill="1" applyBorder="1" applyAlignment="1">
      <alignment horizontal="center"/>
    </xf>
    <xf numFmtId="0" fontId="10" fillId="11" borderId="7" xfId="4" applyFill="1" applyBorder="1" applyAlignment="1">
      <alignment horizontal="center"/>
    </xf>
    <xf numFmtId="0" fontId="10" fillId="11" borderId="8" xfId="4" applyFill="1" applyBorder="1" applyAlignment="1">
      <alignment horizontal="center"/>
    </xf>
    <xf numFmtId="2" fontId="10" fillId="11" borderId="14" xfId="4" applyNumberFormat="1" applyFill="1" applyBorder="1"/>
    <xf numFmtId="0" fontId="9" fillId="11" borderId="14" xfId="4" applyFont="1" applyFill="1" applyBorder="1" applyAlignment="1">
      <alignment horizontal="right"/>
    </xf>
    <xf numFmtId="0" fontId="9" fillId="11" borderId="15" xfId="4" applyFont="1" applyFill="1" applyBorder="1" applyAlignment="1">
      <alignment horizontal="right"/>
    </xf>
    <xf numFmtId="9" fontId="10" fillId="17" borderId="4" xfId="4" applyNumberFormat="1" applyFill="1" applyBorder="1"/>
    <xf numFmtId="0" fontId="10" fillId="17" borderId="27" xfId="4" applyFill="1" applyBorder="1"/>
    <xf numFmtId="9" fontId="9" fillId="17" borderId="6" xfId="4" applyNumberFormat="1" applyFont="1" applyFill="1" applyBorder="1"/>
    <xf numFmtId="2" fontId="9" fillId="11" borderId="50" xfId="4" applyNumberFormat="1" applyFont="1" applyFill="1" applyBorder="1"/>
    <xf numFmtId="2" fontId="10" fillId="16" borderId="14" xfId="4" applyNumberFormat="1" applyFill="1" applyBorder="1"/>
    <xf numFmtId="166" fontId="21" fillId="10" borderId="4" xfId="6" applyNumberFormat="1" applyFill="1" applyBorder="1"/>
    <xf numFmtId="0" fontId="10" fillId="0" borderId="0" xfId="6" applyFont="1"/>
    <xf numFmtId="0" fontId="9" fillId="0" borderId="9" xfId="6" applyFont="1" applyBorder="1"/>
    <xf numFmtId="0" fontId="21" fillId="0" borderId="11" xfId="6" applyBorder="1"/>
    <xf numFmtId="0" fontId="9" fillId="0" borderId="12" xfId="6" applyFont="1" applyBorder="1"/>
    <xf numFmtId="0" fontId="9" fillId="0" borderId="11" xfId="6" applyFont="1" applyBorder="1"/>
    <xf numFmtId="0" fontId="21" fillId="22" borderId="5" xfId="6" applyFill="1" applyBorder="1"/>
    <xf numFmtId="2" fontId="21" fillId="22" borderId="5" xfId="6" applyNumberFormat="1" applyFill="1" applyBorder="1"/>
    <xf numFmtId="166" fontId="21" fillId="22" borderId="5" xfId="6" applyNumberFormat="1" applyFill="1" applyBorder="1"/>
    <xf numFmtId="166" fontId="9" fillId="14" borderId="7" xfId="6" applyNumberFormat="1" applyFont="1" applyFill="1" applyBorder="1"/>
    <xf numFmtId="2" fontId="9" fillId="22" borderId="8" xfId="6" applyNumberFormat="1" applyFont="1" applyFill="1" applyBorder="1"/>
    <xf numFmtId="0" fontId="21" fillId="10" borderId="26" xfId="6" applyFill="1" applyBorder="1"/>
    <xf numFmtId="166" fontId="21" fillId="10" borderId="0" xfId="6" applyNumberFormat="1" applyFill="1"/>
    <xf numFmtId="2" fontId="21" fillId="10" borderId="32" xfId="6" applyNumberFormat="1" applyFill="1" applyBorder="1"/>
    <xf numFmtId="2" fontId="21" fillId="10" borderId="29" xfId="6" applyNumberFormat="1" applyFill="1" applyBorder="1"/>
    <xf numFmtId="0" fontId="21" fillId="10" borderId="32" xfId="6" applyFill="1" applyBorder="1"/>
    <xf numFmtId="0" fontId="21" fillId="10" borderId="29" xfId="6" applyFill="1" applyBorder="1"/>
    <xf numFmtId="0" fontId="21" fillId="10" borderId="8" xfId="6" applyFill="1" applyBorder="1"/>
    <xf numFmtId="0" fontId="21" fillId="10" borderId="17" xfId="6" applyFill="1" applyBorder="1"/>
    <xf numFmtId="0" fontId="21" fillId="11" borderId="17" xfId="6" applyFill="1" applyBorder="1"/>
    <xf numFmtId="0" fontId="21" fillId="11" borderId="20" xfId="6" applyFill="1" applyBorder="1"/>
    <xf numFmtId="2" fontId="21" fillId="11" borderId="20" xfId="6" applyNumberFormat="1" applyFill="1" applyBorder="1"/>
    <xf numFmtId="2" fontId="21" fillId="11" borderId="29" xfId="6" applyNumberFormat="1" applyFill="1" applyBorder="1"/>
    <xf numFmtId="0" fontId="21" fillId="11" borderId="23" xfId="6" applyFill="1" applyBorder="1"/>
    <xf numFmtId="0" fontId="21" fillId="11" borderId="5" xfId="6" applyFill="1" applyBorder="1"/>
    <xf numFmtId="0" fontId="21" fillId="10" borderId="27" xfId="6" applyFill="1" applyBorder="1"/>
    <xf numFmtId="0" fontId="21" fillId="11" borderId="26" xfId="6" applyFill="1" applyBorder="1"/>
    <xf numFmtId="2" fontId="21" fillId="11" borderId="5" xfId="6" applyNumberFormat="1" applyFill="1" applyBorder="1"/>
    <xf numFmtId="2" fontId="21" fillId="11" borderId="8" xfId="6" applyNumberFormat="1" applyFill="1" applyBorder="1"/>
    <xf numFmtId="0" fontId="10" fillId="11" borderId="3" xfId="6" applyFont="1" applyFill="1" applyBorder="1"/>
    <xf numFmtId="0" fontId="10" fillId="11" borderId="5" xfId="6" applyFont="1" applyFill="1" applyBorder="1"/>
    <xf numFmtId="0" fontId="21" fillId="11" borderId="1" xfId="6" applyFill="1" applyBorder="1"/>
    <xf numFmtId="0" fontId="21" fillId="11" borderId="2" xfId="6" applyFill="1" applyBorder="1"/>
    <xf numFmtId="2" fontId="9" fillId="11" borderId="3" xfId="6" applyNumberFormat="1" applyFont="1" applyFill="1" applyBorder="1"/>
    <xf numFmtId="0" fontId="21" fillId="11" borderId="4" xfId="6" applyFill="1" applyBorder="1"/>
    <xf numFmtId="0" fontId="21" fillId="11" borderId="0" xfId="6" applyFill="1"/>
    <xf numFmtId="0" fontId="9" fillId="11" borderId="12" xfId="6" applyFont="1" applyFill="1" applyBorder="1"/>
    <xf numFmtId="0" fontId="9" fillId="11" borderId="4" xfId="6" applyFont="1" applyFill="1" applyBorder="1"/>
    <xf numFmtId="2" fontId="9" fillId="11" borderId="5" xfId="6" applyNumberFormat="1" applyFont="1" applyFill="1" applyBorder="1"/>
    <xf numFmtId="0" fontId="21" fillId="11" borderId="6" xfId="6" applyFill="1" applyBorder="1"/>
    <xf numFmtId="0" fontId="21" fillId="11" borderId="7" xfId="6" applyFill="1" applyBorder="1"/>
    <xf numFmtId="0" fontId="0" fillId="11" borderId="9" xfId="0" applyFill="1" applyBorder="1"/>
    <xf numFmtId="2" fontId="9" fillId="11" borderId="11" xfId="7" applyNumberFormat="1" applyFont="1" applyFill="1" applyBorder="1"/>
    <xf numFmtId="2" fontId="1" fillId="11" borderId="11" xfId="0" applyNumberFormat="1" applyFont="1" applyFill="1" applyBorder="1"/>
    <xf numFmtId="10" fontId="0" fillId="0" borderId="0" xfId="0" applyNumberFormat="1"/>
    <xf numFmtId="0" fontId="0" fillId="17" borderId="0" xfId="0" applyFill="1"/>
    <xf numFmtId="0" fontId="0" fillId="17" borderId="5" xfId="0" applyFill="1" applyBorder="1"/>
    <xf numFmtId="0" fontId="10" fillId="17" borderId="4" xfId="7" applyFill="1" applyBorder="1"/>
    <xf numFmtId="0" fontId="10" fillId="17" borderId="0" xfId="7" applyFill="1"/>
    <xf numFmtId="9" fontId="10" fillId="17" borderId="0" xfId="7" applyNumberFormat="1" applyFill="1"/>
    <xf numFmtId="10" fontId="0" fillId="17" borderId="0" xfId="0" applyNumberFormat="1" applyFill="1"/>
    <xf numFmtId="2" fontId="0" fillId="17" borderId="0" xfId="0" applyNumberFormat="1" applyFill="1"/>
    <xf numFmtId="2" fontId="0" fillId="17" borderId="5" xfId="0" applyNumberFormat="1" applyFill="1" applyBorder="1"/>
    <xf numFmtId="10" fontId="0" fillId="17" borderId="0" xfId="3" applyNumberFormat="1" applyFont="1" applyFill="1" applyBorder="1"/>
    <xf numFmtId="0" fontId="1" fillId="17" borderId="1" xfId="0" applyFont="1" applyFill="1" applyBorder="1"/>
    <xf numFmtId="0" fontId="1" fillId="17" borderId="2" xfId="0" applyFont="1" applyFill="1" applyBorder="1"/>
    <xf numFmtId="0" fontId="1" fillId="17" borderId="3" xfId="0" applyFont="1" applyFill="1" applyBorder="1"/>
    <xf numFmtId="0" fontId="1" fillId="17" borderId="6" xfId="0" applyFont="1" applyFill="1" applyBorder="1"/>
    <xf numFmtId="0" fontId="1" fillId="17" borderId="7" xfId="0" applyFont="1" applyFill="1" applyBorder="1"/>
    <xf numFmtId="0" fontId="1" fillId="17" borderId="8" xfId="0" applyFont="1" applyFill="1" applyBorder="1"/>
    <xf numFmtId="0" fontId="10" fillId="17" borderId="5" xfId="7" applyFill="1" applyBorder="1"/>
    <xf numFmtId="9" fontId="1" fillId="17" borderId="7" xfId="0" applyNumberFormat="1" applyFont="1" applyFill="1" applyBorder="1"/>
    <xf numFmtId="10" fontId="1" fillId="17" borderId="7" xfId="0" applyNumberFormat="1" applyFont="1" applyFill="1" applyBorder="1"/>
    <xf numFmtId="2" fontId="1" fillId="17" borderId="7" xfId="0" applyNumberFormat="1" applyFont="1" applyFill="1" applyBorder="1"/>
    <xf numFmtId="2" fontId="1" fillId="17" borderId="8" xfId="0" applyNumberFormat="1" applyFont="1" applyFill="1" applyBorder="1"/>
    <xf numFmtId="0" fontId="1" fillId="11" borderId="1" xfId="0" applyFont="1" applyFill="1" applyBorder="1"/>
    <xf numFmtId="0" fontId="1" fillId="11" borderId="2" xfId="0" applyFont="1" applyFill="1" applyBorder="1"/>
    <xf numFmtId="0" fontId="1" fillId="11" borderId="3" xfId="0" applyFont="1" applyFill="1" applyBorder="1"/>
    <xf numFmtId="0" fontId="1" fillId="11" borderId="6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10" fontId="0" fillId="11" borderId="4" xfId="3" applyNumberFormat="1" applyFont="1" applyFill="1" applyBorder="1"/>
    <xf numFmtId="10" fontId="0" fillId="11" borderId="0" xfId="3" applyNumberFormat="1" applyFont="1" applyFill="1" applyBorder="1"/>
    <xf numFmtId="2" fontId="0" fillId="11" borderId="0" xfId="0" applyNumberFormat="1" applyFill="1"/>
    <xf numFmtId="2" fontId="0" fillId="11" borderId="5" xfId="0" applyNumberFormat="1" applyFill="1" applyBorder="1"/>
    <xf numFmtId="10" fontId="0" fillId="11" borderId="6" xfId="0" applyNumberFormat="1" applyFill="1" applyBorder="1"/>
    <xf numFmtId="10" fontId="0" fillId="11" borderId="7" xfId="0" applyNumberFormat="1" applyFill="1" applyBorder="1"/>
    <xf numFmtId="2" fontId="0" fillId="11" borderId="7" xfId="0" applyNumberFormat="1" applyFill="1" applyBorder="1"/>
    <xf numFmtId="2" fontId="0" fillId="11" borderId="8" xfId="0" applyNumberFormat="1" applyFill="1" applyBorder="1"/>
    <xf numFmtId="0" fontId="10" fillId="18" borderId="4" xfId="7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10" fontId="0" fillId="18" borderId="0" xfId="3" applyNumberFormat="1" applyFont="1" applyFill="1" applyBorder="1"/>
    <xf numFmtId="169" fontId="0" fillId="18" borderId="0" xfId="3" applyNumberFormat="1" applyFont="1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10" fontId="0" fillId="18" borderId="5" xfId="3" applyNumberFormat="1" applyFont="1" applyFill="1" applyBorder="1"/>
    <xf numFmtId="169" fontId="0" fillId="18" borderId="5" xfId="3" applyNumberFormat="1" applyFont="1" applyFill="1" applyBorder="1"/>
    <xf numFmtId="10" fontId="0" fillId="18" borderId="4" xfId="3" applyNumberFormat="1" applyFont="1" applyFill="1" applyBorder="1"/>
    <xf numFmtId="0" fontId="10" fillId="18" borderId="1" xfId="7" applyFill="1" applyBorder="1"/>
    <xf numFmtId="10" fontId="0" fillId="18" borderId="1" xfId="3" applyNumberFormat="1" applyFont="1" applyFill="1" applyBorder="1"/>
    <xf numFmtId="10" fontId="0" fillId="18" borderId="2" xfId="3" applyNumberFormat="1" applyFont="1" applyFill="1" applyBorder="1"/>
    <xf numFmtId="169" fontId="0" fillId="18" borderId="2" xfId="3" applyNumberFormat="1" applyFont="1" applyFill="1" applyBorder="1"/>
    <xf numFmtId="169" fontId="0" fillId="18" borderId="3" xfId="3" applyNumberFormat="1" applyFont="1" applyFill="1" applyBorder="1"/>
    <xf numFmtId="0" fontId="10" fillId="18" borderId="6" xfId="7" applyFill="1" applyBorder="1"/>
    <xf numFmtId="10" fontId="0" fillId="18" borderId="6" xfId="3" applyNumberFormat="1" applyFont="1" applyFill="1" applyBorder="1"/>
    <xf numFmtId="10" fontId="0" fillId="18" borderId="7" xfId="3" applyNumberFormat="1" applyFont="1" applyFill="1" applyBorder="1"/>
    <xf numFmtId="169" fontId="0" fillId="18" borderId="7" xfId="3" applyNumberFormat="1" applyFont="1" applyFill="1" applyBorder="1"/>
    <xf numFmtId="169" fontId="0" fillId="18" borderId="8" xfId="3" applyNumberFormat="1" applyFont="1" applyFill="1" applyBorder="1"/>
    <xf numFmtId="0" fontId="1" fillId="18" borderId="1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0" fontId="1" fillId="18" borderId="6" xfId="0" applyFont="1" applyFill="1" applyBorder="1"/>
    <xf numFmtId="10" fontId="0" fillId="18" borderId="3" xfId="3" applyNumberFormat="1" applyFont="1" applyFill="1" applyBorder="1"/>
    <xf numFmtId="10" fontId="0" fillId="18" borderId="8" xfId="3" applyNumberFormat="1" applyFont="1" applyFill="1" applyBorder="1"/>
    <xf numFmtId="0" fontId="1" fillId="18" borderId="8" xfId="0" applyFont="1" applyFill="1" applyBorder="1"/>
    <xf numFmtId="10" fontId="1" fillId="18" borderId="6" xfId="0" applyNumberFormat="1" applyFont="1" applyFill="1" applyBorder="1"/>
    <xf numFmtId="10" fontId="1" fillId="18" borderId="7" xfId="0" applyNumberFormat="1" applyFont="1" applyFill="1" applyBorder="1"/>
    <xf numFmtId="10" fontId="1" fillId="18" borderId="8" xfId="0" applyNumberFormat="1" applyFont="1" applyFill="1" applyBorder="1"/>
    <xf numFmtId="10" fontId="1" fillId="18" borderId="15" xfId="0" applyNumberFormat="1" applyFont="1" applyFill="1" applyBorder="1"/>
    <xf numFmtId="10" fontId="1" fillId="18" borderId="14" xfId="0" applyNumberFormat="1" applyFont="1" applyFill="1" applyBorder="1"/>
    <xf numFmtId="0" fontId="0" fillId="18" borderId="9" xfId="0" applyFill="1" applyBorder="1"/>
    <xf numFmtId="10" fontId="0" fillId="18" borderId="11" xfId="3" applyNumberFormat="1" applyFont="1" applyFill="1" applyBorder="1"/>
    <xf numFmtId="0" fontId="1" fillId="0" borderId="1" xfId="0" applyFont="1" applyBorder="1"/>
    <xf numFmtId="0" fontId="1" fillId="0" borderId="3" xfId="0" applyFont="1" applyBorder="1"/>
    <xf numFmtId="10" fontId="8" fillId="18" borderId="11" xfId="3" applyNumberFormat="1" applyFont="1" applyFill="1" applyBorder="1"/>
    <xf numFmtId="10" fontId="0" fillId="18" borderId="12" xfId="0" applyNumberFormat="1" applyFill="1" applyBorder="1"/>
  </cellXfs>
  <cellStyles count="8">
    <cellStyle name="Bad" xfId="2" builtinId="27"/>
    <cellStyle name="Good" xfId="1" builtinId="26"/>
    <cellStyle name="Normal" xfId="0" builtinId="0"/>
    <cellStyle name="Normal 2" xfId="4" xr:uid="{A133D61C-3C3B-4030-B722-57F17306293E}"/>
    <cellStyle name="Normal 3" xfId="6" xr:uid="{A501D77E-3EC3-4F31-B139-53DC4A6A680D}"/>
    <cellStyle name="Normal 4" xfId="7" xr:uid="{20DE4077-A0B2-4C69-9388-EF6A57767ACF}"/>
    <cellStyle name="Percent" xfId="3" builtinId="5"/>
    <cellStyle name="Percent 2" xfId="5" xr:uid="{763AC9CE-3320-401F-8101-1ED2E52A2587}"/>
  </cellStyles>
  <dxfs count="0"/>
  <tableStyles count="0" defaultTableStyle="TableStyleMedium9" defaultPivotStyle="PivotStyleLight16"/>
  <colors>
    <mruColors>
      <color rgb="FF00CCFF"/>
      <color rgb="FF00FF00"/>
      <color rgb="FFFF99CC"/>
      <color rgb="FF96969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Drawdown!$AF$7:$AF$42</c:f>
              <c:strCache>
                <c:ptCount val="36"/>
                <c:pt idx="0">
                  <c:v> </c:v>
                </c:pt>
                <c:pt idx="5">
                  <c:v>Month 6</c:v>
                </c:pt>
                <c:pt idx="11">
                  <c:v>Month 12</c:v>
                </c:pt>
                <c:pt idx="17">
                  <c:v>Month 18</c:v>
                </c:pt>
                <c:pt idx="23">
                  <c:v>Month 24</c:v>
                </c:pt>
                <c:pt idx="29">
                  <c:v>Month 30</c:v>
                </c:pt>
                <c:pt idx="35">
                  <c:v>Month 36</c:v>
                </c:pt>
              </c:strCache>
            </c:strRef>
          </c:cat>
          <c:val>
            <c:numRef>
              <c:f>Drawdown!$AG$7:$AG$42</c:f>
              <c:numCache>
                <c:formatCode>0.0%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-9.000000000000008E-3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-1.4000000000000012E-2</c:v>
                </c:pt>
                <c:pt idx="9">
                  <c:v>0</c:v>
                </c:pt>
                <c:pt idx="10">
                  <c:v>-5.0000000000000044E-3</c:v>
                </c:pt>
                <c:pt idx="11">
                  <c:v>0</c:v>
                </c:pt>
                <c:pt idx="12">
                  <c:v>0</c:v>
                </c:pt>
                <c:pt idx="13">
                  <c:v>-3.7000000000000033E-2</c:v>
                </c:pt>
                <c:pt idx="14">
                  <c:v>-9.5742999999999912E-2</c:v>
                </c:pt>
                <c:pt idx="15">
                  <c:v>-8.3083401999999862E-2</c:v>
                </c:pt>
                <c:pt idx="16">
                  <c:v>-0.12801231530199997</c:v>
                </c:pt>
                <c:pt idx="17">
                  <c:v>-0.14632405668065795</c:v>
                </c:pt>
                <c:pt idx="18">
                  <c:v>-9.3396148194858752E-2</c:v>
                </c:pt>
                <c:pt idx="19">
                  <c:v>-4.0813124790160527E-2</c:v>
                </c:pt>
                <c:pt idx="20">
                  <c:v>-0.10220108480359036</c:v>
                </c:pt>
                <c:pt idx="21">
                  <c:v>-8.6938503245251431E-2</c:v>
                </c:pt>
                <c:pt idx="22">
                  <c:v>-9.0590749232270396E-2</c:v>
                </c:pt>
                <c:pt idx="23">
                  <c:v>-9.2409567733805931E-2</c:v>
                </c:pt>
                <c:pt idx="24">
                  <c:v>-0.11146896681139595</c:v>
                </c:pt>
                <c:pt idx="25">
                  <c:v>-0.10169512544632142</c:v>
                </c:pt>
                <c:pt idx="26">
                  <c:v>-5.9474796342298686E-2</c:v>
                </c:pt>
                <c:pt idx="27">
                  <c:v>-3.6902191454513789E-2</c:v>
                </c:pt>
                <c:pt idx="28">
                  <c:v>-5.1199637725127811E-3</c:v>
                </c:pt>
                <c:pt idx="29">
                  <c:v>-1.2084124026105147E-2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-2.0000000000000018E-3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D-4F80-885A-3DBADA6E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07072"/>
        <c:axId val="392309424"/>
      </c:areaChart>
      <c:catAx>
        <c:axId val="39230707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9424"/>
        <c:crosses val="autoZero"/>
        <c:auto val="1"/>
        <c:lblAlgn val="ctr"/>
        <c:lblOffset val="100"/>
        <c:noMultiLvlLbl val="0"/>
      </c:catAx>
      <c:valAx>
        <c:axId val="3923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Drawdown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Macaulay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'Fixed Income Risk'!$I$9:$I$28</c:f>
              <c:numCache>
                <c:formatCode>0.00</c:formatCode>
                <c:ptCount val="20"/>
                <c:pt idx="0">
                  <c:v>5.7971014492753632</c:v>
                </c:pt>
                <c:pt idx="1">
                  <c:v>5.6010642021984181</c:v>
                </c:pt>
                <c:pt idx="2">
                  <c:v>5.4116562340081344</c:v>
                </c:pt>
                <c:pt idx="3">
                  <c:v>5.2286533661914341</c:v>
                </c:pt>
                <c:pt idx="4">
                  <c:v>5.0518390011511451</c:v>
                </c:pt>
                <c:pt idx="5">
                  <c:v>4.8810038658465169</c:v>
                </c:pt>
                <c:pt idx="6">
                  <c:v>4.7159457641029148</c:v>
                </c:pt>
                <c:pt idx="7">
                  <c:v>4.5564693372975036</c:v>
                </c:pt>
                <c:pt idx="8">
                  <c:v>4.3078274759359951</c:v>
                </c:pt>
                <c:pt idx="9">
                  <c:v>4.1521228683720421</c:v>
                </c:pt>
                <c:pt idx="10">
                  <c:v>4.0020461381899208</c:v>
                </c:pt>
                <c:pt idx="11">
                  <c:v>3.8573938681348623</c:v>
                </c:pt>
                <c:pt idx="12">
                  <c:v>3.7179699933829995</c:v>
                </c:pt>
                <c:pt idx="13">
                  <c:v>3.5835855357908426</c:v>
                </c:pt>
                <c:pt idx="14">
                  <c:v>3.4540583477502098</c:v>
                </c:pt>
                <c:pt idx="15">
                  <c:v>3.3292128653014061</c:v>
                </c:pt>
                <c:pt idx="16">
                  <c:v>3.0802394751106212</c:v>
                </c:pt>
                <c:pt idx="17">
                  <c:v>2.9617687260679051</c:v>
                </c:pt>
                <c:pt idx="18">
                  <c:v>2.8478545442960623</c:v>
                </c:pt>
                <c:pt idx="19">
                  <c:v>48.377016297336958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D-440D-BD90-57FEF74A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87936"/>
        <c:axId val="403189504"/>
      </c:barChart>
      <c:catAx>
        <c:axId val="40318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9504"/>
        <c:crosses val="autoZero"/>
        <c:auto val="1"/>
        <c:lblAlgn val="ctr"/>
        <c:lblOffset val="100"/>
        <c:noMultiLvlLbl val="0"/>
      </c:catAx>
      <c:valAx>
        <c:axId val="403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Cash Flow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'Fixed Income Risk'!$D$9:$D$28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2A6-B9A9-9434CBD9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90288"/>
        <c:axId val="403021368"/>
      </c:barChart>
      <c:catAx>
        <c:axId val="4031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21368"/>
        <c:crosses val="autoZero"/>
        <c:auto val="1"/>
        <c:lblAlgn val="ctr"/>
        <c:lblOffset val="100"/>
        <c:noMultiLvlLbl val="0"/>
      </c:catAx>
      <c:valAx>
        <c:axId val="4030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47.emf"/><Relationship Id="rId3" Type="http://schemas.openxmlformats.org/officeDocument/2006/relationships/image" Target="../media/image40.wmf"/><Relationship Id="rId7" Type="http://schemas.openxmlformats.org/officeDocument/2006/relationships/image" Target="../media/image25.emf"/><Relationship Id="rId12" Type="http://schemas.openxmlformats.org/officeDocument/2006/relationships/image" Target="../media/image46.emf"/><Relationship Id="rId17" Type="http://schemas.openxmlformats.org/officeDocument/2006/relationships/image" Target="../media/image49.emf"/><Relationship Id="rId2" Type="http://schemas.openxmlformats.org/officeDocument/2006/relationships/image" Target="../media/image30.emf"/><Relationship Id="rId16" Type="http://schemas.openxmlformats.org/officeDocument/2006/relationships/image" Target="../media/image48.emf"/><Relationship Id="rId1" Type="http://schemas.openxmlformats.org/officeDocument/2006/relationships/image" Target="../media/image39.wmf"/><Relationship Id="rId6" Type="http://schemas.openxmlformats.org/officeDocument/2006/relationships/image" Target="../media/image42.wmf"/><Relationship Id="rId11" Type="http://schemas.openxmlformats.org/officeDocument/2006/relationships/image" Target="../media/image45.emf"/><Relationship Id="rId5" Type="http://schemas.openxmlformats.org/officeDocument/2006/relationships/image" Target="../media/image41.wmf"/><Relationship Id="rId15" Type="http://schemas.openxmlformats.org/officeDocument/2006/relationships/image" Target="../media/image16.wmf"/><Relationship Id="rId10" Type="http://schemas.openxmlformats.org/officeDocument/2006/relationships/image" Target="../media/image44.emf"/><Relationship Id="rId4" Type="http://schemas.openxmlformats.org/officeDocument/2006/relationships/image" Target="../media/image29.emf"/><Relationship Id="rId9" Type="http://schemas.openxmlformats.org/officeDocument/2006/relationships/image" Target="../media/image43.emf"/><Relationship Id="rId14" Type="http://schemas.openxmlformats.org/officeDocument/2006/relationships/image" Target="../media/image15.wmf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1.wmf"/><Relationship Id="rId1" Type="http://schemas.openxmlformats.org/officeDocument/2006/relationships/image" Target="../media/image50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wmf"/><Relationship Id="rId2" Type="http://schemas.openxmlformats.org/officeDocument/2006/relationships/image" Target="../media/image53.wmf"/><Relationship Id="rId1" Type="http://schemas.openxmlformats.org/officeDocument/2006/relationships/image" Target="../media/image52.wmf"/><Relationship Id="rId4" Type="http://schemas.openxmlformats.org/officeDocument/2006/relationships/image" Target="../media/image55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2.wmf"/><Relationship Id="rId1" Type="http://schemas.openxmlformats.org/officeDocument/2006/relationships/image" Target="../media/image3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wmf"/><Relationship Id="rId7" Type="http://schemas.openxmlformats.org/officeDocument/2006/relationships/image" Target="../media/image12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5.wmf"/><Relationship Id="rId5" Type="http://schemas.openxmlformats.org/officeDocument/2006/relationships/image" Target="../media/image6.wmf"/><Relationship Id="rId4" Type="http://schemas.openxmlformats.org/officeDocument/2006/relationships/image" Target="../media/image7.w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20.wmf"/><Relationship Id="rId13" Type="http://schemas.openxmlformats.org/officeDocument/2006/relationships/image" Target="../media/image7.wmf"/><Relationship Id="rId3" Type="http://schemas.openxmlformats.org/officeDocument/2006/relationships/image" Target="../media/image15.wmf"/><Relationship Id="rId7" Type="http://schemas.openxmlformats.org/officeDocument/2006/relationships/image" Target="../media/image19.wmf"/><Relationship Id="rId12" Type="http://schemas.openxmlformats.org/officeDocument/2006/relationships/image" Target="../media/image6.wmf"/><Relationship Id="rId2" Type="http://schemas.openxmlformats.org/officeDocument/2006/relationships/image" Target="../media/image14.wmf"/><Relationship Id="rId1" Type="http://schemas.openxmlformats.org/officeDocument/2006/relationships/image" Target="../media/image13.wmf"/><Relationship Id="rId6" Type="http://schemas.openxmlformats.org/officeDocument/2006/relationships/image" Target="../media/image18.wmf"/><Relationship Id="rId11" Type="http://schemas.openxmlformats.org/officeDocument/2006/relationships/image" Target="../media/image5.wmf"/><Relationship Id="rId5" Type="http://schemas.openxmlformats.org/officeDocument/2006/relationships/image" Target="../media/image17.wmf"/><Relationship Id="rId15" Type="http://schemas.openxmlformats.org/officeDocument/2006/relationships/image" Target="../media/image10.wmf"/><Relationship Id="rId10" Type="http://schemas.openxmlformats.org/officeDocument/2006/relationships/image" Target="../media/image12.wmf"/><Relationship Id="rId4" Type="http://schemas.openxmlformats.org/officeDocument/2006/relationships/image" Target="../media/image16.wmf"/><Relationship Id="rId9" Type="http://schemas.openxmlformats.org/officeDocument/2006/relationships/image" Target="../media/image21.wmf"/><Relationship Id="rId14" Type="http://schemas.openxmlformats.org/officeDocument/2006/relationships/image" Target="../media/image11.w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13" Type="http://schemas.openxmlformats.org/officeDocument/2006/relationships/image" Target="../media/image25.emf"/><Relationship Id="rId18" Type="http://schemas.openxmlformats.org/officeDocument/2006/relationships/image" Target="../media/image30.emf"/><Relationship Id="rId3" Type="http://schemas.openxmlformats.org/officeDocument/2006/relationships/image" Target="../media/image20.wmf"/><Relationship Id="rId7" Type="http://schemas.openxmlformats.org/officeDocument/2006/relationships/image" Target="../media/image13.wmf"/><Relationship Id="rId12" Type="http://schemas.openxmlformats.org/officeDocument/2006/relationships/image" Target="../media/image24.wmf"/><Relationship Id="rId17" Type="http://schemas.openxmlformats.org/officeDocument/2006/relationships/image" Target="../media/image29.emf"/><Relationship Id="rId2" Type="http://schemas.openxmlformats.org/officeDocument/2006/relationships/image" Target="../media/image22.wmf"/><Relationship Id="rId16" Type="http://schemas.openxmlformats.org/officeDocument/2006/relationships/image" Target="../media/image28.emf"/><Relationship Id="rId1" Type="http://schemas.openxmlformats.org/officeDocument/2006/relationships/image" Target="../media/image18.wmf"/><Relationship Id="rId6" Type="http://schemas.openxmlformats.org/officeDocument/2006/relationships/image" Target="../media/image19.wmf"/><Relationship Id="rId11" Type="http://schemas.openxmlformats.org/officeDocument/2006/relationships/image" Target="../media/image23.wmf"/><Relationship Id="rId5" Type="http://schemas.openxmlformats.org/officeDocument/2006/relationships/image" Target="../media/image15.wmf"/><Relationship Id="rId15" Type="http://schemas.openxmlformats.org/officeDocument/2006/relationships/image" Target="../media/image27.emf"/><Relationship Id="rId10" Type="http://schemas.openxmlformats.org/officeDocument/2006/relationships/image" Target="../media/image17.wmf"/><Relationship Id="rId4" Type="http://schemas.openxmlformats.org/officeDocument/2006/relationships/image" Target="../media/image21.wmf"/><Relationship Id="rId9" Type="http://schemas.openxmlformats.org/officeDocument/2006/relationships/image" Target="../media/image16.wmf"/><Relationship Id="rId14" Type="http://schemas.openxmlformats.org/officeDocument/2006/relationships/image" Target="../media/image26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13" Type="http://schemas.openxmlformats.org/officeDocument/2006/relationships/image" Target="../media/image31.emf"/><Relationship Id="rId18" Type="http://schemas.openxmlformats.org/officeDocument/2006/relationships/image" Target="../media/image26.emf"/><Relationship Id="rId3" Type="http://schemas.openxmlformats.org/officeDocument/2006/relationships/image" Target="../media/image20.wmf"/><Relationship Id="rId21" Type="http://schemas.openxmlformats.org/officeDocument/2006/relationships/image" Target="../media/image29.emf"/><Relationship Id="rId7" Type="http://schemas.openxmlformats.org/officeDocument/2006/relationships/image" Target="../media/image13.wmf"/><Relationship Id="rId12" Type="http://schemas.openxmlformats.org/officeDocument/2006/relationships/image" Target="../media/image24.wmf"/><Relationship Id="rId17" Type="http://schemas.openxmlformats.org/officeDocument/2006/relationships/image" Target="../media/image25.emf"/><Relationship Id="rId2" Type="http://schemas.openxmlformats.org/officeDocument/2006/relationships/image" Target="../media/image22.wmf"/><Relationship Id="rId16" Type="http://schemas.openxmlformats.org/officeDocument/2006/relationships/image" Target="../media/image34.emf"/><Relationship Id="rId20" Type="http://schemas.openxmlformats.org/officeDocument/2006/relationships/image" Target="../media/image28.emf"/><Relationship Id="rId1" Type="http://schemas.openxmlformats.org/officeDocument/2006/relationships/image" Target="../media/image18.wmf"/><Relationship Id="rId6" Type="http://schemas.openxmlformats.org/officeDocument/2006/relationships/image" Target="../media/image19.wmf"/><Relationship Id="rId11" Type="http://schemas.openxmlformats.org/officeDocument/2006/relationships/image" Target="../media/image23.wmf"/><Relationship Id="rId5" Type="http://schemas.openxmlformats.org/officeDocument/2006/relationships/image" Target="../media/image15.wmf"/><Relationship Id="rId15" Type="http://schemas.openxmlformats.org/officeDocument/2006/relationships/image" Target="../media/image33.wmf"/><Relationship Id="rId10" Type="http://schemas.openxmlformats.org/officeDocument/2006/relationships/image" Target="../media/image17.wmf"/><Relationship Id="rId19" Type="http://schemas.openxmlformats.org/officeDocument/2006/relationships/image" Target="../media/image27.emf"/><Relationship Id="rId4" Type="http://schemas.openxmlformats.org/officeDocument/2006/relationships/image" Target="../media/image21.wmf"/><Relationship Id="rId9" Type="http://schemas.openxmlformats.org/officeDocument/2006/relationships/image" Target="../media/image16.wmf"/><Relationship Id="rId14" Type="http://schemas.openxmlformats.org/officeDocument/2006/relationships/image" Target="../media/image32.wmf"/><Relationship Id="rId22" Type="http://schemas.openxmlformats.org/officeDocument/2006/relationships/image" Target="../media/image30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13" Type="http://schemas.openxmlformats.org/officeDocument/2006/relationships/image" Target="../media/image24.wmf"/><Relationship Id="rId18" Type="http://schemas.openxmlformats.org/officeDocument/2006/relationships/image" Target="../media/image25.emf"/><Relationship Id="rId3" Type="http://schemas.openxmlformats.org/officeDocument/2006/relationships/image" Target="../media/image35.emf"/><Relationship Id="rId21" Type="http://schemas.openxmlformats.org/officeDocument/2006/relationships/image" Target="../media/image28.emf"/><Relationship Id="rId7" Type="http://schemas.openxmlformats.org/officeDocument/2006/relationships/image" Target="../media/image13.wmf"/><Relationship Id="rId12" Type="http://schemas.openxmlformats.org/officeDocument/2006/relationships/image" Target="../media/image23.wmf"/><Relationship Id="rId17" Type="http://schemas.openxmlformats.org/officeDocument/2006/relationships/image" Target="../media/image38.emf"/><Relationship Id="rId2" Type="http://schemas.openxmlformats.org/officeDocument/2006/relationships/image" Target="../media/image19.wmf"/><Relationship Id="rId16" Type="http://schemas.openxmlformats.org/officeDocument/2006/relationships/image" Target="../media/image37.emf"/><Relationship Id="rId20" Type="http://schemas.openxmlformats.org/officeDocument/2006/relationships/image" Target="../media/image27.emf"/><Relationship Id="rId1" Type="http://schemas.openxmlformats.org/officeDocument/2006/relationships/image" Target="../media/image22.wmf"/><Relationship Id="rId6" Type="http://schemas.openxmlformats.org/officeDocument/2006/relationships/image" Target="../media/image16.wmf"/><Relationship Id="rId11" Type="http://schemas.openxmlformats.org/officeDocument/2006/relationships/image" Target="../media/image34.emf"/><Relationship Id="rId5" Type="http://schemas.openxmlformats.org/officeDocument/2006/relationships/image" Target="../media/image15.wmf"/><Relationship Id="rId15" Type="http://schemas.openxmlformats.org/officeDocument/2006/relationships/image" Target="../media/image36.emf"/><Relationship Id="rId23" Type="http://schemas.openxmlformats.org/officeDocument/2006/relationships/image" Target="../media/image30.emf"/><Relationship Id="rId10" Type="http://schemas.openxmlformats.org/officeDocument/2006/relationships/image" Target="../media/image33.wmf"/><Relationship Id="rId19" Type="http://schemas.openxmlformats.org/officeDocument/2006/relationships/image" Target="../media/image26.emf"/><Relationship Id="rId4" Type="http://schemas.openxmlformats.org/officeDocument/2006/relationships/image" Target="../media/image18.wmf"/><Relationship Id="rId9" Type="http://schemas.openxmlformats.org/officeDocument/2006/relationships/image" Target="../media/image17.wmf"/><Relationship Id="rId14" Type="http://schemas.openxmlformats.org/officeDocument/2006/relationships/image" Target="../media/image32.wmf"/><Relationship Id="rId22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60</xdr:row>
      <xdr:rowOff>95249</xdr:rowOff>
    </xdr:from>
    <xdr:to>
      <xdr:col>21</xdr:col>
      <xdr:colOff>428625</xdr:colOff>
      <xdr:row>64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1068050" y="10334624"/>
          <a:ext cx="2495550" cy="6572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Note the compounded quarterly dynamised return of 11.39% is equal to the annual return calculated using the initial 50% weights</a:t>
          </a:r>
        </a:p>
      </xdr:txBody>
    </xdr:sp>
    <xdr:clientData/>
  </xdr:twoCellAnchor>
  <xdr:twoCellAnchor>
    <xdr:from>
      <xdr:col>17</xdr:col>
      <xdr:colOff>523875</xdr:colOff>
      <xdr:row>54</xdr:row>
      <xdr:rowOff>0</xdr:rowOff>
    </xdr:from>
    <xdr:to>
      <xdr:col>19</xdr:col>
      <xdr:colOff>400050</xdr:colOff>
      <xdr:row>60</xdr:row>
      <xdr:rowOff>95249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2" idx="0"/>
        </xdr:cNvCxnSpPr>
      </xdr:nvCxnSpPr>
      <xdr:spPr>
        <a:xfrm flipH="1" flipV="1">
          <a:off x="11220450" y="9248775"/>
          <a:ext cx="1095375" cy="108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58</xdr:row>
      <xdr:rowOff>47625</xdr:rowOff>
    </xdr:from>
    <xdr:to>
      <xdr:col>19</xdr:col>
      <xdr:colOff>400050</xdr:colOff>
      <xdr:row>60</xdr:row>
      <xdr:rowOff>95249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stCxn id="2" idx="0"/>
        </xdr:cNvCxnSpPr>
      </xdr:nvCxnSpPr>
      <xdr:spPr>
        <a:xfrm flipH="1" flipV="1">
          <a:off x="9525000" y="9953625"/>
          <a:ext cx="2790825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361950</xdr:colOff>
          <xdr:row>16</xdr:row>
          <xdr:rowOff>28575</xdr:rowOff>
        </xdr:from>
        <xdr:to>
          <xdr:col>3</xdr:col>
          <xdr:colOff>552450</xdr:colOff>
          <xdr:row>17</xdr:row>
          <xdr:rowOff>123825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6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16</xdr:row>
          <xdr:rowOff>28575</xdr:rowOff>
        </xdr:from>
        <xdr:to>
          <xdr:col>2</xdr:col>
          <xdr:colOff>561975</xdr:colOff>
          <xdr:row>17</xdr:row>
          <xdr:rowOff>95250</xdr:rowOff>
        </xdr:to>
        <xdr:sp macro="" textlink="">
          <xdr:nvSpPr>
            <xdr:cNvPr id="30722" name="Object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6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6</xdr:row>
          <xdr:rowOff>95250</xdr:rowOff>
        </xdr:from>
        <xdr:to>
          <xdr:col>2</xdr:col>
          <xdr:colOff>361950</xdr:colOff>
          <xdr:row>7</xdr:row>
          <xdr:rowOff>161925</xdr:rowOff>
        </xdr:to>
        <xdr:sp macro="" textlink="">
          <xdr:nvSpPr>
            <xdr:cNvPr id="30723" name="Object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6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6</xdr:row>
          <xdr:rowOff>76200</xdr:rowOff>
        </xdr:from>
        <xdr:to>
          <xdr:col>3</xdr:col>
          <xdr:colOff>457200</xdr:colOff>
          <xdr:row>7</xdr:row>
          <xdr:rowOff>142875</xdr:rowOff>
        </xdr:to>
        <xdr:sp macro="" textlink="">
          <xdr:nvSpPr>
            <xdr:cNvPr id="30724" name="Object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6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</xdr:colOff>
          <xdr:row>6</xdr:row>
          <xdr:rowOff>57150</xdr:rowOff>
        </xdr:from>
        <xdr:to>
          <xdr:col>4</xdr:col>
          <xdr:colOff>371475</xdr:colOff>
          <xdr:row>7</xdr:row>
          <xdr:rowOff>123825</xdr:rowOff>
        </xdr:to>
        <xdr:sp macro="" textlink="">
          <xdr:nvSpPr>
            <xdr:cNvPr id="30725" name="Object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6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6</xdr:row>
          <xdr:rowOff>57150</xdr:rowOff>
        </xdr:from>
        <xdr:to>
          <xdr:col>5</xdr:col>
          <xdr:colOff>428625</xdr:colOff>
          <xdr:row>7</xdr:row>
          <xdr:rowOff>123825</xdr:rowOff>
        </xdr:to>
        <xdr:sp macro="" textlink="">
          <xdr:nvSpPr>
            <xdr:cNvPr id="30726" name="Object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6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285750</xdr:colOff>
          <xdr:row>6</xdr:row>
          <xdr:rowOff>47625</xdr:rowOff>
        </xdr:from>
        <xdr:to>
          <xdr:col>6</xdr:col>
          <xdr:colOff>438150</xdr:colOff>
          <xdr:row>7</xdr:row>
          <xdr:rowOff>114300</xdr:rowOff>
        </xdr:to>
        <xdr:sp macro="" textlink="">
          <xdr:nvSpPr>
            <xdr:cNvPr id="30727" name="Object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6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219075</xdr:colOff>
          <xdr:row>6</xdr:row>
          <xdr:rowOff>28575</xdr:rowOff>
        </xdr:from>
        <xdr:to>
          <xdr:col>7</xdr:col>
          <xdr:colOff>371475</xdr:colOff>
          <xdr:row>7</xdr:row>
          <xdr:rowOff>95250</xdr:rowOff>
        </xdr:to>
        <xdr:sp macro="" textlink="">
          <xdr:nvSpPr>
            <xdr:cNvPr id="30728" name="Object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6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314325</xdr:colOff>
          <xdr:row>5</xdr:row>
          <xdr:rowOff>114300</xdr:rowOff>
        </xdr:from>
        <xdr:to>
          <xdr:col>9</xdr:col>
          <xdr:colOff>466725</xdr:colOff>
          <xdr:row>7</xdr:row>
          <xdr:rowOff>19050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7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5</xdr:row>
          <xdr:rowOff>133350</xdr:rowOff>
        </xdr:from>
        <xdr:to>
          <xdr:col>8</xdr:col>
          <xdr:colOff>409575</xdr:colOff>
          <xdr:row>7</xdr:row>
          <xdr:rowOff>38100</xdr:rowOff>
        </xdr:to>
        <xdr:sp macro="" textlink="">
          <xdr:nvSpPr>
            <xdr:cNvPr id="31746" name="Object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7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295275</xdr:colOff>
          <xdr:row>5</xdr:row>
          <xdr:rowOff>133350</xdr:rowOff>
        </xdr:from>
        <xdr:to>
          <xdr:col>7</xdr:col>
          <xdr:colOff>428625</xdr:colOff>
          <xdr:row>7</xdr:row>
          <xdr:rowOff>38100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7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257175</xdr:colOff>
          <xdr:row>6</xdr:row>
          <xdr:rowOff>19050</xdr:rowOff>
        </xdr:from>
        <xdr:to>
          <xdr:col>6</xdr:col>
          <xdr:colOff>466725</xdr:colOff>
          <xdr:row>7</xdr:row>
          <xdr:rowOff>85725</xdr:rowOff>
        </xdr:to>
        <xdr:sp macro="" textlink="">
          <xdr:nvSpPr>
            <xdr:cNvPr id="31748" name="Object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7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6</xdr:row>
          <xdr:rowOff>0</xdr:rowOff>
        </xdr:from>
        <xdr:to>
          <xdr:col>5</xdr:col>
          <xdr:colOff>485775</xdr:colOff>
          <xdr:row>7</xdr:row>
          <xdr:rowOff>66675</xdr:rowOff>
        </xdr:to>
        <xdr:sp macro="" textlink="">
          <xdr:nvSpPr>
            <xdr:cNvPr id="31749" name="Object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7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5</xdr:row>
          <xdr:rowOff>142875</xdr:rowOff>
        </xdr:from>
        <xdr:to>
          <xdr:col>3</xdr:col>
          <xdr:colOff>514350</xdr:colOff>
          <xdr:row>7</xdr:row>
          <xdr:rowOff>47625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7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6</xdr:row>
          <xdr:rowOff>19050</xdr:rowOff>
        </xdr:from>
        <xdr:to>
          <xdr:col>2</xdr:col>
          <xdr:colOff>438150</xdr:colOff>
          <xdr:row>7</xdr:row>
          <xdr:rowOff>85725</xdr:rowOff>
        </xdr:to>
        <xdr:sp macro="" textlink="">
          <xdr:nvSpPr>
            <xdr:cNvPr id="31751" name="Object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7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257175</xdr:colOff>
          <xdr:row>7</xdr:row>
          <xdr:rowOff>28575</xdr:rowOff>
        </xdr:from>
        <xdr:to>
          <xdr:col>15</xdr:col>
          <xdr:colOff>409575</xdr:colOff>
          <xdr:row>8</xdr:row>
          <xdr:rowOff>47625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104775</xdr:colOff>
          <xdr:row>7</xdr:row>
          <xdr:rowOff>28575</xdr:rowOff>
        </xdr:from>
        <xdr:to>
          <xdr:col>16</xdr:col>
          <xdr:colOff>285750</xdr:colOff>
          <xdr:row>8</xdr:row>
          <xdr:rowOff>47625</xdr:rowOff>
        </xdr:to>
        <xdr:sp macro="" textlink="">
          <xdr:nvSpPr>
            <xdr:cNvPr id="32770" name="Object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8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142875</xdr:colOff>
          <xdr:row>7</xdr:row>
          <xdr:rowOff>47625</xdr:rowOff>
        </xdr:from>
        <xdr:to>
          <xdr:col>17</xdr:col>
          <xdr:colOff>295275</xdr:colOff>
          <xdr:row>8</xdr:row>
          <xdr:rowOff>9525</xdr:rowOff>
        </xdr:to>
        <xdr:sp macro="" textlink="">
          <xdr:nvSpPr>
            <xdr:cNvPr id="32771" name="Object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8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7</xdr:row>
          <xdr:rowOff>47625</xdr:rowOff>
        </xdr:from>
        <xdr:to>
          <xdr:col>18</xdr:col>
          <xdr:colOff>247650</xdr:colOff>
          <xdr:row>8</xdr:row>
          <xdr:rowOff>28575</xdr:rowOff>
        </xdr:to>
        <xdr:sp macro="" textlink="">
          <xdr:nvSpPr>
            <xdr:cNvPr id="32772" name="Object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8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276225</xdr:colOff>
          <xdr:row>7</xdr:row>
          <xdr:rowOff>19050</xdr:rowOff>
        </xdr:from>
        <xdr:to>
          <xdr:col>19</xdr:col>
          <xdr:colOff>495300</xdr:colOff>
          <xdr:row>8</xdr:row>
          <xdr:rowOff>47625</xdr:rowOff>
        </xdr:to>
        <xdr:sp macro="" textlink="">
          <xdr:nvSpPr>
            <xdr:cNvPr id="32773" name="Object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8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238125</xdr:colOff>
          <xdr:row>7</xdr:row>
          <xdr:rowOff>38100</xdr:rowOff>
        </xdr:from>
        <xdr:to>
          <xdr:col>22</xdr:col>
          <xdr:colOff>466725</xdr:colOff>
          <xdr:row>8</xdr:row>
          <xdr:rowOff>66675</xdr:rowOff>
        </xdr:to>
        <xdr:sp macro="" textlink="">
          <xdr:nvSpPr>
            <xdr:cNvPr id="32774" name="Object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8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228600</xdr:colOff>
          <xdr:row>7</xdr:row>
          <xdr:rowOff>38100</xdr:rowOff>
        </xdr:from>
        <xdr:to>
          <xdr:col>23</xdr:col>
          <xdr:colOff>409575</xdr:colOff>
          <xdr:row>8</xdr:row>
          <xdr:rowOff>66675</xdr:rowOff>
        </xdr:to>
        <xdr:sp macro="" textlink="">
          <xdr:nvSpPr>
            <xdr:cNvPr id="32775" name="Object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8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276225</xdr:colOff>
          <xdr:row>7</xdr:row>
          <xdr:rowOff>47625</xdr:rowOff>
        </xdr:from>
        <xdr:to>
          <xdr:col>20</xdr:col>
          <xdr:colOff>438150</xdr:colOff>
          <xdr:row>8</xdr:row>
          <xdr:rowOff>76200</xdr:rowOff>
        </xdr:to>
        <xdr:sp macro="" textlink="">
          <xdr:nvSpPr>
            <xdr:cNvPr id="32776" name="Object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8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276225</xdr:colOff>
          <xdr:row>7</xdr:row>
          <xdr:rowOff>47625</xdr:rowOff>
        </xdr:from>
        <xdr:to>
          <xdr:col>24</xdr:col>
          <xdr:colOff>438150</xdr:colOff>
          <xdr:row>8</xdr:row>
          <xdr:rowOff>76200</xdr:rowOff>
        </xdr:to>
        <xdr:sp macro="" textlink="">
          <xdr:nvSpPr>
            <xdr:cNvPr id="32777" name="Object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8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180975</xdr:colOff>
          <xdr:row>7</xdr:row>
          <xdr:rowOff>28575</xdr:rowOff>
        </xdr:from>
        <xdr:to>
          <xdr:col>21</xdr:col>
          <xdr:colOff>361950</xdr:colOff>
          <xdr:row>8</xdr:row>
          <xdr:rowOff>57150</xdr:rowOff>
        </xdr:to>
        <xdr:sp macro="" textlink="">
          <xdr:nvSpPr>
            <xdr:cNvPr id="32778" name="Object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8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209550</xdr:colOff>
          <xdr:row>7</xdr:row>
          <xdr:rowOff>38100</xdr:rowOff>
        </xdr:from>
        <xdr:to>
          <xdr:col>25</xdr:col>
          <xdr:colOff>390525</xdr:colOff>
          <xdr:row>8</xdr:row>
          <xdr:rowOff>66675</xdr:rowOff>
        </xdr:to>
        <xdr:sp macro="" textlink="">
          <xdr:nvSpPr>
            <xdr:cNvPr id="32779" name="Object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8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200025</xdr:colOff>
          <xdr:row>7</xdr:row>
          <xdr:rowOff>38100</xdr:rowOff>
        </xdr:from>
        <xdr:to>
          <xdr:col>2</xdr:col>
          <xdr:colOff>381000</xdr:colOff>
          <xdr:row>8</xdr:row>
          <xdr:rowOff>104775</xdr:rowOff>
        </xdr:to>
        <xdr:sp macro="" textlink="">
          <xdr:nvSpPr>
            <xdr:cNvPr id="32780" name="Object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8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7</xdr:row>
          <xdr:rowOff>38100</xdr:rowOff>
        </xdr:from>
        <xdr:to>
          <xdr:col>3</xdr:col>
          <xdr:colOff>381000</xdr:colOff>
          <xdr:row>8</xdr:row>
          <xdr:rowOff>104775</xdr:rowOff>
        </xdr:to>
        <xdr:sp macro="" textlink="">
          <xdr:nvSpPr>
            <xdr:cNvPr id="32781" name="Object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8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352425</xdr:colOff>
          <xdr:row>7</xdr:row>
          <xdr:rowOff>19050</xdr:rowOff>
        </xdr:from>
        <xdr:to>
          <xdr:col>4</xdr:col>
          <xdr:colOff>533400</xdr:colOff>
          <xdr:row>8</xdr:row>
          <xdr:rowOff>85725</xdr:rowOff>
        </xdr:to>
        <xdr:sp macro="" textlink="">
          <xdr:nvSpPr>
            <xdr:cNvPr id="32782" name="Object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8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7</xdr:row>
          <xdr:rowOff>38100</xdr:rowOff>
        </xdr:from>
        <xdr:to>
          <xdr:col>5</xdr:col>
          <xdr:colOff>514350</xdr:colOff>
          <xdr:row>8</xdr:row>
          <xdr:rowOff>104775</xdr:rowOff>
        </xdr:to>
        <xdr:sp macro="" textlink="">
          <xdr:nvSpPr>
            <xdr:cNvPr id="32783" name="Object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8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7</xdr:row>
          <xdr:rowOff>19050</xdr:rowOff>
        </xdr:from>
        <xdr:to>
          <xdr:col>6</xdr:col>
          <xdr:colOff>476250</xdr:colOff>
          <xdr:row>8</xdr:row>
          <xdr:rowOff>85725</xdr:rowOff>
        </xdr:to>
        <xdr:sp macro="" textlink="">
          <xdr:nvSpPr>
            <xdr:cNvPr id="32784" name="Object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8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7</xdr:row>
          <xdr:rowOff>38100</xdr:rowOff>
        </xdr:from>
        <xdr:to>
          <xdr:col>7</xdr:col>
          <xdr:colOff>438150</xdr:colOff>
          <xdr:row>8</xdr:row>
          <xdr:rowOff>104775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8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171450</xdr:colOff>
          <xdr:row>7</xdr:row>
          <xdr:rowOff>38100</xdr:rowOff>
        </xdr:from>
        <xdr:to>
          <xdr:col>24</xdr:col>
          <xdr:colOff>400050</xdr:colOff>
          <xdr:row>8</xdr:row>
          <xdr:rowOff>66675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9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209550</xdr:colOff>
          <xdr:row>7</xdr:row>
          <xdr:rowOff>47625</xdr:rowOff>
        </xdr:from>
        <xdr:to>
          <xdr:col>23</xdr:col>
          <xdr:colOff>371475</xdr:colOff>
          <xdr:row>8</xdr:row>
          <xdr:rowOff>76200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9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7</xdr:row>
          <xdr:rowOff>47625</xdr:rowOff>
        </xdr:from>
        <xdr:to>
          <xdr:col>26</xdr:col>
          <xdr:colOff>476250</xdr:colOff>
          <xdr:row>8</xdr:row>
          <xdr:rowOff>76200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9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238125</xdr:colOff>
          <xdr:row>7</xdr:row>
          <xdr:rowOff>28575</xdr:rowOff>
        </xdr:from>
        <xdr:to>
          <xdr:col>27</xdr:col>
          <xdr:colOff>419100</xdr:colOff>
          <xdr:row>8</xdr:row>
          <xdr:rowOff>57150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9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209550</xdr:colOff>
          <xdr:row>7</xdr:row>
          <xdr:rowOff>19050</xdr:rowOff>
        </xdr:from>
        <xdr:to>
          <xdr:col>18</xdr:col>
          <xdr:colOff>361950</xdr:colOff>
          <xdr:row>7</xdr:row>
          <xdr:rowOff>180975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9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266700</xdr:colOff>
          <xdr:row>7</xdr:row>
          <xdr:rowOff>38100</xdr:rowOff>
        </xdr:from>
        <xdr:to>
          <xdr:col>25</xdr:col>
          <xdr:colOff>447675</xdr:colOff>
          <xdr:row>8</xdr:row>
          <xdr:rowOff>66675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9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257175</xdr:colOff>
          <xdr:row>6</xdr:row>
          <xdr:rowOff>161925</xdr:rowOff>
        </xdr:from>
        <xdr:to>
          <xdr:col>16</xdr:col>
          <xdr:colOff>409575</xdr:colOff>
          <xdr:row>7</xdr:row>
          <xdr:rowOff>180975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  <a:ext uri="{FF2B5EF4-FFF2-40B4-BE49-F238E27FC236}">
                  <a16:creationId xmlns:a16="http://schemas.microsoft.com/office/drawing/2014/main" id="{00000000-0008-0000-1900-000007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6</xdr:row>
          <xdr:rowOff>161925</xdr:rowOff>
        </xdr:from>
        <xdr:to>
          <xdr:col>17</xdr:col>
          <xdr:colOff>352425</xdr:colOff>
          <xdr:row>7</xdr:row>
          <xdr:rowOff>180975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  <a:ext uri="{FF2B5EF4-FFF2-40B4-BE49-F238E27FC236}">
                  <a16:creationId xmlns:a16="http://schemas.microsoft.com/office/drawing/2014/main" id="{00000000-0008-0000-1900-00000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7</xdr:row>
          <xdr:rowOff>0</xdr:rowOff>
        </xdr:from>
        <xdr:to>
          <xdr:col>19</xdr:col>
          <xdr:colOff>352425</xdr:colOff>
          <xdr:row>7</xdr:row>
          <xdr:rowOff>180975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id="{00000000-0008-0000-19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209550</xdr:colOff>
          <xdr:row>7</xdr:row>
          <xdr:rowOff>19050</xdr:rowOff>
        </xdr:from>
        <xdr:to>
          <xdr:col>20</xdr:col>
          <xdr:colOff>428625</xdr:colOff>
          <xdr:row>8</xdr:row>
          <xdr:rowOff>47625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  <a:ext uri="{FF2B5EF4-FFF2-40B4-BE49-F238E27FC236}">
                  <a16:creationId xmlns:a16="http://schemas.microsoft.com/office/drawing/2014/main" id="{00000000-0008-0000-1900-00000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304800</xdr:colOff>
          <xdr:row>7</xdr:row>
          <xdr:rowOff>85725</xdr:rowOff>
        </xdr:from>
        <xdr:to>
          <xdr:col>21</xdr:col>
          <xdr:colOff>457200</xdr:colOff>
          <xdr:row>8</xdr:row>
          <xdr:rowOff>114300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  <a:ext uri="{FF2B5EF4-FFF2-40B4-BE49-F238E27FC236}">
                  <a16:creationId xmlns:a16="http://schemas.microsoft.com/office/drawing/2014/main" id="{00000000-0008-0000-1900-00000B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200025</xdr:colOff>
          <xdr:row>7</xdr:row>
          <xdr:rowOff>66675</xdr:rowOff>
        </xdr:from>
        <xdr:to>
          <xdr:col>22</xdr:col>
          <xdr:colOff>352425</xdr:colOff>
          <xdr:row>8</xdr:row>
          <xdr:rowOff>95250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  <a:ext uri="{FF2B5EF4-FFF2-40B4-BE49-F238E27FC236}">
                  <a16:creationId xmlns:a16="http://schemas.microsoft.com/office/drawing/2014/main" id="{00000000-0008-0000-1900-00000C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7</xdr:row>
          <xdr:rowOff>38100</xdr:rowOff>
        </xdr:from>
        <xdr:to>
          <xdr:col>2</xdr:col>
          <xdr:colOff>409575</xdr:colOff>
          <xdr:row>8</xdr:row>
          <xdr:rowOff>66675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9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238125</xdr:colOff>
          <xdr:row>7</xdr:row>
          <xdr:rowOff>66675</xdr:rowOff>
        </xdr:from>
        <xdr:to>
          <xdr:col>3</xdr:col>
          <xdr:colOff>428625</xdr:colOff>
          <xdr:row>8</xdr:row>
          <xdr:rowOff>95250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9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352425</xdr:colOff>
          <xdr:row>7</xdr:row>
          <xdr:rowOff>57150</xdr:rowOff>
        </xdr:from>
        <xdr:to>
          <xdr:col>4</xdr:col>
          <xdr:colOff>533400</xdr:colOff>
          <xdr:row>8</xdr:row>
          <xdr:rowOff>85725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  <a:ext uri="{FF2B5EF4-FFF2-40B4-BE49-F238E27FC236}">
                  <a16:creationId xmlns:a16="http://schemas.microsoft.com/office/drawing/2014/main" id="{00000000-0008-0000-1900-00000F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7</xdr:row>
          <xdr:rowOff>47625</xdr:rowOff>
        </xdr:from>
        <xdr:to>
          <xdr:col>5</xdr:col>
          <xdr:colOff>438150</xdr:colOff>
          <xdr:row>8</xdr:row>
          <xdr:rowOff>76200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  <a:ext uri="{FF2B5EF4-FFF2-40B4-BE49-F238E27FC236}">
                  <a16:creationId xmlns:a16="http://schemas.microsoft.com/office/drawing/2014/main" id="{00000000-0008-0000-1900-000010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333375</xdr:colOff>
          <xdr:row>7</xdr:row>
          <xdr:rowOff>47625</xdr:rowOff>
        </xdr:from>
        <xdr:to>
          <xdr:col>6</xdr:col>
          <xdr:colOff>457200</xdr:colOff>
          <xdr:row>8</xdr:row>
          <xdr:rowOff>76200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  <a:ext uri="{FF2B5EF4-FFF2-40B4-BE49-F238E27FC236}">
                  <a16:creationId xmlns:a16="http://schemas.microsoft.com/office/drawing/2014/main" id="{00000000-0008-0000-1900-00001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247650</xdr:colOff>
          <xdr:row>7</xdr:row>
          <xdr:rowOff>28575</xdr:rowOff>
        </xdr:from>
        <xdr:to>
          <xdr:col>7</xdr:col>
          <xdr:colOff>390525</xdr:colOff>
          <xdr:row>8</xdr:row>
          <xdr:rowOff>57150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  <a:ext uri="{FF2B5EF4-FFF2-40B4-BE49-F238E27FC236}">
                  <a16:creationId xmlns:a16="http://schemas.microsoft.com/office/drawing/2014/main" id="{00000000-0008-0000-1900-00001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171450</xdr:colOff>
          <xdr:row>7</xdr:row>
          <xdr:rowOff>38100</xdr:rowOff>
        </xdr:from>
        <xdr:to>
          <xdr:col>29</xdr:col>
          <xdr:colOff>400050</xdr:colOff>
          <xdr:row>8</xdr:row>
          <xdr:rowOff>66675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A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209550</xdr:colOff>
          <xdr:row>7</xdr:row>
          <xdr:rowOff>47625</xdr:rowOff>
        </xdr:from>
        <xdr:to>
          <xdr:col>27</xdr:col>
          <xdr:colOff>371475</xdr:colOff>
          <xdr:row>8</xdr:row>
          <xdr:rowOff>76200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A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314325</xdr:colOff>
          <xdr:row>7</xdr:row>
          <xdr:rowOff>47625</xdr:rowOff>
        </xdr:from>
        <xdr:to>
          <xdr:col>31</xdr:col>
          <xdr:colOff>476250</xdr:colOff>
          <xdr:row>8</xdr:row>
          <xdr:rowOff>76200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A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238125</xdr:colOff>
          <xdr:row>7</xdr:row>
          <xdr:rowOff>28575</xdr:rowOff>
        </xdr:from>
        <xdr:to>
          <xdr:col>32</xdr:col>
          <xdr:colOff>419100</xdr:colOff>
          <xdr:row>8</xdr:row>
          <xdr:rowOff>57150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A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209550</xdr:colOff>
          <xdr:row>7</xdr:row>
          <xdr:rowOff>19050</xdr:rowOff>
        </xdr:from>
        <xdr:to>
          <xdr:col>18</xdr:col>
          <xdr:colOff>361950</xdr:colOff>
          <xdr:row>7</xdr:row>
          <xdr:rowOff>180975</xdr:rowOff>
        </xdr:to>
        <xdr:sp macro="" textlink="">
          <xdr:nvSpPr>
            <xdr:cNvPr id="34821" name="Object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A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266700</xdr:colOff>
          <xdr:row>7</xdr:row>
          <xdr:rowOff>38100</xdr:rowOff>
        </xdr:from>
        <xdr:to>
          <xdr:col>30</xdr:col>
          <xdr:colOff>447675</xdr:colOff>
          <xdr:row>8</xdr:row>
          <xdr:rowOff>66675</xdr:rowOff>
        </xdr:to>
        <xdr:sp macro="" textlink="">
          <xdr:nvSpPr>
            <xdr:cNvPr id="34822" name="Object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A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257175</xdr:colOff>
          <xdr:row>6</xdr:row>
          <xdr:rowOff>161925</xdr:rowOff>
        </xdr:from>
        <xdr:to>
          <xdr:col>16</xdr:col>
          <xdr:colOff>409575</xdr:colOff>
          <xdr:row>7</xdr:row>
          <xdr:rowOff>180975</xdr:rowOff>
        </xdr:to>
        <xdr:sp macro="" textlink="">
          <xdr:nvSpPr>
            <xdr:cNvPr id="34823" name="Object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A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6</xdr:row>
          <xdr:rowOff>161925</xdr:rowOff>
        </xdr:from>
        <xdr:to>
          <xdr:col>17</xdr:col>
          <xdr:colOff>352425</xdr:colOff>
          <xdr:row>7</xdr:row>
          <xdr:rowOff>180975</xdr:rowOff>
        </xdr:to>
        <xdr:sp macro="" textlink="">
          <xdr:nvSpPr>
            <xdr:cNvPr id="34824" name="Object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A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7</xdr:row>
          <xdr:rowOff>0</xdr:rowOff>
        </xdr:from>
        <xdr:to>
          <xdr:col>19</xdr:col>
          <xdr:colOff>352425</xdr:colOff>
          <xdr:row>7</xdr:row>
          <xdr:rowOff>180975</xdr:rowOff>
        </xdr:to>
        <xdr:sp macro="" textlink="">
          <xdr:nvSpPr>
            <xdr:cNvPr id="34825" name="Object 9" hidden="1">
              <a:extLst>
                <a:ext uri="{63B3BB69-23CF-44E3-9099-C40C66FF867C}">
                  <a14:compatExt spid="_x0000_s34825"/>
                </a:ext>
                <a:ext uri="{FF2B5EF4-FFF2-40B4-BE49-F238E27FC236}">
                  <a16:creationId xmlns:a16="http://schemas.microsoft.com/office/drawing/2014/main" id="{00000000-0008-0000-1A00-00000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209550</xdr:colOff>
          <xdr:row>7</xdr:row>
          <xdr:rowOff>19050</xdr:rowOff>
        </xdr:from>
        <xdr:to>
          <xdr:col>20</xdr:col>
          <xdr:colOff>428625</xdr:colOff>
          <xdr:row>8</xdr:row>
          <xdr:rowOff>47625</xdr:rowOff>
        </xdr:to>
        <xdr:sp macro="" textlink="">
          <xdr:nvSpPr>
            <xdr:cNvPr id="34826" name="Object 10" hidden="1">
              <a:extLst>
                <a:ext uri="{63B3BB69-23CF-44E3-9099-C40C66FF867C}">
                  <a14:compatExt spid="_x0000_s34826"/>
                </a:ext>
                <a:ext uri="{FF2B5EF4-FFF2-40B4-BE49-F238E27FC236}">
                  <a16:creationId xmlns:a16="http://schemas.microsoft.com/office/drawing/2014/main" id="{00000000-0008-0000-1A00-00000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247650</xdr:colOff>
          <xdr:row>7</xdr:row>
          <xdr:rowOff>47625</xdr:rowOff>
        </xdr:from>
        <xdr:to>
          <xdr:col>24</xdr:col>
          <xdr:colOff>400050</xdr:colOff>
          <xdr:row>8</xdr:row>
          <xdr:rowOff>76200</xdr:rowOff>
        </xdr:to>
        <xdr:sp macro="" textlink="">
          <xdr:nvSpPr>
            <xdr:cNvPr id="34827" name="Object 11" hidden="1">
              <a:extLst>
                <a:ext uri="{63B3BB69-23CF-44E3-9099-C40C66FF867C}">
                  <a14:compatExt spid="_x0000_s34827"/>
                </a:ext>
                <a:ext uri="{FF2B5EF4-FFF2-40B4-BE49-F238E27FC236}">
                  <a16:creationId xmlns:a16="http://schemas.microsoft.com/office/drawing/2014/main" id="{00000000-0008-0000-1A00-00000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228600</xdr:colOff>
          <xdr:row>7</xdr:row>
          <xdr:rowOff>47625</xdr:rowOff>
        </xdr:from>
        <xdr:to>
          <xdr:col>25</xdr:col>
          <xdr:colOff>381000</xdr:colOff>
          <xdr:row>8</xdr:row>
          <xdr:rowOff>76200</xdr:rowOff>
        </xdr:to>
        <xdr:sp macro="" textlink="">
          <xdr:nvSpPr>
            <xdr:cNvPr id="34828" name="Object 12" hidden="1">
              <a:extLst>
                <a:ext uri="{63B3BB69-23CF-44E3-9099-C40C66FF867C}">
                  <a14:compatExt spid="_x0000_s34828"/>
                </a:ext>
                <a:ext uri="{FF2B5EF4-FFF2-40B4-BE49-F238E27FC236}">
                  <a16:creationId xmlns:a16="http://schemas.microsoft.com/office/drawing/2014/main" id="{00000000-0008-0000-1A00-00000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190500</xdr:colOff>
          <xdr:row>7</xdr:row>
          <xdr:rowOff>38100</xdr:rowOff>
        </xdr:from>
        <xdr:to>
          <xdr:col>28</xdr:col>
          <xdr:colOff>400050</xdr:colOff>
          <xdr:row>8</xdr:row>
          <xdr:rowOff>66675</xdr:rowOff>
        </xdr:to>
        <xdr:sp macro="" textlink="">
          <xdr:nvSpPr>
            <xdr:cNvPr id="34829" name="Object 13" hidden="1">
              <a:extLst>
                <a:ext uri="{63B3BB69-23CF-44E3-9099-C40C66FF867C}">
                  <a14:compatExt spid="_x0000_s34829"/>
                </a:ext>
                <a:ext uri="{FF2B5EF4-FFF2-40B4-BE49-F238E27FC236}">
                  <a16:creationId xmlns:a16="http://schemas.microsoft.com/office/drawing/2014/main" id="{00000000-0008-0000-1A00-00000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285750</xdr:colOff>
          <xdr:row>7</xdr:row>
          <xdr:rowOff>66675</xdr:rowOff>
        </xdr:from>
        <xdr:to>
          <xdr:col>26</xdr:col>
          <xdr:colOff>447675</xdr:colOff>
          <xdr:row>8</xdr:row>
          <xdr:rowOff>95250</xdr:rowOff>
        </xdr:to>
        <xdr:sp macro="" textlink="">
          <xdr:nvSpPr>
            <xdr:cNvPr id="34830" name="Object 14" hidden="1">
              <a:extLst>
                <a:ext uri="{63B3BB69-23CF-44E3-9099-C40C66FF867C}">
                  <a14:compatExt spid="_x0000_s34830"/>
                </a:ext>
                <a:ext uri="{FF2B5EF4-FFF2-40B4-BE49-F238E27FC236}">
                  <a16:creationId xmlns:a16="http://schemas.microsoft.com/office/drawing/2014/main" id="{00000000-0008-0000-1A00-00000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209550</xdr:colOff>
          <xdr:row>7</xdr:row>
          <xdr:rowOff>47625</xdr:rowOff>
        </xdr:from>
        <xdr:to>
          <xdr:col>21</xdr:col>
          <xdr:colOff>428625</xdr:colOff>
          <xdr:row>8</xdr:row>
          <xdr:rowOff>76200</xdr:rowOff>
        </xdr:to>
        <xdr:sp macro="" textlink="">
          <xdr:nvSpPr>
            <xdr:cNvPr id="34831" name="Object 15" hidden="1">
              <a:extLst>
                <a:ext uri="{63B3BB69-23CF-44E3-9099-C40C66FF867C}">
                  <a14:compatExt spid="_x0000_s34831"/>
                </a:ext>
                <a:ext uri="{FF2B5EF4-FFF2-40B4-BE49-F238E27FC236}">
                  <a16:creationId xmlns:a16="http://schemas.microsoft.com/office/drawing/2014/main" id="{00000000-0008-0000-1A00-00000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238125</xdr:colOff>
          <xdr:row>7</xdr:row>
          <xdr:rowOff>28575</xdr:rowOff>
        </xdr:from>
        <xdr:to>
          <xdr:col>22</xdr:col>
          <xdr:colOff>476250</xdr:colOff>
          <xdr:row>8</xdr:row>
          <xdr:rowOff>57150</xdr:rowOff>
        </xdr:to>
        <xdr:sp macro="" textlink="">
          <xdr:nvSpPr>
            <xdr:cNvPr id="34832" name="Object 16" hidden="1">
              <a:extLst>
                <a:ext uri="{63B3BB69-23CF-44E3-9099-C40C66FF867C}">
                  <a14:compatExt spid="_x0000_s34832"/>
                </a:ext>
                <a:ext uri="{FF2B5EF4-FFF2-40B4-BE49-F238E27FC236}">
                  <a16:creationId xmlns:a16="http://schemas.microsoft.com/office/drawing/2014/main" id="{00000000-0008-0000-1A00-000010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7</xdr:row>
          <xdr:rowOff>38100</xdr:rowOff>
        </xdr:from>
        <xdr:to>
          <xdr:col>2</xdr:col>
          <xdr:colOff>409575</xdr:colOff>
          <xdr:row>8</xdr:row>
          <xdr:rowOff>66675</xdr:rowOff>
        </xdr:to>
        <xdr:sp macro="" textlink="">
          <xdr:nvSpPr>
            <xdr:cNvPr id="34833" name="Object 17" hidden="1">
              <a:extLst>
                <a:ext uri="{63B3BB69-23CF-44E3-9099-C40C66FF867C}">
                  <a14:compatExt spid="_x0000_s34833"/>
                </a:ext>
                <a:ext uri="{FF2B5EF4-FFF2-40B4-BE49-F238E27FC236}">
                  <a16:creationId xmlns:a16="http://schemas.microsoft.com/office/drawing/2014/main" id="{00000000-0008-0000-1A00-00001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238125</xdr:colOff>
          <xdr:row>7</xdr:row>
          <xdr:rowOff>66675</xdr:rowOff>
        </xdr:from>
        <xdr:to>
          <xdr:col>3</xdr:col>
          <xdr:colOff>428625</xdr:colOff>
          <xdr:row>8</xdr:row>
          <xdr:rowOff>95250</xdr:rowOff>
        </xdr:to>
        <xdr:sp macro="" textlink="">
          <xdr:nvSpPr>
            <xdr:cNvPr id="34834" name="Object 18" hidden="1">
              <a:extLst>
                <a:ext uri="{63B3BB69-23CF-44E3-9099-C40C66FF867C}">
                  <a14:compatExt spid="_x0000_s34834"/>
                </a:ext>
                <a:ext uri="{FF2B5EF4-FFF2-40B4-BE49-F238E27FC236}">
                  <a16:creationId xmlns:a16="http://schemas.microsoft.com/office/drawing/2014/main" id="{00000000-0008-0000-1A00-00001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352425</xdr:colOff>
          <xdr:row>7</xdr:row>
          <xdr:rowOff>57150</xdr:rowOff>
        </xdr:from>
        <xdr:to>
          <xdr:col>4</xdr:col>
          <xdr:colOff>533400</xdr:colOff>
          <xdr:row>8</xdr:row>
          <xdr:rowOff>85725</xdr:rowOff>
        </xdr:to>
        <xdr:sp macro="" textlink="">
          <xdr:nvSpPr>
            <xdr:cNvPr id="34835" name="Object 19" hidden="1">
              <a:extLst>
                <a:ext uri="{63B3BB69-23CF-44E3-9099-C40C66FF867C}">
                  <a14:compatExt spid="_x0000_s34835"/>
                </a:ext>
                <a:ext uri="{FF2B5EF4-FFF2-40B4-BE49-F238E27FC236}">
                  <a16:creationId xmlns:a16="http://schemas.microsoft.com/office/drawing/2014/main" id="{00000000-0008-0000-1A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7</xdr:row>
          <xdr:rowOff>47625</xdr:rowOff>
        </xdr:from>
        <xdr:to>
          <xdr:col>5</xdr:col>
          <xdr:colOff>438150</xdr:colOff>
          <xdr:row>8</xdr:row>
          <xdr:rowOff>76200</xdr:rowOff>
        </xdr:to>
        <xdr:sp macro="" textlink="">
          <xdr:nvSpPr>
            <xdr:cNvPr id="34836" name="Object 20" hidden="1">
              <a:extLst>
                <a:ext uri="{63B3BB69-23CF-44E3-9099-C40C66FF867C}">
                  <a14:compatExt spid="_x0000_s34836"/>
                </a:ext>
                <a:ext uri="{FF2B5EF4-FFF2-40B4-BE49-F238E27FC236}">
                  <a16:creationId xmlns:a16="http://schemas.microsoft.com/office/drawing/2014/main" id="{00000000-0008-0000-1A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333375</xdr:colOff>
          <xdr:row>7</xdr:row>
          <xdr:rowOff>47625</xdr:rowOff>
        </xdr:from>
        <xdr:to>
          <xdr:col>6</xdr:col>
          <xdr:colOff>457200</xdr:colOff>
          <xdr:row>8</xdr:row>
          <xdr:rowOff>76200</xdr:rowOff>
        </xdr:to>
        <xdr:sp macro="" textlink="">
          <xdr:nvSpPr>
            <xdr:cNvPr id="34837" name="Object 21" hidden="1">
              <a:extLst>
                <a:ext uri="{63B3BB69-23CF-44E3-9099-C40C66FF867C}">
                  <a14:compatExt spid="_x0000_s34837"/>
                </a:ext>
                <a:ext uri="{FF2B5EF4-FFF2-40B4-BE49-F238E27FC236}">
                  <a16:creationId xmlns:a16="http://schemas.microsoft.com/office/drawing/2014/main" id="{00000000-0008-0000-1A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247650</xdr:colOff>
          <xdr:row>7</xdr:row>
          <xdr:rowOff>28575</xdr:rowOff>
        </xdr:from>
        <xdr:to>
          <xdr:col>7</xdr:col>
          <xdr:colOff>390525</xdr:colOff>
          <xdr:row>8</xdr:row>
          <xdr:rowOff>57150</xdr:rowOff>
        </xdr:to>
        <xdr:sp macro="" textlink="">
          <xdr:nvSpPr>
            <xdr:cNvPr id="34838" name="Object 22" hidden="1">
              <a:extLst>
                <a:ext uri="{63B3BB69-23CF-44E3-9099-C40C66FF867C}">
                  <a14:compatExt spid="_x0000_s34838"/>
                </a:ext>
                <a:ext uri="{FF2B5EF4-FFF2-40B4-BE49-F238E27FC236}">
                  <a16:creationId xmlns:a16="http://schemas.microsoft.com/office/drawing/2014/main" id="{00000000-0008-0000-1A00-00001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171450</xdr:colOff>
          <xdr:row>7</xdr:row>
          <xdr:rowOff>66675</xdr:rowOff>
        </xdr:from>
        <xdr:to>
          <xdr:col>28</xdr:col>
          <xdr:colOff>333375</xdr:colOff>
          <xdr:row>8</xdr:row>
          <xdr:rowOff>95250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B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209550</xdr:colOff>
          <xdr:row>7</xdr:row>
          <xdr:rowOff>47625</xdr:rowOff>
        </xdr:from>
        <xdr:to>
          <xdr:col>30</xdr:col>
          <xdr:colOff>390525</xdr:colOff>
          <xdr:row>8</xdr:row>
          <xdr:rowOff>76200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B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190500</xdr:colOff>
          <xdr:row>7</xdr:row>
          <xdr:rowOff>57150</xdr:rowOff>
        </xdr:from>
        <xdr:to>
          <xdr:col>29</xdr:col>
          <xdr:colOff>400050</xdr:colOff>
          <xdr:row>8</xdr:row>
          <xdr:rowOff>85725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B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209550</xdr:colOff>
          <xdr:row>7</xdr:row>
          <xdr:rowOff>38100</xdr:rowOff>
        </xdr:from>
        <xdr:to>
          <xdr:col>31</xdr:col>
          <xdr:colOff>438150</xdr:colOff>
          <xdr:row>8</xdr:row>
          <xdr:rowOff>66675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B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66675</xdr:colOff>
          <xdr:row>7</xdr:row>
          <xdr:rowOff>19050</xdr:rowOff>
        </xdr:from>
        <xdr:to>
          <xdr:col>19</xdr:col>
          <xdr:colOff>219075</xdr:colOff>
          <xdr:row>7</xdr:row>
          <xdr:rowOff>180975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B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161925</xdr:colOff>
          <xdr:row>7</xdr:row>
          <xdr:rowOff>0</xdr:rowOff>
        </xdr:from>
        <xdr:to>
          <xdr:col>20</xdr:col>
          <xdr:colOff>285750</xdr:colOff>
          <xdr:row>7</xdr:row>
          <xdr:rowOff>180975</xdr:rowOff>
        </xdr:to>
        <xdr:sp macro="" textlink="">
          <xdr:nvSpPr>
            <xdr:cNvPr id="35846" name="Object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B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266700</xdr:colOff>
          <xdr:row>6</xdr:row>
          <xdr:rowOff>180975</xdr:rowOff>
        </xdr:from>
        <xdr:to>
          <xdr:col>17</xdr:col>
          <xdr:colOff>419100</xdr:colOff>
          <xdr:row>8</xdr:row>
          <xdr:rowOff>0</xdr:rowOff>
        </xdr:to>
        <xdr:sp macro="" textlink="">
          <xdr:nvSpPr>
            <xdr:cNvPr id="35847" name="Object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B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142875</xdr:colOff>
          <xdr:row>6</xdr:row>
          <xdr:rowOff>171450</xdr:rowOff>
        </xdr:from>
        <xdr:to>
          <xdr:col>18</xdr:col>
          <xdr:colOff>323850</xdr:colOff>
          <xdr:row>7</xdr:row>
          <xdr:rowOff>190500</xdr:rowOff>
        </xdr:to>
        <xdr:sp macro="" textlink="">
          <xdr:nvSpPr>
            <xdr:cNvPr id="35848" name="Object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B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180975</xdr:colOff>
          <xdr:row>7</xdr:row>
          <xdr:rowOff>9525</xdr:rowOff>
        </xdr:from>
        <xdr:to>
          <xdr:col>21</xdr:col>
          <xdr:colOff>400050</xdr:colOff>
          <xdr:row>8</xdr:row>
          <xdr:rowOff>38100</xdr:rowOff>
        </xdr:to>
        <xdr:sp macro="" textlink="">
          <xdr:nvSpPr>
            <xdr:cNvPr id="35849" name="Object 9" hidden="1">
              <a:extLst>
                <a:ext uri="{63B3BB69-23CF-44E3-9099-C40C66FF867C}">
                  <a14:compatExt spid="_x0000_s35849"/>
                </a:ext>
                <a:ext uri="{FF2B5EF4-FFF2-40B4-BE49-F238E27FC236}">
                  <a16:creationId xmlns:a16="http://schemas.microsoft.com/office/drawing/2014/main" id="{00000000-0008-0000-1B00-000009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219075</xdr:colOff>
          <xdr:row>7</xdr:row>
          <xdr:rowOff>9525</xdr:rowOff>
        </xdr:from>
        <xdr:to>
          <xdr:col>22</xdr:col>
          <xdr:colOff>438150</xdr:colOff>
          <xdr:row>8</xdr:row>
          <xdr:rowOff>38100</xdr:rowOff>
        </xdr:to>
        <xdr:sp macro="" textlink="">
          <xdr:nvSpPr>
            <xdr:cNvPr id="35850" name="Object 10" hidden="1">
              <a:extLst>
                <a:ext uri="{63B3BB69-23CF-44E3-9099-C40C66FF867C}">
                  <a14:compatExt spid="_x0000_s35850"/>
                </a:ext>
                <a:ext uri="{FF2B5EF4-FFF2-40B4-BE49-F238E27FC236}">
                  <a16:creationId xmlns:a16="http://schemas.microsoft.com/office/drawing/2014/main" id="{00000000-0008-0000-1B00-00000A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219075</xdr:colOff>
          <xdr:row>7</xdr:row>
          <xdr:rowOff>28575</xdr:rowOff>
        </xdr:from>
        <xdr:to>
          <xdr:col>23</xdr:col>
          <xdr:colOff>457200</xdr:colOff>
          <xdr:row>8</xdr:row>
          <xdr:rowOff>57150</xdr:rowOff>
        </xdr:to>
        <xdr:sp macro="" textlink="">
          <xdr:nvSpPr>
            <xdr:cNvPr id="35851" name="Object 11" hidden="1">
              <a:extLst>
                <a:ext uri="{63B3BB69-23CF-44E3-9099-C40C66FF867C}">
                  <a14:compatExt spid="_x0000_s35851"/>
                </a:ext>
                <a:ext uri="{FF2B5EF4-FFF2-40B4-BE49-F238E27FC236}">
                  <a16:creationId xmlns:a16="http://schemas.microsoft.com/office/drawing/2014/main" id="{00000000-0008-0000-1B00-00000B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314325</xdr:colOff>
          <xdr:row>7</xdr:row>
          <xdr:rowOff>38100</xdr:rowOff>
        </xdr:from>
        <xdr:to>
          <xdr:col>24</xdr:col>
          <xdr:colOff>466725</xdr:colOff>
          <xdr:row>8</xdr:row>
          <xdr:rowOff>66675</xdr:rowOff>
        </xdr:to>
        <xdr:sp macro="" textlink="">
          <xdr:nvSpPr>
            <xdr:cNvPr id="35852" name="Object 12" hidden="1">
              <a:extLst>
                <a:ext uri="{63B3BB69-23CF-44E3-9099-C40C66FF867C}">
                  <a14:compatExt spid="_x0000_s35852"/>
                </a:ext>
                <a:ext uri="{FF2B5EF4-FFF2-40B4-BE49-F238E27FC236}">
                  <a16:creationId xmlns:a16="http://schemas.microsoft.com/office/drawing/2014/main" id="{00000000-0008-0000-1B00-00000C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257175</xdr:colOff>
          <xdr:row>7</xdr:row>
          <xdr:rowOff>47625</xdr:rowOff>
        </xdr:from>
        <xdr:to>
          <xdr:col>25</xdr:col>
          <xdr:colOff>409575</xdr:colOff>
          <xdr:row>8</xdr:row>
          <xdr:rowOff>76200</xdr:rowOff>
        </xdr:to>
        <xdr:sp macro="" textlink="">
          <xdr:nvSpPr>
            <xdr:cNvPr id="35853" name="Object 13" hidden="1">
              <a:extLst>
                <a:ext uri="{63B3BB69-23CF-44E3-9099-C40C66FF867C}">
                  <a14:compatExt spid="_x0000_s35853"/>
                </a:ext>
                <a:ext uri="{FF2B5EF4-FFF2-40B4-BE49-F238E27FC236}">
                  <a16:creationId xmlns:a16="http://schemas.microsoft.com/office/drawing/2014/main" id="{00000000-0008-0000-1B00-00000D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180975</xdr:colOff>
          <xdr:row>7</xdr:row>
          <xdr:rowOff>28575</xdr:rowOff>
        </xdr:from>
        <xdr:to>
          <xdr:col>27</xdr:col>
          <xdr:colOff>342900</xdr:colOff>
          <xdr:row>8</xdr:row>
          <xdr:rowOff>57150</xdr:rowOff>
        </xdr:to>
        <xdr:sp macro="" textlink="">
          <xdr:nvSpPr>
            <xdr:cNvPr id="35854" name="Object 14" hidden="1">
              <a:extLst>
                <a:ext uri="{63B3BB69-23CF-44E3-9099-C40C66FF867C}">
                  <a14:compatExt spid="_x0000_s35854"/>
                </a:ext>
                <a:ext uri="{FF2B5EF4-FFF2-40B4-BE49-F238E27FC236}">
                  <a16:creationId xmlns:a16="http://schemas.microsoft.com/office/drawing/2014/main" id="{00000000-0008-0000-1B00-00000E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161925</xdr:colOff>
          <xdr:row>7</xdr:row>
          <xdr:rowOff>47625</xdr:rowOff>
        </xdr:from>
        <xdr:to>
          <xdr:col>26</xdr:col>
          <xdr:colOff>352425</xdr:colOff>
          <xdr:row>8</xdr:row>
          <xdr:rowOff>76200</xdr:rowOff>
        </xdr:to>
        <xdr:sp macro="" textlink="">
          <xdr:nvSpPr>
            <xdr:cNvPr id="35855" name="Object 15" hidden="1">
              <a:extLst>
                <a:ext uri="{63B3BB69-23CF-44E3-9099-C40C66FF867C}">
                  <a14:compatExt spid="_x0000_s35855"/>
                </a:ext>
                <a:ext uri="{FF2B5EF4-FFF2-40B4-BE49-F238E27FC236}">
                  <a16:creationId xmlns:a16="http://schemas.microsoft.com/office/drawing/2014/main" id="{00000000-0008-0000-1B00-00000F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7</xdr:row>
          <xdr:rowOff>47625</xdr:rowOff>
        </xdr:from>
        <xdr:to>
          <xdr:col>32</xdr:col>
          <xdr:colOff>438150</xdr:colOff>
          <xdr:row>8</xdr:row>
          <xdr:rowOff>76200</xdr:rowOff>
        </xdr:to>
        <xdr:sp macro="" textlink="">
          <xdr:nvSpPr>
            <xdr:cNvPr id="35856" name="Object 16" hidden="1">
              <a:extLst>
                <a:ext uri="{63B3BB69-23CF-44E3-9099-C40C66FF867C}">
                  <a14:compatExt spid="_x0000_s35856"/>
                </a:ext>
                <a:ext uri="{FF2B5EF4-FFF2-40B4-BE49-F238E27FC236}">
                  <a16:creationId xmlns:a16="http://schemas.microsoft.com/office/drawing/2014/main" id="{00000000-0008-0000-1B00-000010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228600</xdr:colOff>
          <xdr:row>7</xdr:row>
          <xdr:rowOff>57150</xdr:rowOff>
        </xdr:from>
        <xdr:to>
          <xdr:col>33</xdr:col>
          <xdr:colOff>409575</xdr:colOff>
          <xdr:row>8</xdr:row>
          <xdr:rowOff>85725</xdr:rowOff>
        </xdr:to>
        <xdr:sp macro="" textlink="">
          <xdr:nvSpPr>
            <xdr:cNvPr id="35857" name="Object 17" hidden="1">
              <a:extLst>
                <a:ext uri="{63B3BB69-23CF-44E3-9099-C40C66FF867C}">
                  <a14:compatExt spid="_x0000_s35857"/>
                </a:ext>
                <a:ext uri="{FF2B5EF4-FFF2-40B4-BE49-F238E27FC236}">
                  <a16:creationId xmlns:a16="http://schemas.microsoft.com/office/drawing/2014/main" id="{00000000-0008-0000-1B00-00001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7</xdr:row>
          <xdr:rowOff>85725</xdr:rowOff>
        </xdr:from>
        <xdr:to>
          <xdr:col>8</xdr:col>
          <xdr:colOff>466725</xdr:colOff>
          <xdr:row>8</xdr:row>
          <xdr:rowOff>114300</xdr:rowOff>
        </xdr:to>
        <xdr:sp macro="" textlink="">
          <xdr:nvSpPr>
            <xdr:cNvPr id="35858" name="Object 18" hidden="1">
              <a:extLst>
                <a:ext uri="{63B3BB69-23CF-44E3-9099-C40C66FF867C}">
                  <a14:compatExt spid="_x0000_s35858"/>
                </a:ext>
                <a:ext uri="{FF2B5EF4-FFF2-40B4-BE49-F238E27FC236}">
                  <a16:creationId xmlns:a16="http://schemas.microsoft.com/office/drawing/2014/main" id="{00000000-0008-0000-1B00-00001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7</xdr:row>
          <xdr:rowOff>38100</xdr:rowOff>
        </xdr:from>
        <xdr:to>
          <xdr:col>2</xdr:col>
          <xdr:colOff>409575</xdr:colOff>
          <xdr:row>8</xdr:row>
          <xdr:rowOff>66675</xdr:rowOff>
        </xdr:to>
        <xdr:sp macro="" textlink="">
          <xdr:nvSpPr>
            <xdr:cNvPr id="35859" name="Object 19" hidden="1">
              <a:extLst>
                <a:ext uri="{63B3BB69-23CF-44E3-9099-C40C66FF867C}">
                  <a14:compatExt spid="_x0000_s35859"/>
                </a:ext>
                <a:ext uri="{FF2B5EF4-FFF2-40B4-BE49-F238E27FC236}">
                  <a16:creationId xmlns:a16="http://schemas.microsoft.com/office/drawing/2014/main" id="{00000000-0008-0000-1B00-00001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238125</xdr:colOff>
          <xdr:row>7</xdr:row>
          <xdr:rowOff>66675</xdr:rowOff>
        </xdr:from>
        <xdr:to>
          <xdr:col>3</xdr:col>
          <xdr:colOff>428625</xdr:colOff>
          <xdr:row>8</xdr:row>
          <xdr:rowOff>95250</xdr:rowOff>
        </xdr:to>
        <xdr:sp macro="" textlink="">
          <xdr:nvSpPr>
            <xdr:cNvPr id="35860" name="Object 20" hidden="1">
              <a:extLst>
                <a:ext uri="{63B3BB69-23CF-44E3-9099-C40C66FF867C}">
                  <a14:compatExt spid="_x0000_s35860"/>
                </a:ext>
                <a:ext uri="{FF2B5EF4-FFF2-40B4-BE49-F238E27FC236}">
                  <a16:creationId xmlns:a16="http://schemas.microsoft.com/office/drawing/2014/main" id="{00000000-0008-0000-1B00-00001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352425</xdr:colOff>
          <xdr:row>7</xdr:row>
          <xdr:rowOff>57150</xdr:rowOff>
        </xdr:from>
        <xdr:to>
          <xdr:col>4</xdr:col>
          <xdr:colOff>533400</xdr:colOff>
          <xdr:row>8</xdr:row>
          <xdr:rowOff>85725</xdr:rowOff>
        </xdr:to>
        <xdr:sp macro="" textlink="">
          <xdr:nvSpPr>
            <xdr:cNvPr id="35861" name="Object 21" hidden="1">
              <a:extLst>
                <a:ext uri="{63B3BB69-23CF-44E3-9099-C40C66FF867C}">
                  <a14:compatExt spid="_x0000_s35861"/>
                </a:ext>
                <a:ext uri="{FF2B5EF4-FFF2-40B4-BE49-F238E27FC236}">
                  <a16:creationId xmlns:a16="http://schemas.microsoft.com/office/drawing/2014/main" id="{00000000-0008-0000-1B00-00001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7</xdr:row>
          <xdr:rowOff>47625</xdr:rowOff>
        </xdr:from>
        <xdr:to>
          <xdr:col>5</xdr:col>
          <xdr:colOff>438150</xdr:colOff>
          <xdr:row>8</xdr:row>
          <xdr:rowOff>76200</xdr:rowOff>
        </xdr:to>
        <xdr:sp macro="" textlink="">
          <xdr:nvSpPr>
            <xdr:cNvPr id="35862" name="Object 22" hidden="1">
              <a:extLst>
                <a:ext uri="{63B3BB69-23CF-44E3-9099-C40C66FF867C}">
                  <a14:compatExt spid="_x0000_s35862"/>
                </a:ext>
                <a:ext uri="{FF2B5EF4-FFF2-40B4-BE49-F238E27FC236}">
                  <a16:creationId xmlns:a16="http://schemas.microsoft.com/office/drawing/2014/main" id="{00000000-0008-0000-1B00-00001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333375</xdr:colOff>
          <xdr:row>7</xdr:row>
          <xdr:rowOff>47625</xdr:rowOff>
        </xdr:from>
        <xdr:to>
          <xdr:col>6</xdr:col>
          <xdr:colOff>457200</xdr:colOff>
          <xdr:row>8</xdr:row>
          <xdr:rowOff>76200</xdr:rowOff>
        </xdr:to>
        <xdr:sp macro="" textlink="">
          <xdr:nvSpPr>
            <xdr:cNvPr id="35863" name="Object 23" hidden="1">
              <a:extLst>
                <a:ext uri="{63B3BB69-23CF-44E3-9099-C40C66FF867C}">
                  <a14:compatExt spid="_x0000_s35863"/>
                </a:ext>
                <a:ext uri="{FF2B5EF4-FFF2-40B4-BE49-F238E27FC236}">
                  <a16:creationId xmlns:a16="http://schemas.microsoft.com/office/drawing/2014/main" id="{00000000-0008-0000-1B00-00001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247650</xdr:colOff>
          <xdr:row>7</xdr:row>
          <xdr:rowOff>28575</xdr:rowOff>
        </xdr:from>
        <xdr:to>
          <xdr:col>7</xdr:col>
          <xdr:colOff>390525</xdr:colOff>
          <xdr:row>8</xdr:row>
          <xdr:rowOff>57150</xdr:rowOff>
        </xdr:to>
        <xdr:sp macro="" textlink="">
          <xdr:nvSpPr>
            <xdr:cNvPr id="35864" name="Object 24" hidden="1">
              <a:extLst>
                <a:ext uri="{63B3BB69-23CF-44E3-9099-C40C66FF867C}">
                  <a14:compatExt spid="_x0000_s35864"/>
                </a:ext>
                <a:ext uri="{FF2B5EF4-FFF2-40B4-BE49-F238E27FC236}">
                  <a16:creationId xmlns:a16="http://schemas.microsoft.com/office/drawing/2014/main" id="{00000000-0008-0000-1B00-00001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161925</xdr:colOff>
          <xdr:row>6</xdr:row>
          <xdr:rowOff>47625</xdr:rowOff>
        </xdr:from>
        <xdr:to>
          <xdr:col>10</xdr:col>
          <xdr:colOff>409575</xdr:colOff>
          <xdr:row>7</xdr:row>
          <xdr:rowOff>114300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C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304800</xdr:colOff>
          <xdr:row>6</xdr:row>
          <xdr:rowOff>47625</xdr:rowOff>
        </xdr:from>
        <xdr:to>
          <xdr:col>11</xdr:col>
          <xdr:colOff>447675</xdr:colOff>
          <xdr:row>7</xdr:row>
          <xdr:rowOff>114300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C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6</xdr:row>
          <xdr:rowOff>57150</xdr:rowOff>
        </xdr:from>
        <xdr:to>
          <xdr:col>12</xdr:col>
          <xdr:colOff>495300</xdr:colOff>
          <xdr:row>7</xdr:row>
          <xdr:rowOff>123825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  <a:ext uri="{FF2B5EF4-FFF2-40B4-BE49-F238E27FC236}">
                  <a16:creationId xmlns:a16="http://schemas.microsoft.com/office/drawing/2014/main" id="{00000000-0008-0000-1C00-000003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247650</xdr:colOff>
          <xdr:row>6</xdr:row>
          <xdr:rowOff>38100</xdr:rowOff>
        </xdr:from>
        <xdr:to>
          <xdr:col>9</xdr:col>
          <xdr:colOff>371475</xdr:colOff>
          <xdr:row>7</xdr:row>
          <xdr:rowOff>104775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  <a:ext uri="{FF2B5EF4-FFF2-40B4-BE49-F238E27FC236}">
                  <a16:creationId xmlns:a16="http://schemas.microsoft.com/office/drawing/2014/main" id="{00000000-0008-0000-1C00-000004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6</xdr:row>
          <xdr:rowOff>28575</xdr:rowOff>
        </xdr:from>
        <xdr:to>
          <xdr:col>6</xdr:col>
          <xdr:colOff>619125</xdr:colOff>
          <xdr:row>7</xdr:row>
          <xdr:rowOff>95250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  <a:ext uri="{FF2B5EF4-FFF2-40B4-BE49-F238E27FC236}">
                  <a16:creationId xmlns:a16="http://schemas.microsoft.com/office/drawing/2014/main" id="{00000000-0008-0000-1C00-000005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6</xdr:row>
          <xdr:rowOff>19050</xdr:rowOff>
        </xdr:from>
        <xdr:to>
          <xdr:col>7</xdr:col>
          <xdr:colOff>628650</xdr:colOff>
          <xdr:row>7</xdr:row>
          <xdr:rowOff>85725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  <a:ext uri="{FF2B5EF4-FFF2-40B4-BE49-F238E27FC236}">
                  <a16:creationId xmlns:a16="http://schemas.microsoft.com/office/drawing/2014/main" id="{00000000-0008-0000-1C00-000006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5</xdr:row>
          <xdr:rowOff>104775</xdr:rowOff>
        </xdr:from>
        <xdr:to>
          <xdr:col>2</xdr:col>
          <xdr:colOff>390525</xdr:colOff>
          <xdr:row>7</xdr:row>
          <xdr:rowOff>9525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C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257175</xdr:colOff>
          <xdr:row>5</xdr:row>
          <xdr:rowOff>114300</xdr:rowOff>
        </xdr:from>
        <xdr:to>
          <xdr:col>3</xdr:col>
          <xdr:colOff>447675</xdr:colOff>
          <xdr:row>7</xdr:row>
          <xdr:rowOff>19050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C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371475</xdr:colOff>
          <xdr:row>5</xdr:row>
          <xdr:rowOff>114300</xdr:rowOff>
        </xdr:from>
        <xdr:to>
          <xdr:col>4</xdr:col>
          <xdr:colOff>561975</xdr:colOff>
          <xdr:row>7</xdr:row>
          <xdr:rowOff>19050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  <a:ext uri="{FF2B5EF4-FFF2-40B4-BE49-F238E27FC236}">
                  <a16:creationId xmlns:a16="http://schemas.microsoft.com/office/drawing/2014/main" id="{00000000-0008-0000-1C00-000009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314325</xdr:colOff>
          <xdr:row>5</xdr:row>
          <xdr:rowOff>123825</xdr:rowOff>
        </xdr:from>
        <xdr:to>
          <xdr:col>5</xdr:col>
          <xdr:colOff>552450</xdr:colOff>
          <xdr:row>7</xdr:row>
          <xdr:rowOff>28575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  <a:ext uri="{FF2B5EF4-FFF2-40B4-BE49-F238E27FC236}">
                  <a16:creationId xmlns:a16="http://schemas.microsoft.com/office/drawing/2014/main" id="{00000000-0008-0000-1C00-00000A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285750</xdr:colOff>
          <xdr:row>6</xdr:row>
          <xdr:rowOff>38100</xdr:rowOff>
        </xdr:from>
        <xdr:to>
          <xdr:col>8</xdr:col>
          <xdr:colOff>438150</xdr:colOff>
          <xdr:row>7</xdr:row>
          <xdr:rowOff>104775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  <a:ext uri="{FF2B5EF4-FFF2-40B4-BE49-F238E27FC236}">
                  <a16:creationId xmlns:a16="http://schemas.microsoft.com/office/drawing/2014/main" id="{00000000-0008-0000-1C00-00000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247650</xdr:colOff>
          <xdr:row>6</xdr:row>
          <xdr:rowOff>9525</xdr:rowOff>
        </xdr:from>
        <xdr:to>
          <xdr:col>23</xdr:col>
          <xdr:colOff>428625</xdr:colOff>
          <xdr:row>7</xdr:row>
          <xdr:rowOff>76200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  <a:ext uri="{FF2B5EF4-FFF2-40B4-BE49-F238E27FC236}">
                  <a16:creationId xmlns:a16="http://schemas.microsoft.com/office/drawing/2014/main" id="{00000000-0008-0000-1C00-00000C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238125</xdr:colOff>
          <xdr:row>6</xdr:row>
          <xdr:rowOff>28575</xdr:rowOff>
        </xdr:from>
        <xdr:to>
          <xdr:col>22</xdr:col>
          <xdr:colOff>400050</xdr:colOff>
          <xdr:row>7</xdr:row>
          <xdr:rowOff>85725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  <a:ext uri="{FF2B5EF4-FFF2-40B4-BE49-F238E27FC236}">
                  <a16:creationId xmlns:a16="http://schemas.microsoft.com/office/drawing/2014/main" id="{00000000-0008-0000-1C00-00000D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123825</xdr:colOff>
          <xdr:row>6</xdr:row>
          <xdr:rowOff>19050</xdr:rowOff>
        </xdr:from>
        <xdr:to>
          <xdr:col>20</xdr:col>
          <xdr:colOff>276225</xdr:colOff>
          <xdr:row>7</xdr:row>
          <xdr:rowOff>19050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  <a:ext uri="{FF2B5EF4-FFF2-40B4-BE49-F238E27FC236}">
                  <a16:creationId xmlns:a16="http://schemas.microsoft.com/office/drawing/2014/main" id="{00000000-0008-0000-1C00-00000E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219075</xdr:colOff>
          <xdr:row>6</xdr:row>
          <xdr:rowOff>0</xdr:rowOff>
        </xdr:from>
        <xdr:to>
          <xdr:col>21</xdr:col>
          <xdr:colOff>342900</xdr:colOff>
          <xdr:row>7</xdr:row>
          <xdr:rowOff>19050</xdr:rowOff>
        </xdr:to>
        <xdr:sp macro="" textlink="">
          <xdr:nvSpPr>
            <xdr:cNvPr id="36879" name="Object 15" hidden="1">
              <a:extLst>
                <a:ext uri="{63B3BB69-23CF-44E3-9099-C40C66FF867C}">
                  <a14:compatExt spid="_x0000_s36879"/>
                </a:ext>
                <a:ext uri="{FF2B5EF4-FFF2-40B4-BE49-F238E27FC236}">
                  <a16:creationId xmlns:a16="http://schemas.microsoft.com/office/drawing/2014/main" id="{00000000-0008-0000-1C00-00000F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161925</xdr:colOff>
          <xdr:row>44</xdr:row>
          <xdr:rowOff>47625</xdr:rowOff>
        </xdr:from>
        <xdr:to>
          <xdr:col>10</xdr:col>
          <xdr:colOff>409575</xdr:colOff>
          <xdr:row>45</xdr:row>
          <xdr:rowOff>114300</xdr:rowOff>
        </xdr:to>
        <xdr:sp macro="" textlink="">
          <xdr:nvSpPr>
            <xdr:cNvPr id="36880" name="Object 16" hidden="1">
              <a:extLst>
                <a:ext uri="{63B3BB69-23CF-44E3-9099-C40C66FF867C}">
                  <a14:compatExt spid="_x0000_s36880"/>
                </a:ext>
                <a:ext uri="{FF2B5EF4-FFF2-40B4-BE49-F238E27FC236}">
                  <a16:creationId xmlns:a16="http://schemas.microsoft.com/office/drawing/2014/main" id="{00000000-0008-0000-1C00-000010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304800</xdr:colOff>
          <xdr:row>44</xdr:row>
          <xdr:rowOff>47625</xdr:rowOff>
        </xdr:from>
        <xdr:to>
          <xdr:col>11</xdr:col>
          <xdr:colOff>447675</xdr:colOff>
          <xdr:row>45</xdr:row>
          <xdr:rowOff>114300</xdr:rowOff>
        </xdr:to>
        <xdr:sp macro="" textlink="">
          <xdr:nvSpPr>
            <xdr:cNvPr id="36881" name="Object 17" hidden="1">
              <a:extLst>
                <a:ext uri="{63B3BB69-23CF-44E3-9099-C40C66FF867C}">
                  <a14:compatExt spid="_x0000_s36881"/>
                </a:ext>
                <a:ext uri="{FF2B5EF4-FFF2-40B4-BE49-F238E27FC236}">
                  <a16:creationId xmlns:a16="http://schemas.microsoft.com/office/drawing/2014/main" id="{00000000-0008-0000-1C00-00001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44</xdr:row>
          <xdr:rowOff>57150</xdr:rowOff>
        </xdr:from>
        <xdr:to>
          <xdr:col>12</xdr:col>
          <xdr:colOff>495300</xdr:colOff>
          <xdr:row>45</xdr:row>
          <xdr:rowOff>123825</xdr:rowOff>
        </xdr:to>
        <xdr:sp macro="" textlink="">
          <xdr:nvSpPr>
            <xdr:cNvPr id="36882" name="Object 18" hidden="1">
              <a:extLst>
                <a:ext uri="{63B3BB69-23CF-44E3-9099-C40C66FF867C}">
                  <a14:compatExt spid="_x0000_s36882"/>
                </a:ext>
                <a:ext uri="{FF2B5EF4-FFF2-40B4-BE49-F238E27FC236}">
                  <a16:creationId xmlns:a16="http://schemas.microsoft.com/office/drawing/2014/main" id="{00000000-0008-0000-1C00-00001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247650</xdr:colOff>
          <xdr:row>44</xdr:row>
          <xdr:rowOff>38100</xdr:rowOff>
        </xdr:from>
        <xdr:to>
          <xdr:col>9</xdr:col>
          <xdr:colOff>371475</xdr:colOff>
          <xdr:row>45</xdr:row>
          <xdr:rowOff>104775</xdr:rowOff>
        </xdr:to>
        <xdr:sp macro="" textlink="">
          <xdr:nvSpPr>
            <xdr:cNvPr id="36883" name="Object 19" hidden="1">
              <a:extLst>
                <a:ext uri="{63B3BB69-23CF-44E3-9099-C40C66FF867C}">
                  <a14:compatExt spid="_x0000_s36883"/>
                </a:ext>
                <a:ext uri="{FF2B5EF4-FFF2-40B4-BE49-F238E27FC236}">
                  <a16:creationId xmlns:a16="http://schemas.microsoft.com/office/drawing/2014/main" id="{00000000-0008-0000-1C00-000013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44</xdr:row>
          <xdr:rowOff>28575</xdr:rowOff>
        </xdr:from>
        <xdr:to>
          <xdr:col>6</xdr:col>
          <xdr:colOff>619125</xdr:colOff>
          <xdr:row>45</xdr:row>
          <xdr:rowOff>95250</xdr:rowOff>
        </xdr:to>
        <xdr:sp macro="" textlink="">
          <xdr:nvSpPr>
            <xdr:cNvPr id="36884" name="Object 20" hidden="1">
              <a:extLst>
                <a:ext uri="{63B3BB69-23CF-44E3-9099-C40C66FF867C}">
                  <a14:compatExt spid="_x0000_s36884"/>
                </a:ext>
                <a:ext uri="{FF2B5EF4-FFF2-40B4-BE49-F238E27FC236}">
                  <a16:creationId xmlns:a16="http://schemas.microsoft.com/office/drawing/2014/main" id="{00000000-0008-0000-1C00-000014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44</xdr:row>
          <xdr:rowOff>19050</xdr:rowOff>
        </xdr:from>
        <xdr:to>
          <xdr:col>7</xdr:col>
          <xdr:colOff>628650</xdr:colOff>
          <xdr:row>45</xdr:row>
          <xdr:rowOff>85725</xdr:rowOff>
        </xdr:to>
        <xdr:sp macro="" textlink="">
          <xdr:nvSpPr>
            <xdr:cNvPr id="36885" name="Object 21" hidden="1">
              <a:extLst>
                <a:ext uri="{63B3BB69-23CF-44E3-9099-C40C66FF867C}">
                  <a14:compatExt spid="_x0000_s36885"/>
                </a:ext>
                <a:ext uri="{FF2B5EF4-FFF2-40B4-BE49-F238E27FC236}">
                  <a16:creationId xmlns:a16="http://schemas.microsoft.com/office/drawing/2014/main" id="{00000000-0008-0000-1C00-000015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43</xdr:row>
          <xdr:rowOff>104775</xdr:rowOff>
        </xdr:from>
        <xdr:to>
          <xdr:col>2</xdr:col>
          <xdr:colOff>390525</xdr:colOff>
          <xdr:row>45</xdr:row>
          <xdr:rowOff>9525</xdr:rowOff>
        </xdr:to>
        <xdr:sp macro="" textlink="">
          <xdr:nvSpPr>
            <xdr:cNvPr id="36886" name="Object 22" hidden="1">
              <a:extLst>
                <a:ext uri="{63B3BB69-23CF-44E3-9099-C40C66FF867C}">
                  <a14:compatExt spid="_x0000_s36886"/>
                </a:ext>
                <a:ext uri="{FF2B5EF4-FFF2-40B4-BE49-F238E27FC236}">
                  <a16:creationId xmlns:a16="http://schemas.microsoft.com/office/drawing/2014/main" id="{00000000-0008-0000-1C00-000016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257175</xdr:colOff>
          <xdr:row>43</xdr:row>
          <xdr:rowOff>114300</xdr:rowOff>
        </xdr:from>
        <xdr:to>
          <xdr:col>3</xdr:col>
          <xdr:colOff>447675</xdr:colOff>
          <xdr:row>45</xdr:row>
          <xdr:rowOff>19050</xdr:rowOff>
        </xdr:to>
        <xdr:sp macro="" textlink="">
          <xdr:nvSpPr>
            <xdr:cNvPr id="36887" name="Object 23" hidden="1">
              <a:extLst>
                <a:ext uri="{63B3BB69-23CF-44E3-9099-C40C66FF867C}">
                  <a14:compatExt spid="_x0000_s36887"/>
                </a:ext>
                <a:ext uri="{FF2B5EF4-FFF2-40B4-BE49-F238E27FC236}">
                  <a16:creationId xmlns:a16="http://schemas.microsoft.com/office/drawing/2014/main" id="{00000000-0008-0000-1C00-00001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371475</xdr:colOff>
          <xdr:row>43</xdr:row>
          <xdr:rowOff>114300</xdr:rowOff>
        </xdr:from>
        <xdr:to>
          <xdr:col>4</xdr:col>
          <xdr:colOff>561975</xdr:colOff>
          <xdr:row>45</xdr:row>
          <xdr:rowOff>19050</xdr:rowOff>
        </xdr:to>
        <xdr:sp macro="" textlink="">
          <xdr:nvSpPr>
            <xdr:cNvPr id="36888" name="Object 24" hidden="1">
              <a:extLst>
                <a:ext uri="{63B3BB69-23CF-44E3-9099-C40C66FF867C}">
                  <a14:compatExt spid="_x0000_s36888"/>
                </a:ext>
                <a:ext uri="{FF2B5EF4-FFF2-40B4-BE49-F238E27FC236}">
                  <a16:creationId xmlns:a16="http://schemas.microsoft.com/office/drawing/2014/main" id="{00000000-0008-0000-1C00-00001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314325</xdr:colOff>
          <xdr:row>43</xdr:row>
          <xdr:rowOff>123825</xdr:rowOff>
        </xdr:from>
        <xdr:to>
          <xdr:col>5</xdr:col>
          <xdr:colOff>552450</xdr:colOff>
          <xdr:row>45</xdr:row>
          <xdr:rowOff>28575</xdr:rowOff>
        </xdr:to>
        <xdr:sp macro="" textlink="">
          <xdr:nvSpPr>
            <xdr:cNvPr id="36889" name="Object 25" hidden="1">
              <a:extLst>
                <a:ext uri="{63B3BB69-23CF-44E3-9099-C40C66FF867C}">
                  <a14:compatExt spid="_x0000_s36889"/>
                </a:ext>
                <a:ext uri="{FF2B5EF4-FFF2-40B4-BE49-F238E27FC236}">
                  <a16:creationId xmlns:a16="http://schemas.microsoft.com/office/drawing/2014/main" id="{00000000-0008-0000-1C00-000019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285750</xdr:colOff>
          <xdr:row>44</xdr:row>
          <xdr:rowOff>38100</xdr:rowOff>
        </xdr:from>
        <xdr:to>
          <xdr:col>8</xdr:col>
          <xdr:colOff>438150</xdr:colOff>
          <xdr:row>45</xdr:row>
          <xdr:rowOff>104775</xdr:rowOff>
        </xdr:to>
        <xdr:sp macro="" textlink="">
          <xdr:nvSpPr>
            <xdr:cNvPr id="36890" name="Object 26" hidden="1">
              <a:extLst>
                <a:ext uri="{63B3BB69-23CF-44E3-9099-C40C66FF867C}">
                  <a14:compatExt spid="_x0000_s36890"/>
                </a:ext>
                <a:ext uri="{FF2B5EF4-FFF2-40B4-BE49-F238E27FC236}">
                  <a16:creationId xmlns:a16="http://schemas.microsoft.com/office/drawing/2014/main" id="{00000000-0008-0000-1C00-00001A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247650</xdr:colOff>
          <xdr:row>44</xdr:row>
          <xdr:rowOff>9525</xdr:rowOff>
        </xdr:from>
        <xdr:to>
          <xdr:col>23</xdr:col>
          <xdr:colOff>428625</xdr:colOff>
          <xdr:row>45</xdr:row>
          <xdr:rowOff>76200</xdr:rowOff>
        </xdr:to>
        <xdr:sp macro="" textlink="">
          <xdr:nvSpPr>
            <xdr:cNvPr id="36891" name="Object 27" hidden="1">
              <a:extLst>
                <a:ext uri="{63B3BB69-23CF-44E3-9099-C40C66FF867C}">
                  <a14:compatExt spid="_x0000_s36891"/>
                </a:ext>
                <a:ext uri="{FF2B5EF4-FFF2-40B4-BE49-F238E27FC236}">
                  <a16:creationId xmlns:a16="http://schemas.microsoft.com/office/drawing/2014/main" id="{00000000-0008-0000-1C00-00001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238125</xdr:colOff>
          <xdr:row>44</xdr:row>
          <xdr:rowOff>28575</xdr:rowOff>
        </xdr:from>
        <xdr:to>
          <xdr:col>22</xdr:col>
          <xdr:colOff>400050</xdr:colOff>
          <xdr:row>45</xdr:row>
          <xdr:rowOff>85725</xdr:rowOff>
        </xdr:to>
        <xdr:sp macro="" textlink="">
          <xdr:nvSpPr>
            <xdr:cNvPr id="36892" name="Object 28" hidden="1">
              <a:extLst>
                <a:ext uri="{63B3BB69-23CF-44E3-9099-C40C66FF867C}">
                  <a14:compatExt spid="_x0000_s36892"/>
                </a:ext>
                <a:ext uri="{FF2B5EF4-FFF2-40B4-BE49-F238E27FC236}">
                  <a16:creationId xmlns:a16="http://schemas.microsoft.com/office/drawing/2014/main" id="{00000000-0008-0000-1C00-00001C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123825</xdr:colOff>
          <xdr:row>44</xdr:row>
          <xdr:rowOff>19050</xdr:rowOff>
        </xdr:from>
        <xdr:to>
          <xdr:col>20</xdr:col>
          <xdr:colOff>276225</xdr:colOff>
          <xdr:row>45</xdr:row>
          <xdr:rowOff>19050</xdr:rowOff>
        </xdr:to>
        <xdr:sp macro="" textlink="">
          <xdr:nvSpPr>
            <xdr:cNvPr id="36893" name="Object 29" hidden="1">
              <a:extLst>
                <a:ext uri="{63B3BB69-23CF-44E3-9099-C40C66FF867C}">
                  <a14:compatExt spid="_x0000_s36893"/>
                </a:ext>
                <a:ext uri="{FF2B5EF4-FFF2-40B4-BE49-F238E27FC236}">
                  <a16:creationId xmlns:a16="http://schemas.microsoft.com/office/drawing/2014/main" id="{00000000-0008-0000-1C00-00001D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219075</xdr:colOff>
          <xdr:row>44</xdr:row>
          <xdr:rowOff>0</xdr:rowOff>
        </xdr:from>
        <xdr:to>
          <xdr:col>21</xdr:col>
          <xdr:colOff>342900</xdr:colOff>
          <xdr:row>45</xdr:row>
          <xdr:rowOff>19050</xdr:rowOff>
        </xdr:to>
        <xdr:sp macro="" textlink="">
          <xdr:nvSpPr>
            <xdr:cNvPr id="36894" name="Object 30" hidden="1">
              <a:extLst>
                <a:ext uri="{63B3BB69-23CF-44E3-9099-C40C66FF867C}">
                  <a14:compatExt spid="_x0000_s36894"/>
                </a:ext>
                <a:ext uri="{FF2B5EF4-FFF2-40B4-BE49-F238E27FC236}">
                  <a16:creationId xmlns:a16="http://schemas.microsoft.com/office/drawing/2014/main" id="{00000000-0008-0000-1C00-00001E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209550</xdr:colOff>
          <xdr:row>44</xdr:row>
          <xdr:rowOff>47625</xdr:rowOff>
        </xdr:from>
        <xdr:to>
          <xdr:col>24</xdr:col>
          <xdr:colOff>400050</xdr:colOff>
          <xdr:row>45</xdr:row>
          <xdr:rowOff>104775</xdr:rowOff>
        </xdr:to>
        <xdr:sp macro="" textlink="">
          <xdr:nvSpPr>
            <xdr:cNvPr id="36895" name="Object 31" hidden="1">
              <a:extLst>
                <a:ext uri="{63B3BB69-23CF-44E3-9099-C40C66FF867C}">
                  <a14:compatExt spid="_x0000_s36895"/>
                </a:ext>
                <a:ext uri="{FF2B5EF4-FFF2-40B4-BE49-F238E27FC236}">
                  <a16:creationId xmlns:a16="http://schemas.microsoft.com/office/drawing/2014/main" id="{00000000-0008-0000-1C00-00001F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209550</xdr:colOff>
          <xdr:row>6</xdr:row>
          <xdr:rowOff>47625</xdr:rowOff>
        </xdr:from>
        <xdr:to>
          <xdr:col>24</xdr:col>
          <xdr:colOff>400050</xdr:colOff>
          <xdr:row>7</xdr:row>
          <xdr:rowOff>104775</xdr:rowOff>
        </xdr:to>
        <xdr:sp macro="" textlink="">
          <xdr:nvSpPr>
            <xdr:cNvPr id="36896" name="Object 32" hidden="1">
              <a:extLst>
                <a:ext uri="{63B3BB69-23CF-44E3-9099-C40C66FF867C}">
                  <a14:compatExt spid="_x0000_s36896"/>
                </a:ext>
                <a:ext uri="{FF2B5EF4-FFF2-40B4-BE49-F238E27FC236}">
                  <a16:creationId xmlns:a16="http://schemas.microsoft.com/office/drawing/2014/main" id="{00000000-0008-0000-1C00-000020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209550</xdr:colOff>
          <xdr:row>6</xdr:row>
          <xdr:rowOff>47625</xdr:rowOff>
        </xdr:from>
        <xdr:to>
          <xdr:col>25</xdr:col>
          <xdr:colOff>400050</xdr:colOff>
          <xdr:row>7</xdr:row>
          <xdr:rowOff>104775</xdr:rowOff>
        </xdr:to>
        <xdr:sp macro="" textlink="">
          <xdr:nvSpPr>
            <xdr:cNvPr id="36897" name="Object 33" hidden="1">
              <a:extLst>
                <a:ext uri="{63B3BB69-23CF-44E3-9099-C40C66FF867C}">
                  <a14:compatExt spid="_x0000_s36897"/>
                </a:ext>
                <a:ext uri="{FF2B5EF4-FFF2-40B4-BE49-F238E27FC236}">
                  <a16:creationId xmlns:a16="http://schemas.microsoft.com/office/drawing/2014/main" id="{00000000-0008-0000-1C00-00002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147</xdr:row>
      <xdr:rowOff>133350</xdr:rowOff>
    </xdr:from>
    <xdr:to>
      <xdr:col>7</xdr:col>
      <xdr:colOff>104775</xdr:colOff>
      <xdr:row>151</xdr:row>
      <xdr:rowOff>95250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 txBox="1">
          <a:spLocks noChangeArrowheads="1"/>
        </xdr:cNvSpPr>
      </xdr:nvSpPr>
      <xdr:spPr bwMode="auto">
        <a:xfrm>
          <a:off x="2952750" y="25012650"/>
          <a:ext cx="1847850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For illustration only.</a:t>
          </a:r>
        </a:p>
        <a:p>
          <a:pPr algn="l" rtl="1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Average weights are not used for attribution calculations</a:t>
          </a:r>
        </a:p>
      </xdr:txBody>
    </xdr:sp>
    <xdr:clientData/>
  </xdr:twoCellAnchor>
  <xdr:twoCellAnchor>
    <xdr:from>
      <xdr:col>3</xdr:col>
      <xdr:colOff>171450</xdr:colOff>
      <xdr:row>141</xdr:row>
      <xdr:rowOff>95250</xdr:rowOff>
    </xdr:from>
    <xdr:to>
      <xdr:col>3</xdr:col>
      <xdr:colOff>638175</xdr:colOff>
      <xdr:row>146</xdr:row>
      <xdr:rowOff>123825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2543175" y="23964900"/>
          <a:ext cx="466725" cy="847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20</xdr:row>
          <xdr:rowOff>0</xdr:rowOff>
        </xdr:from>
        <xdr:to>
          <xdr:col>15</xdr:col>
          <xdr:colOff>133350</xdr:colOff>
          <xdr:row>22</xdr:row>
          <xdr:rowOff>85725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F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147</xdr:row>
          <xdr:rowOff>66675</xdr:rowOff>
        </xdr:from>
        <xdr:to>
          <xdr:col>14</xdr:col>
          <xdr:colOff>695325</xdr:colOff>
          <xdr:row>149</xdr:row>
          <xdr:rowOff>76200</xdr:rowOff>
        </xdr:to>
        <xdr:sp macro="" textlink="">
          <xdr:nvSpPr>
            <xdr:cNvPr id="38914" name="Object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F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148</xdr:row>
      <xdr:rowOff>133350</xdr:rowOff>
    </xdr:from>
    <xdr:to>
      <xdr:col>7</xdr:col>
      <xdr:colOff>495300</xdr:colOff>
      <xdr:row>152</xdr:row>
      <xdr:rowOff>104775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 txBox="1">
          <a:spLocks noChangeArrowheads="1"/>
        </xdr:cNvSpPr>
      </xdr:nvSpPr>
      <xdr:spPr bwMode="auto">
        <a:xfrm>
          <a:off x="3133725" y="25212675"/>
          <a:ext cx="1847850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For illustration only.</a:t>
          </a:r>
        </a:p>
        <a:p>
          <a:pPr algn="l" rtl="1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Average weights are not used for attribution calculations</a:t>
          </a:r>
        </a:p>
      </xdr:txBody>
    </xdr:sp>
    <xdr:clientData/>
  </xdr:twoCellAnchor>
  <xdr:twoCellAnchor>
    <xdr:from>
      <xdr:col>3</xdr:col>
      <xdr:colOff>152400</xdr:colOff>
      <xdr:row>140</xdr:row>
      <xdr:rowOff>85725</xdr:rowOff>
    </xdr:from>
    <xdr:to>
      <xdr:col>5</xdr:col>
      <xdr:colOff>180975</xdr:colOff>
      <xdr:row>147</xdr:row>
      <xdr:rowOff>104775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2419350" y="23793450"/>
          <a:ext cx="819150" cy="1190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152</xdr:row>
          <xdr:rowOff>9525</xdr:rowOff>
        </xdr:from>
        <xdr:to>
          <xdr:col>13</xdr:col>
          <xdr:colOff>781050</xdr:colOff>
          <xdr:row>154</xdr:row>
          <xdr:rowOff>114300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0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156</xdr:row>
          <xdr:rowOff>28575</xdr:rowOff>
        </xdr:from>
        <xdr:to>
          <xdr:col>14</xdr:col>
          <xdr:colOff>9525</xdr:colOff>
          <xdr:row>158</xdr:row>
          <xdr:rowOff>133350</xdr:rowOff>
        </xdr:to>
        <xdr:sp macro="" textlink="">
          <xdr:nvSpPr>
            <xdr:cNvPr id="39938" name="Object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0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</xdr:colOff>
          <xdr:row>20</xdr:row>
          <xdr:rowOff>180975</xdr:rowOff>
        </xdr:from>
        <xdr:to>
          <xdr:col>16</xdr:col>
          <xdr:colOff>342900</xdr:colOff>
          <xdr:row>26</xdr:row>
          <xdr:rowOff>66675</xdr:rowOff>
        </xdr:to>
        <xdr:sp macro="" textlink="">
          <xdr:nvSpPr>
            <xdr:cNvPr id="39939" name="Object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0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147</xdr:row>
          <xdr:rowOff>85725</xdr:rowOff>
        </xdr:from>
        <xdr:to>
          <xdr:col>14</xdr:col>
          <xdr:colOff>819150</xdr:colOff>
          <xdr:row>149</xdr:row>
          <xdr:rowOff>114300</xdr:rowOff>
        </xdr:to>
        <xdr:sp macro="" textlink="">
          <xdr:nvSpPr>
            <xdr:cNvPr id="39940" name="Object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0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80961</xdr:colOff>
      <xdr:row>49</xdr:row>
      <xdr:rowOff>14286</xdr:rowOff>
    </xdr:from>
    <xdr:to>
      <xdr:col>29</xdr:col>
      <xdr:colOff>200024</xdr:colOff>
      <xdr:row>66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54</xdr:row>
      <xdr:rowOff>142875</xdr:rowOff>
    </xdr:from>
    <xdr:to>
      <xdr:col>15</xdr:col>
      <xdr:colOff>317500</xdr:colOff>
      <xdr:row>69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31</xdr:row>
      <xdr:rowOff>34925</xdr:rowOff>
    </xdr:from>
    <xdr:to>
      <xdr:col>14</xdr:col>
      <xdr:colOff>768350</xdr:colOff>
      <xdr:row>46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22</xdr:row>
      <xdr:rowOff>85725</xdr:rowOff>
    </xdr:from>
    <xdr:to>
      <xdr:col>16</xdr:col>
      <xdr:colOff>466725</xdr:colOff>
      <xdr:row>28</xdr:row>
      <xdr:rowOff>19050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9496425" y="3895725"/>
          <a:ext cx="1362075" cy="923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Ratios only - check to see if still equal to total of asset allocation and stock selection calculated separately</a:t>
          </a:r>
        </a:p>
      </xdr:txBody>
    </xdr:sp>
    <xdr:clientData/>
  </xdr:twoCellAnchor>
  <xdr:twoCellAnchor>
    <xdr:from>
      <xdr:col>13</xdr:col>
      <xdr:colOff>104775</xdr:colOff>
      <xdr:row>23</xdr:row>
      <xdr:rowOff>38100</xdr:rowOff>
    </xdr:from>
    <xdr:to>
      <xdr:col>14</xdr:col>
      <xdr:colOff>228600</xdr:colOff>
      <xdr:row>24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8562975" y="4010025"/>
          <a:ext cx="8382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219075</xdr:colOff>
          <xdr:row>6</xdr:row>
          <xdr:rowOff>38100</xdr:rowOff>
        </xdr:from>
        <xdr:to>
          <xdr:col>14</xdr:col>
          <xdr:colOff>400050</xdr:colOff>
          <xdr:row>7</xdr:row>
          <xdr:rowOff>104775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D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219075</xdr:colOff>
          <xdr:row>6</xdr:row>
          <xdr:rowOff>38100</xdr:rowOff>
        </xdr:from>
        <xdr:to>
          <xdr:col>14</xdr:col>
          <xdr:colOff>400050</xdr:colOff>
          <xdr:row>7</xdr:row>
          <xdr:rowOff>104775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219075</xdr:colOff>
          <xdr:row>40</xdr:row>
          <xdr:rowOff>38100</xdr:rowOff>
        </xdr:from>
        <xdr:to>
          <xdr:col>14</xdr:col>
          <xdr:colOff>400050</xdr:colOff>
          <xdr:row>41</xdr:row>
          <xdr:rowOff>104775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428625</xdr:colOff>
      <xdr:row>21</xdr:row>
      <xdr:rowOff>66675</xdr:rowOff>
    </xdr:from>
    <xdr:to>
      <xdr:col>40</xdr:col>
      <xdr:colOff>504825</xdr:colOff>
      <xdr:row>22</xdr:row>
      <xdr:rowOff>95250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25022175" y="3810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66675</xdr:rowOff>
    </xdr:from>
    <xdr:ext cx="76200" cy="2000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305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30</xdr:row>
      <xdr:rowOff>47625</xdr:rowOff>
    </xdr:from>
    <xdr:to>
      <xdr:col>5</xdr:col>
      <xdr:colOff>314325</xdr:colOff>
      <xdr:row>31</xdr:row>
      <xdr:rowOff>85725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3962400" y="511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571500</xdr:colOff>
      <xdr:row>26</xdr:row>
      <xdr:rowOff>142875</xdr:rowOff>
    </xdr:from>
    <xdr:to>
      <xdr:col>6</xdr:col>
      <xdr:colOff>9525</xdr:colOff>
      <xdr:row>30</xdr:row>
      <xdr:rowOff>114300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1181100" y="4543425"/>
          <a:ext cx="3162300" cy="638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Long form attribution - may not match investment decision process but helps quantify various impacts within the portfolio.</a:t>
          </a:r>
        </a:p>
      </xdr:txBody>
    </xdr:sp>
    <xdr:clientData/>
  </xdr:twoCellAnchor>
  <xdr:twoCellAnchor>
    <xdr:from>
      <xdr:col>6</xdr:col>
      <xdr:colOff>295275</xdr:colOff>
      <xdr:row>17</xdr:row>
      <xdr:rowOff>123825</xdr:rowOff>
    </xdr:from>
    <xdr:to>
      <xdr:col>8</xdr:col>
      <xdr:colOff>0</xdr:colOff>
      <xdr:row>25</xdr:row>
      <xdr:rowOff>190500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ShapeType="1"/>
        </xdr:cNvSpPr>
      </xdr:nvSpPr>
      <xdr:spPr bwMode="auto">
        <a:xfrm flipV="1">
          <a:off x="4629150" y="3019425"/>
          <a:ext cx="600075" cy="137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133350</xdr:colOff>
      <xdr:row>27</xdr:row>
      <xdr:rowOff>76200</xdr:rowOff>
    </xdr:from>
    <xdr:to>
      <xdr:col>20</xdr:col>
      <xdr:colOff>314325</xdr:colOff>
      <xdr:row>30</xdr:row>
      <xdr:rowOff>85725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 txBox="1">
          <a:spLocks noChangeArrowheads="1"/>
        </xdr:cNvSpPr>
      </xdr:nvSpPr>
      <xdr:spPr bwMode="auto">
        <a:xfrm>
          <a:off x="11068050" y="4648200"/>
          <a:ext cx="2009775" cy="504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Note different semi-notional funds based on different decision process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23</xdr:row>
      <xdr:rowOff>85725</xdr:rowOff>
    </xdr:from>
    <xdr:to>
      <xdr:col>16</xdr:col>
      <xdr:colOff>600075</xdr:colOff>
      <xdr:row>26</xdr:row>
      <xdr:rowOff>66675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10372725" y="3962400"/>
          <a:ext cx="55245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514350</xdr:colOff>
      <xdr:row>24</xdr:row>
      <xdr:rowOff>0</xdr:rowOff>
    </xdr:from>
    <xdr:to>
      <xdr:col>22</xdr:col>
      <xdr:colOff>76200</xdr:colOff>
      <xdr:row>27</xdr:row>
      <xdr:rowOff>47625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ShapeType="1"/>
        </xdr:cNvSpPr>
      </xdr:nvSpPr>
      <xdr:spPr bwMode="auto">
        <a:xfrm flipV="1">
          <a:off x="13277850" y="4038600"/>
          <a:ext cx="781050" cy="581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55</xdr:row>
      <xdr:rowOff>57150</xdr:rowOff>
    </xdr:from>
    <xdr:to>
      <xdr:col>16</xdr:col>
      <xdr:colOff>552450</xdr:colOff>
      <xdr:row>61</xdr:row>
      <xdr:rowOff>123825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>
          <a:spLocks noChangeArrowheads="1"/>
        </xdr:cNvSpPr>
      </xdr:nvSpPr>
      <xdr:spPr bwMode="auto">
        <a:xfrm>
          <a:off x="8172450" y="9372600"/>
          <a:ext cx="2705100" cy="1047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This approach assumes that UK Equity manager is responsible for UK futures decsion.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UK stock selection is impacted as a consequence</a:t>
          </a:r>
        </a:p>
      </xdr:txBody>
    </xdr:sp>
    <xdr:clientData/>
  </xdr:twoCellAnchor>
  <xdr:twoCellAnchor>
    <xdr:from>
      <xdr:col>12</xdr:col>
      <xdr:colOff>495300</xdr:colOff>
      <xdr:row>83</xdr:row>
      <xdr:rowOff>57150</xdr:rowOff>
    </xdr:from>
    <xdr:to>
      <xdr:col>16</xdr:col>
      <xdr:colOff>47625</xdr:colOff>
      <xdr:row>86</xdr:row>
      <xdr:rowOff>133350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>
          <a:spLocks noChangeArrowheads="1"/>
        </xdr:cNvSpPr>
      </xdr:nvSpPr>
      <xdr:spPr bwMode="auto">
        <a:xfrm>
          <a:off x="8172450" y="14106525"/>
          <a:ext cx="2200275" cy="561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My preferred presentation which quantifies the major elements of the decision process.</a:t>
          </a:r>
        </a:p>
      </xdr:txBody>
    </xdr:sp>
    <xdr:clientData/>
  </xdr:twoCellAnchor>
  <xdr:twoCellAnchor>
    <xdr:from>
      <xdr:col>11</xdr:col>
      <xdr:colOff>561975</xdr:colOff>
      <xdr:row>79</xdr:row>
      <xdr:rowOff>28575</xdr:rowOff>
    </xdr:from>
    <xdr:to>
      <xdr:col>12</xdr:col>
      <xdr:colOff>409575</xdr:colOff>
      <xdr:row>82</xdr:row>
      <xdr:rowOff>38100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ShapeType="1"/>
        </xdr:cNvSpPr>
      </xdr:nvSpPr>
      <xdr:spPr bwMode="auto">
        <a:xfrm flipH="1" flipV="1">
          <a:off x="7629525" y="13392150"/>
          <a:ext cx="457200" cy="53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514350</xdr:colOff>
      <xdr:row>45</xdr:row>
      <xdr:rowOff>57150</xdr:rowOff>
    </xdr:from>
    <xdr:to>
      <xdr:col>12</xdr:col>
      <xdr:colOff>400050</xdr:colOff>
      <xdr:row>54</xdr:row>
      <xdr:rowOff>133350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>
          <a:spLocks noChangeShapeType="1"/>
        </xdr:cNvSpPr>
      </xdr:nvSpPr>
      <xdr:spPr bwMode="auto">
        <a:xfrm flipH="1" flipV="1">
          <a:off x="6353175" y="7696200"/>
          <a:ext cx="1724025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371475</xdr:colOff>
          <xdr:row>15</xdr:row>
          <xdr:rowOff>38100</xdr:rowOff>
        </xdr:from>
        <xdr:to>
          <xdr:col>2</xdr:col>
          <xdr:colOff>552450</xdr:colOff>
          <xdr:row>16</xdr:row>
          <xdr:rowOff>104775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5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333375</xdr:colOff>
          <xdr:row>15</xdr:row>
          <xdr:rowOff>38100</xdr:rowOff>
        </xdr:from>
        <xdr:to>
          <xdr:col>3</xdr:col>
          <xdr:colOff>523875</xdr:colOff>
          <xdr:row>16</xdr:row>
          <xdr:rowOff>133350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5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3.w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4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image" Target="../media/image6.wmf"/><Relationship Id="rId18" Type="http://schemas.openxmlformats.org/officeDocument/2006/relationships/oleObject" Target="../embeddings/oleObject1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0.bin"/><Relationship Id="rId17" Type="http://schemas.openxmlformats.org/officeDocument/2006/relationships/image" Target="../media/image8.wmf"/><Relationship Id="rId2" Type="http://schemas.openxmlformats.org/officeDocument/2006/relationships/drawing" Target="../drawings/drawing10.xml"/><Relationship Id="rId16" Type="http://schemas.openxmlformats.org/officeDocument/2006/relationships/oleObject" Target="../embeddings/oleObject12.bin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5.wmf"/><Relationship Id="rId5" Type="http://schemas.openxmlformats.org/officeDocument/2006/relationships/image" Target="../media/image3.wmf"/><Relationship Id="rId15" Type="http://schemas.openxmlformats.org/officeDocument/2006/relationships/image" Target="../media/image7.wmf"/><Relationship Id="rId10" Type="http://schemas.openxmlformats.org/officeDocument/2006/relationships/oleObject" Target="../embeddings/oleObject9.bin"/><Relationship Id="rId19" Type="http://schemas.openxmlformats.org/officeDocument/2006/relationships/image" Target="../media/image9.wmf"/><Relationship Id="rId4" Type="http://schemas.openxmlformats.org/officeDocument/2006/relationships/oleObject" Target="../embeddings/oleObject6.bin"/><Relationship Id="rId9" Type="http://schemas.openxmlformats.org/officeDocument/2006/relationships/image" Target="../media/image4.wmf"/><Relationship Id="rId14" Type="http://schemas.openxmlformats.org/officeDocument/2006/relationships/oleObject" Target="../embeddings/oleObject11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oleObject" Target="../embeddings/oleObject19.bin"/><Relationship Id="rId3" Type="http://schemas.openxmlformats.org/officeDocument/2006/relationships/oleObject" Target="../embeddings/oleObject14.bin"/><Relationship Id="rId7" Type="http://schemas.openxmlformats.org/officeDocument/2006/relationships/oleObject" Target="../embeddings/oleObject16.bin"/><Relationship Id="rId12" Type="http://schemas.openxmlformats.org/officeDocument/2006/relationships/image" Target="../media/image6.wmf"/><Relationship Id="rId2" Type="http://schemas.openxmlformats.org/officeDocument/2006/relationships/vmlDrawing" Target="../drawings/vmlDrawing5.vml"/><Relationship Id="rId16" Type="http://schemas.openxmlformats.org/officeDocument/2006/relationships/image" Target="../media/image12.wmf"/><Relationship Id="rId1" Type="http://schemas.openxmlformats.org/officeDocument/2006/relationships/drawing" Target="../drawings/drawing11.xml"/><Relationship Id="rId6" Type="http://schemas.openxmlformats.org/officeDocument/2006/relationships/image" Target="../media/image10.wmf"/><Relationship Id="rId11" Type="http://schemas.openxmlformats.org/officeDocument/2006/relationships/oleObject" Target="../embeddings/oleObject18.bin"/><Relationship Id="rId5" Type="http://schemas.openxmlformats.org/officeDocument/2006/relationships/oleObject" Target="../embeddings/oleObject15.bin"/><Relationship Id="rId15" Type="http://schemas.openxmlformats.org/officeDocument/2006/relationships/oleObject" Target="../embeddings/oleObject20.bin"/><Relationship Id="rId10" Type="http://schemas.openxmlformats.org/officeDocument/2006/relationships/image" Target="../media/image7.wmf"/><Relationship Id="rId4" Type="http://schemas.openxmlformats.org/officeDocument/2006/relationships/image" Target="../media/image9.wmf"/><Relationship Id="rId9" Type="http://schemas.openxmlformats.org/officeDocument/2006/relationships/oleObject" Target="../embeddings/oleObject17.bin"/><Relationship Id="rId14" Type="http://schemas.openxmlformats.org/officeDocument/2006/relationships/image" Target="../media/image5.wmf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7.wmf"/><Relationship Id="rId18" Type="http://schemas.openxmlformats.org/officeDocument/2006/relationships/oleObject" Target="../embeddings/oleObject28.bin"/><Relationship Id="rId26" Type="http://schemas.openxmlformats.org/officeDocument/2006/relationships/oleObject" Target="../embeddings/oleObject33.bin"/><Relationship Id="rId3" Type="http://schemas.openxmlformats.org/officeDocument/2006/relationships/vmlDrawing" Target="../drawings/vmlDrawing6.vml"/><Relationship Id="rId21" Type="http://schemas.openxmlformats.org/officeDocument/2006/relationships/oleObject" Target="../embeddings/oleObject30.bin"/><Relationship Id="rId34" Type="http://schemas.openxmlformats.org/officeDocument/2006/relationships/oleObject" Target="../embeddings/oleObject37.bin"/><Relationship Id="rId7" Type="http://schemas.openxmlformats.org/officeDocument/2006/relationships/image" Target="../media/image14.wmf"/><Relationship Id="rId12" Type="http://schemas.openxmlformats.org/officeDocument/2006/relationships/oleObject" Target="../embeddings/oleObject25.bin"/><Relationship Id="rId17" Type="http://schemas.openxmlformats.org/officeDocument/2006/relationships/image" Target="../media/image19.wmf"/><Relationship Id="rId25" Type="http://schemas.openxmlformats.org/officeDocument/2006/relationships/image" Target="../media/image12.wmf"/><Relationship Id="rId33" Type="http://schemas.openxmlformats.org/officeDocument/2006/relationships/image" Target="../media/image11.wmf"/><Relationship Id="rId2" Type="http://schemas.openxmlformats.org/officeDocument/2006/relationships/drawing" Target="../drawings/drawing12.xml"/><Relationship Id="rId16" Type="http://schemas.openxmlformats.org/officeDocument/2006/relationships/oleObject" Target="../embeddings/oleObject27.bin"/><Relationship Id="rId20" Type="http://schemas.openxmlformats.org/officeDocument/2006/relationships/oleObject" Target="../embeddings/oleObject29.bin"/><Relationship Id="rId29" Type="http://schemas.openxmlformats.org/officeDocument/2006/relationships/image" Target="../media/image6.wmf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22.bin"/><Relationship Id="rId11" Type="http://schemas.openxmlformats.org/officeDocument/2006/relationships/image" Target="../media/image16.wmf"/><Relationship Id="rId24" Type="http://schemas.openxmlformats.org/officeDocument/2006/relationships/oleObject" Target="../embeddings/oleObject32.bin"/><Relationship Id="rId32" Type="http://schemas.openxmlformats.org/officeDocument/2006/relationships/oleObject" Target="../embeddings/oleObject36.bin"/><Relationship Id="rId5" Type="http://schemas.openxmlformats.org/officeDocument/2006/relationships/image" Target="../media/image13.wmf"/><Relationship Id="rId15" Type="http://schemas.openxmlformats.org/officeDocument/2006/relationships/image" Target="../media/image18.wmf"/><Relationship Id="rId23" Type="http://schemas.openxmlformats.org/officeDocument/2006/relationships/oleObject" Target="../embeddings/oleObject31.bin"/><Relationship Id="rId28" Type="http://schemas.openxmlformats.org/officeDocument/2006/relationships/oleObject" Target="../embeddings/oleObject34.bin"/><Relationship Id="rId10" Type="http://schemas.openxmlformats.org/officeDocument/2006/relationships/oleObject" Target="../embeddings/oleObject24.bin"/><Relationship Id="rId19" Type="http://schemas.openxmlformats.org/officeDocument/2006/relationships/image" Target="../media/image20.wmf"/><Relationship Id="rId31" Type="http://schemas.openxmlformats.org/officeDocument/2006/relationships/image" Target="../media/image7.wmf"/><Relationship Id="rId4" Type="http://schemas.openxmlformats.org/officeDocument/2006/relationships/oleObject" Target="../embeddings/oleObject21.bin"/><Relationship Id="rId9" Type="http://schemas.openxmlformats.org/officeDocument/2006/relationships/image" Target="../media/image15.wmf"/><Relationship Id="rId14" Type="http://schemas.openxmlformats.org/officeDocument/2006/relationships/oleObject" Target="../embeddings/oleObject26.bin"/><Relationship Id="rId22" Type="http://schemas.openxmlformats.org/officeDocument/2006/relationships/image" Target="../media/image21.wmf"/><Relationship Id="rId27" Type="http://schemas.openxmlformats.org/officeDocument/2006/relationships/image" Target="../media/image5.wmf"/><Relationship Id="rId30" Type="http://schemas.openxmlformats.org/officeDocument/2006/relationships/oleObject" Target="../embeddings/oleObject35.bin"/><Relationship Id="rId35" Type="http://schemas.openxmlformats.org/officeDocument/2006/relationships/image" Target="../media/image10.wmf"/><Relationship Id="rId8" Type="http://schemas.openxmlformats.org/officeDocument/2006/relationships/oleObject" Target="../embeddings/oleObject23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oleObject" Target="../embeddings/oleObject45.bin"/><Relationship Id="rId26" Type="http://schemas.openxmlformats.org/officeDocument/2006/relationships/oleObject" Target="../embeddings/oleObject49.bin"/><Relationship Id="rId39" Type="http://schemas.openxmlformats.org/officeDocument/2006/relationships/image" Target="../media/image30.emf"/><Relationship Id="rId21" Type="http://schemas.openxmlformats.org/officeDocument/2006/relationships/image" Target="../media/image16.wmf"/><Relationship Id="rId34" Type="http://schemas.openxmlformats.org/officeDocument/2006/relationships/oleObject" Target="../embeddings/oleObject53.bin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42.bin"/><Relationship Id="rId17" Type="http://schemas.openxmlformats.org/officeDocument/2006/relationships/image" Target="../media/image13.wmf"/><Relationship Id="rId25" Type="http://schemas.openxmlformats.org/officeDocument/2006/relationships/image" Target="../media/image23.wmf"/><Relationship Id="rId33" Type="http://schemas.openxmlformats.org/officeDocument/2006/relationships/image" Target="../media/image27.emf"/><Relationship Id="rId38" Type="http://schemas.openxmlformats.org/officeDocument/2006/relationships/oleObject" Target="../embeddings/oleObject55.bin"/><Relationship Id="rId2" Type="http://schemas.openxmlformats.org/officeDocument/2006/relationships/drawing" Target="../drawings/drawing13.xml"/><Relationship Id="rId16" Type="http://schemas.openxmlformats.org/officeDocument/2006/relationships/oleObject" Target="../embeddings/oleObject44.bin"/><Relationship Id="rId20" Type="http://schemas.openxmlformats.org/officeDocument/2006/relationships/oleObject" Target="../embeddings/oleObject46.bin"/><Relationship Id="rId29" Type="http://schemas.openxmlformats.org/officeDocument/2006/relationships/image" Target="../media/image25.emf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oleObject39.bin"/><Relationship Id="rId11" Type="http://schemas.openxmlformats.org/officeDocument/2006/relationships/image" Target="../media/image21.wmf"/><Relationship Id="rId24" Type="http://schemas.openxmlformats.org/officeDocument/2006/relationships/oleObject" Target="../embeddings/oleObject48.bin"/><Relationship Id="rId32" Type="http://schemas.openxmlformats.org/officeDocument/2006/relationships/oleObject" Target="../embeddings/oleObject52.bin"/><Relationship Id="rId37" Type="http://schemas.openxmlformats.org/officeDocument/2006/relationships/image" Target="../media/image29.emf"/><Relationship Id="rId5" Type="http://schemas.openxmlformats.org/officeDocument/2006/relationships/image" Target="../media/image18.wmf"/><Relationship Id="rId15" Type="http://schemas.openxmlformats.org/officeDocument/2006/relationships/image" Target="../media/image19.wmf"/><Relationship Id="rId23" Type="http://schemas.openxmlformats.org/officeDocument/2006/relationships/image" Target="../media/image17.wmf"/><Relationship Id="rId28" Type="http://schemas.openxmlformats.org/officeDocument/2006/relationships/oleObject" Target="../embeddings/oleObject50.bin"/><Relationship Id="rId36" Type="http://schemas.openxmlformats.org/officeDocument/2006/relationships/oleObject" Target="../embeddings/oleObject54.bin"/><Relationship Id="rId10" Type="http://schemas.openxmlformats.org/officeDocument/2006/relationships/oleObject" Target="../embeddings/oleObject41.bin"/><Relationship Id="rId19" Type="http://schemas.openxmlformats.org/officeDocument/2006/relationships/image" Target="../media/image14.wmf"/><Relationship Id="rId31" Type="http://schemas.openxmlformats.org/officeDocument/2006/relationships/image" Target="../media/image26.emf"/><Relationship Id="rId4" Type="http://schemas.openxmlformats.org/officeDocument/2006/relationships/oleObject" Target="../embeddings/oleObject38.bin"/><Relationship Id="rId9" Type="http://schemas.openxmlformats.org/officeDocument/2006/relationships/image" Target="../media/image20.wmf"/><Relationship Id="rId14" Type="http://schemas.openxmlformats.org/officeDocument/2006/relationships/oleObject" Target="../embeddings/oleObject43.bin"/><Relationship Id="rId22" Type="http://schemas.openxmlformats.org/officeDocument/2006/relationships/oleObject" Target="../embeddings/oleObject47.bin"/><Relationship Id="rId27" Type="http://schemas.openxmlformats.org/officeDocument/2006/relationships/image" Target="../media/image24.wmf"/><Relationship Id="rId30" Type="http://schemas.openxmlformats.org/officeDocument/2006/relationships/oleObject" Target="../embeddings/oleObject51.bin"/><Relationship Id="rId35" Type="http://schemas.openxmlformats.org/officeDocument/2006/relationships/image" Target="../media/image28.emf"/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oleObject" Target="../embeddings/oleObject63.bin"/><Relationship Id="rId26" Type="http://schemas.openxmlformats.org/officeDocument/2006/relationships/oleObject" Target="../embeddings/oleObject67.bin"/><Relationship Id="rId39" Type="http://schemas.openxmlformats.org/officeDocument/2006/relationships/image" Target="../media/image26.emf"/><Relationship Id="rId21" Type="http://schemas.openxmlformats.org/officeDocument/2006/relationships/image" Target="../media/image16.wmf"/><Relationship Id="rId34" Type="http://schemas.openxmlformats.org/officeDocument/2006/relationships/oleObject" Target="../embeddings/oleObject71.bin"/><Relationship Id="rId42" Type="http://schemas.openxmlformats.org/officeDocument/2006/relationships/oleObject" Target="../embeddings/oleObject75.bin"/><Relationship Id="rId47" Type="http://schemas.openxmlformats.org/officeDocument/2006/relationships/image" Target="../media/image30.emf"/><Relationship Id="rId7" Type="http://schemas.openxmlformats.org/officeDocument/2006/relationships/image" Target="../media/image22.wmf"/><Relationship Id="rId2" Type="http://schemas.openxmlformats.org/officeDocument/2006/relationships/drawing" Target="../drawings/drawing14.xml"/><Relationship Id="rId16" Type="http://schemas.openxmlformats.org/officeDocument/2006/relationships/oleObject" Target="../embeddings/oleObject62.bin"/><Relationship Id="rId29" Type="http://schemas.openxmlformats.org/officeDocument/2006/relationships/image" Target="../media/image31.emf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57.bin"/><Relationship Id="rId11" Type="http://schemas.openxmlformats.org/officeDocument/2006/relationships/image" Target="../media/image21.wmf"/><Relationship Id="rId24" Type="http://schemas.openxmlformats.org/officeDocument/2006/relationships/oleObject" Target="../embeddings/oleObject66.bin"/><Relationship Id="rId32" Type="http://schemas.openxmlformats.org/officeDocument/2006/relationships/oleObject" Target="../embeddings/oleObject70.bin"/><Relationship Id="rId37" Type="http://schemas.openxmlformats.org/officeDocument/2006/relationships/image" Target="../media/image25.emf"/><Relationship Id="rId40" Type="http://schemas.openxmlformats.org/officeDocument/2006/relationships/oleObject" Target="../embeddings/oleObject74.bin"/><Relationship Id="rId45" Type="http://schemas.openxmlformats.org/officeDocument/2006/relationships/image" Target="../media/image29.emf"/><Relationship Id="rId5" Type="http://schemas.openxmlformats.org/officeDocument/2006/relationships/image" Target="../media/image18.wmf"/><Relationship Id="rId15" Type="http://schemas.openxmlformats.org/officeDocument/2006/relationships/image" Target="../media/image19.wmf"/><Relationship Id="rId23" Type="http://schemas.openxmlformats.org/officeDocument/2006/relationships/image" Target="../media/image17.wmf"/><Relationship Id="rId28" Type="http://schemas.openxmlformats.org/officeDocument/2006/relationships/oleObject" Target="../embeddings/oleObject68.bin"/><Relationship Id="rId36" Type="http://schemas.openxmlformats.org/officeDocument/2006/relationships/oleObject" Target="../embeddings/oleObject72.bin"/><Relationship Id="rId10" Type="http://schemas.openxmlformats.org/officeDocument/2006/relationships/oleObject" Target="../embeddings/oleObject59.bin"/><Relationship Id="rId19" Type="http://schemas.openxmlformats.org/officeDocument/2006/relationships/image" Target="../media/image14.wmf"/><Relationship Id="rId31" Type="http://schemas.openxmlformats.org/officeDocument/2006/relationships/image" Target="../media/image32.wmf"/><Relationship Id="rId44" Type="http://schemas.openxmlformats.org/officeDocument/2006/relationships/oleObject" Target="../embeddings/oleObject76.bin"/><Relationship Id="rId4" Type="http://schemas.openxmlformats.org/officeDocument/2006/relationships/oleObject" Target="../embeddings/oleObject56.bin"/><Relationship Id="rId9" Type="http://schemas.openxmlformats.org/officeDocument/2006/relationships/image" Target="../media/image20.wmf"/><Relationship Id="rId14" Type="http://schemas.openxmlformats.org/officeDocument/2006/relationships/oleObject" Target="../embeddings/oleObject61.bin"/><Relationship Id="rId22" Type="http://schemas.openxmlformats.org/officeDocument/2006/relationships/oleObject" Target="../embeddings/oleObject65.bin"/><Relationship Id="rId27" Type="http://schemas.openxmlformats.org/officeDocument/2006/relationships/image" Target="../media/image24.wmf"/><Relationship Id="rId30" Type="http://schemas.openxmlformats.org/officeDocument/2006/relationships/oleObject" Target="../embeddings/oleObject69.bin"/><Relationship Id="rId35" Type="http://schemas.openxmlformats.org/officeDocument/2006/relationships/image" Target="../media/image34.emf"/><Relationship Id="rId43" Type="http://schemas.openxmlformats.org/officeDocument/2006/relationships/image" Target="../media/image28.emf"/><Relationship Id="rId8" Type="http://schemas.openxmlformats.org/officeDocument/2006/relationships/oleObject" Target="../embeddings/oleObject58.bin"/><Relationship Id="rId3" Type="http://schemas.openxmlformats.org/officeDocument/2006/relationships/vmlDrawing" Target="../drawings/vmlDrawing8.vml"/><Relationship Id="rId12" Type="http://schemas.openxmlformats.org/officeDocument/2006/relationships/oleObject" Target="../embeddings/oleObject60.bin"/><Relationship Id="rId17" Type="http://schemas.openxmlformats.org/officeDocument/2006/relationships/image" Target="../media/image13.wmf"/><Relationship Id="rId25" Type="http://schemas.openxmlformats.org/officeDocument/2006/relationships/image" Target="../media/image23.wmf"/><Relationship Id="rId33" Type="http://schemas.openxmlformats.org/officeDocument/2006/relationships/image" Target="../media/image33.wmf"/><Relationship Id="rId38" Type="http://schemas.openxmlformats.org/officeDocument/2006/relationships/oleObject" Target="../embeddings/oleObject73.bin"/><Relationship Id="rId46" Type="http://schemas.openxmlformats.org/officeDocument/2006/relationships/oleObject" Target="../embeddings/oleObject77.bin"/><Relationship Id="rId20" Type="http://schemas.openxmlformats.org/officeDocument/2006/relationships/oleObject" Target="../embeddings/oleObject64.bin"/><Relationship Id="rId41" Type="http://schemas.openxmlformats.org/officeDocument/2006/relationships/image" Target="../media/image27.emf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oleObject" Target="../embeddings/oleObject85.bin"/><Relationship Id="rId26" Type="http://schemas.openxmlformats.org/officeDocument/2006/relationships/oleObject" Target="../embeddings/oleObject89.bin"/><Relationship Id="rId39" Type="http://schemas.openxmlformats.org/officeDocument/2006/relationships/oleObject" Target="../embeddings/oleObject96.bin"/><Relationship Id="rId21" Type="http://schemas.openxmlformats.org/officeDocument/2006/relationships/image" Target="../media/image17.wmf"/><Relationship Id="rId34" Type="http://schemas.openxmlformats.org/officeDocument/2006/relationships/oleObject" Target="../embeddings/oleObject93.bin"/><Relationship Id="rId42" Type="http://schemas.openxmlformats.org/officeDocument/2006/relationships/image" Target="../media/image26.emf"/><Relationship Id="rId47" Type="http://schemas.openxmlformats.org/officeDocument/2006/relationships/oleObject" Target="../embeddings/oleObject100.bin"/><Relationship Id="rId50" Type="http://schemas.openxmlformats.org/officeDocument/2006/relationships/image" Target="../media/image30.emf"/><Relationship Id="rId7" Type="http://schemas.openxmlformats.org/officeDocument/2006/relationships/image" Target="../media/image19.wmf"/><Relationship Id="rId2" Type="http://schemas.openxmlformats.org/officeDocument/2006/relationships/drawing" Target="../drawings/drawing15.xml"/><Relationship Id="rId16" Type="http://schemas.openxmlformats.org/officeDocument/2006/relationships/oleObject" Target="../embeddings/oleObject84.bin"/><Relationship Id="rId29" Type="http://schemas.openxmlformats.org/officeDocument/2006/relationships/image" Target="../media/image24.wmf"/><Relationship Id="rId11" Type="http://schemas.openxmlformats.org/officeDocument/2006/relationships/image" Target="../media/image18.wmf"/><Relationship Id="rId24" Type="http://schemas.openxmlformats.org/officeDocument/2006/relationships/oleObject" Target="../embeddings/oleObject88.bin"/><Relationship Id="rId32" Type="http://schemas.openxmlformats.org/officeDocument/2006/relationships/oleObject" Target="../embeddings/oleObject92.bin"/><Relationship Id="rId37" Type="http://schemas.openxmlformats.org/officeDocument/2006/relationships/image" Target="../media/image38.emf"/><Relationship Id="rId40" Type="http://schemas.openxmlformats.org/officeDocument/2006/relationships/image" Target="../media/image25.emf"/><Relationship Id="rId45" Type="http://schemas.openxmlformats.org/officeDocument/2006/relationships/oleObject" Target="../embeddings/oleObject99.bin"/><Relationship Id="rId5" Type="http://schemas.openxmlformats.org/officeDocument/2006/relationships/image" Target="../media/image22.wmf"/><Relationship Id="rId15" Type="http://schemas.openxmlformats.org/officeDocument/2006/relationships/image" Target="../media/image16.wmf"/><Relationship Id="rId23" Type="http://schemas.openxmlformats.org/officeDocument/2006/relationships/image" Target="../media/image33.wmf"/><Relationship Id="rId28" Type="http://schemas.openxmlformats.org/officeDocument/2006/relationships/oleObject" Target="../embeddings/oleObject90.bin"/><Relationship Id="rId36" Type="http://schemas.openxmlformats.org/officeDocument/2006/relationships/oleObject" Target="../embeddings/oleObject94.bin"/><Relationship Id="rId49" Type="http://schemas.openxmlformats.org/officeDocument/2006/relationships/oleObject" Target="../embeddings/oleObject101.bin"/><Relationship Id="rId10" Type="http://schemas.openxmlformats.org/officeDocument/2006/relationships/oleObject" Target="../embeddings/oleObject81.bin"/><Relationship Id="rId19" Type="http://schemas.openxmlformats.org/officeDocument/2006/relationships/image" Target="../media/image14.wmf"/><Relationship Id="rId31" Type="http://schemas.openxmlformats.org/officeDocument/2006/relationships/image" Target="../media/image32.wmf"/><Relationship Id="rId44" Type="http://schemas.openxmlformats.org/officeDocument/2006/relationships/image" Target="../media/image27.emf"/><Relationship Id="rId4" Type="http://schemas.openxmlformats.org/officeDocument/2006/relationships/oleObject" Target="../embeddings/oleObject78.bin"/><Relationship Id="rId9" Type="http://schemas.openxmlformats.org/officeDocument/2006/relationships/image" Target="../media/image35.emf"/><Relationship Id="rId14" Type="http://schemas.openxmlformats.org/officeDocument/2006/relationships/oleObject" Target="../embeddings/oleObject83.bin"/><Relationship Id="rId22" Type="http://schemas.openxmlformats.org/officeDocument/2006/relationships/oleObject" Target="../embeddings/oleObject87.bin"/><Relationship Id="rId27" Type="http://schemas.openxmlformats.org/officeDocument/2006/relationships/image" Target="../media/image23.wmf"/><Relationship Id="rId30" Type="http://schemas.openxmlformats.org/officeDocument/2006/relationships/oleObject" Target="../embeddings/oleObject91.bin"/><Relationship Id="rId35" Type="http://schemas.openxmlformats.org/officeDocument/2006/relationships/image" Target="../media/image37.emf"/><Relationship Id="rId43" Type="http://schemas.openxmlformats.org/officeDocument/2006/relationships/oleObject" Target="../embeddings/oleObject98.bin"/><Relationship Id="rId48" Type="http://schemas.openxmlformats.org/officeDocument/2006/relationships/image" Target="../media/image29.emf"/><Relationship Id="rId8" Type="http://schemas.openxmlformats.org/officeDocument/2006/relationships/oleObject" Target="../embeddings/oleObject80.bin"/><Relationship Id="rId3" Type="http://schemas.openxmlformats.org/officeDocument/2006/relationships/vmlDrawing" Target="../drawings/vmlDrawing9.vml"/><Relationship Id="rId12" Type="http://schemas.openxmlformats.org/officeDocument/2006/relationships/oleObject" Target="../embeddings/oleObject82.bin"/><Relationship Id="rId17" Type="http://schemas.openxmlformats.org/officeDocument/2006/relationships/image" Target="../media/image13.wmf"/><Relationship Id="rId25" Type="http://schemas.openxmlformats.org/officeDocument/2006/relationships/image" Target="../media/image34.emf"/><Relationship Id="rId33" Type="http://schemas.openxmlformats.org/officeDocument/2006/relationships/image" Target="../media/image36.emf"/><Relationship Id="rId38" Type="http://schemas.openxmlformats.org/officeDocument/2006/relationships/oleObject" Target="../embeddings/oleObject95.bin"/><Relationship Id="rId46" Type="http://schemas.openxmlformats.org/officeDocument/2006/relationships/image" Target="../media/image28.emf"/><Relationship Id="rId20" Type="http://schemas.openxmlformats.org/officeDocument/2006/relationships/oleObject" Target="../embeddings/oleObject86.bin"/><Relationship Id="rId41" Type="http://schemas.openxmlformats.org/officeDocument/2006/relationships/oleObject" Target="../embeddings/oleObject97.bin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oleObject79.bin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wmf"/><Relationship Id="rId18" Type="http://schemas.openxmlformats.org/officeDocument/2006/relationships/oleObject" Target="../embeddings/oleObject109.bin"/><Relationship Id="rId26" Type="http://schemas.openxmlformats.org/officeDocument/2006/relationships/oleObject" Target="../embeddings/oleObject113.bin"/><Relationship Id="rId39" Type="http://schemas.openxmlformats.org/officeDocument/2006/relationships/oleObject" Target="../embeddings/oleObject122.bin"/><Relationship Id="rId21" Type="http://schemas.openxmlformats.org/officeDocument/2006/relationships/image" Target="../media/image43.emf"/><Relationship Id="rId34" Type="http://schemas.openxmlformats.org/officeDocument/2006/relationships/oleObject" Target="../embeddings/oleObject117.bin"/><Relationship Id="rId42" Type="http://schemas.openxmlformats.org/officeDocument/2006/relationships/oleObject" Target="../embeddings/oleObject125.bin"/><Relationship Id="rId47" Type="http://schemas.openxmlformats.org/officeDocument/2006/relationships/oleObject" Target="../embeddings/oleObject130.bin"/><Relationship Id="rId50" Type="http://schemas.openxmlformats.org/officeDocument/2006/relationships/image" Target="../media/image48.emf"/><Relationship Id="rId7" Type="http://schemas.openxmlformats.org/officeDocument/2006/relationships/image" Target="../media/image30.emf"/><Relationship Id="rId2" Type="http://schemas.openxmlformats.org/officeDocument/2006/relationships/drawing" Target="../drawings/drawing16.xml"/><Relationship Id="rId16" Type="http://schemas.openxmlformats.org/officeDocument/2006/relationships/oleObject" Target="../embeddings/oleObject108.bin"/><Relationship Id="rId29" Type="http://schemas.openxmlformats.org/officeDocument/2006/relationships/image" Target="../media/image47.emf"/><Relationship Id="rId11" Type="http://schemas.openxmlformats.org/officeDocument/2006/relationships/image" Target="../media/image29.emf"/><Relationship Id="rId24" Type="http://schemas.openxmlformats.org/officeDocument/2006/relationships/oleObject" Target="../embeddings/oleObject112.bin"/><Relationship Id="rId32" Type="http://schemas.openxmlformats.org/officeDocument/2006/relationships/oleObject" Target="../embeddings/oleObject116.bin"/><Relationship Id="rId37" Type="http://schemas.openxmlformats.org/officeDocument/2006/relationships/oleObject" Target="../embeddings/oleObject120.bin"/><Relationship Id="rId40" Type="http://schemas.openxmlformats.org/officeDocument/2006/relationships/oleObject" Target="../embeddings/oleObject123.bin"/><Relationship Id="rId45" Type="http://schemas.openxmlformats.org/officeDocument/2006/relationships/oleObject" Target="../embeddings/oleObject128.bin"/><Relationship Id="rId53" Type="http://schemas.openxmlformats.org/officeDocument/2006/relationships/image" Target="../media/image49.emf"/><Relationship Id="rId5" Type="http://schemas.openxmlformats.org/officeDocument/2006/relationships/image" Target="../media/image39.wmf"/><Relationship Id="rId10" Type="http://schemas.openxmlformats.org/officeDocument/2006/relationships/oleObject" Target="../embeddings/oleObject105.bin"/><Relationship Id="rId19" Type="http://schemas.openxmlformats.org/officeDocument/2006/relationships/image" Target="../media/image26.emf"/><Relationship Id="rId31" Type="http://schemas.openxmlformats.org/officeDocument/2006/relationships/image" Target="../media/image15.wmf"/><Relationship Id="rId44" Type="http://schemas.openxmlformats.org/officeDocument/2006/relationships/oleObject" Target="../embeddings/oleObject127.bin"/><Relationship Id="rId52" Type="http://schemas.openxmlformats.org/officeDocument/2006/relationships/oleObject" Target="../embeddings/oleObject134.bin"/><Relationship Id="rId4" Type="http://schemas.openxmlformats.org/officeDocument/2006/relationships/oleObject" Target="../embeddings/oleObject102.bin"/><Relationship Id="rId9" Type="http://schemas.openxmlformats.org/officeDocument/2006/relationships/image" Target="../media/image40.wmf"/><Relationship Id="rId14" Type="http://schemas.openxmlformats.org/officeDocument/2006/relationships/oleObject" Target="../embeddings/oleObject107.bin"/><Relationship Id="rId22" Type="http://schemas.openxmlformats.org/officeDocument/2006/relationships/oleObject" Target="../embeddings/oleObject111.bin"/><Relationship Id="rId27" Type="http://schemas.openxmlformats.org/officeDocument/2006/relationships/image" Target="../media/image46.emf"/><Relationship Id="rId30" Type="http://schemas.openxmlformats.org/officeDocument/2006/relationships/oleObject" Target="../embeddings/oleObject115.bin"/><Relationship Id="rId35" Type="http://schemas.openxmlformats.org/officeDocument/2006/relationships/oleObject" Target="../embeddings/oleObject118.bin"/><Relationship Id="rId43" Type="http://schemas.openxmlformats.org/officeDocument/2006/relationships/oleObject" Target="../embeddings/oleObject126.bin"/><Relationship Id="rId48" Type="http://schemas.openxmlformats.org/officeDocument/2006/relationships/oleObject" Target="../embeddings/oleObject131.bin"/><Relationship Id="rId8" Type="http://schemas.openxmlformats.org/officeDocument/2006/relationships/oleObject" Target="../embeddings/oleObject104.bin"/><Relationship Id="rId51" Type="http://schemas.openxmlformats.org/officeDocument/2006/relationships/oleObject" Target="../embeddings/oleObject13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106.bin"/><Relationship Id="rId17" Type="http://schemas.openxmlformats.org/officeDocument/2006/relationships/image" Target="../media/image25.emf"/><Relationship Id="rId25" Type="http://schemas.openxmlformats.org/officeDocument/2006/relationships/image" Target="../media/image45.emf"/><Relationship Id="rId33" Type="http://schemas.openxmlformats.org/officeDocument/2006/relationships/image" Target="../media/image16.wmf"/><Relationship Id="rId38" Type="http://schemas.openxmlformats.org/officeDocument/2006/relationships/oleObject" Target="../embeddings/oleObject121.bin"/><Relationship Id="rId46" Type="http://schemas.openxmlformats.org/officeDocument/2006/relationships/oleObject" Target="../embeddings/oleObject129.bin"/><Relationship Id="rId20" Type="http://schemas.openxmlformats.org/officeDocument/2006/relationships/oleObject" Target="../embeddings/oleObject110.bin"/><Relationship Id="rId41" Type="http://schemas.openxmlformats.org/officeDocument/2006/relationships/oleObject" Target="../embeddings/oleObject124.bin"/><Relationship Id="rId1" Type="http://schemas.openxmlformats.org/officeDocument/2006/relationships/printerSettings" Target="../printerSettings/printerSettings24.bin"/><Relationship Id="rId6" Type="http://schemas.openxmlformats.org/officeDocument/2006/relationships/oleObject" Target="../embeddings/oleObject103.bin"/><Relationship Id="rId15" Type="http://schemas.openxmlformats.org/officeDocument/2006/relationships/image" Target="../media/image42.wmf"/><Relationship Id="rId23" Type="http://schemas.openxmlformats.org/officeDocument/2006/relationships/image" Target="../media/image44.emf"/><Relationship Id="rId28" Type="http://schemas.openxmlformats.org/officeDocument/2006/relationships/oleObject" Target="../embeddings/oleObject114.bin"/><Relationship Id="rId36" Type="http://schemas.openxmlformats.org/officeDocument/2006/relationships/oleObject" Target="../embeddings/oleObject119.bin"/><Relationship Id="rId49" Type="http://schemas.openxmlformats.org/officeDocument/2006/relationships/oleObject" Target="../embeddings/oleObject13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image" Target="../media/image51.w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Relationship Id="rId6" Type="http://schemas.openxmlformats.org/officeDocument/2006/relationships/oleObject" Target="../embeddings/oleObject136.bin"/><Relationship Id="rId5" Type="http://schemas.openxmlformats.org/officeDocument/2006/relationships/image" Target="../media/image50.wmf"/><Relationship Id="rId4" Type="http://schemas.openxmlformats.org/officeDocument/2006/relationships/oleObject" Target="../embeddings/oleObject135.bin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wmf"/><Relationship Id="rId3" Type="http://schemas.openxmlformats.org/officeDocument/2006/relationships/oleObject" Target="../embeddings/oleObject137.bin"/><Relationship Id="rId7" Type="http://schemas.openxmlformats.org/officeDocument/2006/relationships/oleObject" Target="../embeddings/oleObject139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8.xml"/><Relationship Id="rId6" Type="http://schemas.openxmlformats.org/officeDocument/2006/relationships/image" Target="../media/image53.wmf"/><Relationship Id="rId5" Type="http://schemas.openxmlformats.org/officeDocument/2006/relationships/oleObject" Target="../embeddings/oleObject138.bin"/><Relationship Id="rId10" Type="http://schemas.openxmlformats.org/officeDocument/2006/relationships/image" Target="../media/image55.wmf"/><Relationship Id="rId4" Type="http://schemas.openxmlformats.org/officeDocument/2006/relationships/image" Target="../media/image52.wmf"/><Relationship Id="rId9" Type="http://schemas.openxmlformats.org/officeDocument/2006/relationships/oleObject" Target="../embeddings/oleObject14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11FC-1762-430D-B6D5-8BF4AB85ECC3}">
  <dimension ref="B4:O294"/>
  <sheetViews>
    <sheetView tabSelected="1" workbookViewId="0">
      <selection activeCell="C7" sqref="C7"/>
    </sheetView>
  </sheetViews>
  <sheetFormatPr defaultRowHeight="12.75" x14ac:dyDescent="0.2"/>
  <cols>
    <col min="1" max="1" width="9.140625" style="158"/>
    <col min="2" max="2" width="12.42578125" style="158" customWidth="1"/>
    <col min="3" max="3" width="17.5703125" style="158" customWidth="1"/>
    <col min="4" max="4" width="11.140625" style="158" bestFit="1" customWidth="1"/>
    <col min="5" max="257" width="9.140625" style="158"/>
    <col min="258" max="258" width="10.7109375" style="158" customWidth="1"/>
    <col min="259" max="513" width="9.140625" style="158"/>
    <col min="514" max="514" width="10.7109375" style="158" customWidth="1"/>
    <col min="515" max="769" width="9.140625" style="158"/>
    <col min="770" max="770" width="10.7109375" style="158" customWidth="1"/>
    <col min="771" max="1025" width="9.140625" style="158"/>
    <col min="1026" max="1026" width="10.7109375" style="158" customWidth="1"/>
    <col min="1027" max="1281" width="9.140625" style="158"/>
    <col min="1282" max="1282" width="10.7109375" style="158" customWidth="1"/>
    <col min="1283" max="1537" width="9.140625" style="158"/>
    <col min="1538" max="1538" width="10.7109375" style="158" customWidth="1"/>
    <col min="1539" max="1793" width="9.140625" style="158"/>
    <col min="1794" max="1794" width="10.7109375" style="158" customWidth="1"/>
    <col min="1795" max="2049" width="9.140625" style="158"/>
    <col min="2050" max="2050" width="10.7109375" style="158" customWidth="1"/>
    <col min="2051" max="2305" width="9.140625" style="158"/>
    <col min="2306" max="2306" width="10.7109375" style="158" customWidth="1"/>
    <col min="2307" max="2561" width="9.140625" style="158"/>
    <col min="2562" max="2562" width="10.7109375" style="158" customWidth="1"/>
    <col min="2563" max="2817" width="9.140625" style="158"/>
    <col min="2818" max="2818" width="10.7109375" style="158" customWidth="1"/>
    <col min="2819" max="3073" width="9.140625" style="158"/>
    <col min="3074" max="3074" width="10.7109375" style="158" customWidth="1"/>
    <col min="3075" max="3329" width="9.140625" style="158"/>
    <col min="3330" max="3330" width="10.7109375" style="158" customWidth="1"/>
    <col min="3331" max="3585" width="9.140625" style="158"/>
    <col min="3586" max="3586" width="10.7109375" style="158" customWidth="1"/>
    <col min="3587" max="3841" width="9.140625" style="158"/>
    <col min="3842" max="3842" width="10.7109375" style="158" customWidth="1"/>
    <col min="3843" max="4097" width="9.140625" style="158"/>
    <col min="4098" max="4098" width="10.7109375" style="158" customWidth="1"/>
    <col min="4099" max="4353" width="9.140625" style="158"/>
    <col min="4354" max="4354" width="10.7109375" style="158" customWidth="1"/>
    <col min="4355" max="4609" width="9.140625" style="158"/>
    <col min="4610" max="4610" width="10.7109375" style="158" customWidth="1"/>
    <col min="4611" max="4865" width="9.140625" style="158"/>
    <col min="4866" max="4866" width="10.7109375" style="158" customWidth="1"/>
    <col min="4867" max="5121" width="9.140625" style="158"/>
    <col min="5122" max="5122" width="10.7109375" style="158" customWidth="1"/>
    <col min="5123" max="5377" width="9.140625" style="158"/>
    <col min="5378" max="5378" width="10.7109375" style="158" customWidth="1"/>
    <col min="5379" max="5633" width="9.140625" style="158"/>
    <col min="5634" max="5634" width="10.7109375" style="158" customWidth="1"/>
    <col min="5635" max="5889" width="9.140625" style="158"/>
    <col min="5890" max="5890" width="10.7109375" style="158" customWidth="1"/>
    <col min="5891" max="6145" width="9.140625" style="158"/>
    <col min="6146" max="6146" width="10.7109375" style="158" customWidth="1"/>
    <col min="6147" max="6401" width="9.140625" style="158"/>
    <col min="6402" max="6402" width="10.7109375" style="158" customWidth="1"/>
    <col min="6403" max="6657" width="9.140625" style="158"/>
    <col min="6658" max="6658" width="10.7109375" style="158" customWidth="1"/>
    <col min="6659" max="6913" width="9.140625" style="158"/>
    <col min="6914" max="6914" width="10.7109375" style="158" customWidth="1"/>
    <col min="6915" max="7169" width="9.140625" style="158"/>
    <col min="7170" max="7170" width="10.7109375" style="158" customWidth="1"/>
    <col min="7171" max="7425" width="9.140625" style="158"/>
    <col min="7426" max="7426" width="10.7109375" style="158" customWidth="1"/>
    <col min="7427" max="7681" width="9.140625" style="158"/>
    <col min="7682" max="7682" width="10.7109375" style="158" customWidth="1"/>
    <col min="7683" max="7937" width="9.140625" style="158"/>
    <col min="7938" max="7938" width="10.7109375" style="158" customWidth="1"/>
    <col min="7939" max="8193" width="9.140625" style="158"/>
    <col min="8194" max="8194" width="10.7109375" style="158" customWidth="1"/>
    <col min="8195" max="8449" width="9.140625" style="158"/>
    <col min="8450" max="8450" width="10.7109375" style="158" customWidth="1"/>
    <col min="8451" max="8705" width="9.140625" style="158"/>
    <col min="8706" max="8706" width="10.7109375" style="158" customWidth="1"/>
    <col min="8707" max="8961" width="9.140625" style="158"/>
    <col min="8962" max="8962" width="10.7109375" style="158" customWidth="1"/>
    <col min="8963" max="9217" width="9.140625" style="158"/>
    <col min="9218" max="9218" width="10.7109375" style="158" customWidth="1"/>
    <col min="9219" max="9473" width="9.140625" style="158"/>
    <col min="9474" max="9474" width="10.7109375" style="158" customWidth="1"/>
    <col min="9475" max="9729" width="9.140625" style="158"/>
    <col min="9730" max="9730" width="10.7109375" style="158" customWidth="1"/>
    <col min="9731" max="9985" width="9.140625" style="158"/>
    <col min="9986" max="9986" width="10.7109375" style="158" customWidth="1"/>
    <col min="9987" max="10241" width="9.140625" style="158"/>
    <col min="10242" max="10242" width="10.7109375" style="158" customWidth="1"/>
    <col min="10243" max="10497" width="9.140625" style="158"/>
    <col min="10498" max="10498" width="10.7109375" style="158" customWidth="1"/>
    <col min="10499" max="10753" width="9.140625" style="158"/>
    <col min="10754" max="10754" width="10.7109375" style="158" customWidth="1"/>
    <col min="10755" max="11009" width="9.140625" style="158"/>
    <col min="11010" max="11010" width="10.7109375" style="158" customWidth="1"/>
    <col min="11011" max="11265" width="9.140625" style="158"/>
    <col min="11266" max="11266" width="10.7109375" style="158" customWidth="1"/>
    <col min="11267" max="11521" width="9.140625" style="158"/>
    <col min="11522" max="11522" width="10.7109375" style="158" customWidth="1"/>
    <col min="11523" max="11777" width="9.140625" style="158"/>
    <col min="11778" max="11778" width="10.7109375" style="158" customWidth="1"/>
    <col min="11779" max="12033" width="9.140625" style="158"/>
    <col min="12034" max="12034" width="10.7109375" style="158" customWidth="1"/>
    <col min="12035" max="12289" width="9.140625" style="158"/>
    <col min="12290" max="12290" width="10.7109375" style="158" customWidth="1"/>
    <col min="12291" max="12545" width="9.140625" style="158"/>
    <col min="12546" max="12546" width="10.7109375" style="158" customWidth="1"/>
    <col min="12547" max="12801" width="9.140625" style="158"/>
    <col min="12802" max="12802" width="10.7109375" style="158" customWidth="1"/>
    <col min="12803" max="13057" width="9.140625" style="158"/>
    <col min="13058" max="13058" width="10.7109375" style="158" customWidth="1"/>
    <col min="13059" max="13313" width="9.140625" style="158"/>
    <col min="13314" max="13314" width="10.7109375" style="158" customWidth="1"/>
    <col min="13315" max="13569" width="9.140625" style="158"/>
    <col min="13570" max="13570" width="10.7109375" style="158" customWidth="1"/>
    <col min="13571" max="13825" width="9.140625" style="158"/>
    <col min="13826" max="13826" width="10.7109375" style="158" customWidth="1"/>
    <col min="13827" max="14081" width="9.140625" style="158"/>
    <col min="14082" max="14082" width="10.7109375" style="158" customWidth="1"/>
    <col min="14083" max="14337" width="9.140625" style="158"/>
    <col min="14338" max="14338" width="10.7109375" style="158" customWidth="1"/>
    <col min="14339" max="14593" width="9.140625" style="158"/>
    <col min="14594" max="14594" width="10.7109375" style="158" customWidth="1"/>
    <col min="14595" max="14849" width="9.140625" style="158"/>
    <col min="14850" max="14850" width="10.7109375" style="158" customWidth="1"/>
    <col min="14851" max="15105" width="9.140625" style="158"/>
    <col min="15106" max="15106" width="10.7109375" style="158" customWidth="1"/>
    <col min="15107" max="15361" width="9.140625" style="158"/>
    <col min="15362" max="15362" width="10.7109375" style="158" customWidth="1"/>
    <col min="15363" max="15617" width="9.140625" style="158"/>
    <col min="15618" max="15618" width="10.7109375" style="158" customWidth="1"/>
    <col min="15619" max="15873" width="9.140625" style="158"/>
    <col min="15874" max="15874" width="10.7109375" style="158" customWidth="1"/>
    <col min="15875" max="16129" width="9.140625" style="158"/>
    <col min="16130" max="16130" width="10.7109375" style="158" customWidth="1"/>
    <col min="16131" max="16384" width="9.140625" style="158"/>
  </cols>
  <sheetData>
    <row r="4" spans="2:8" ht="26.25" x14ac:dyDescent="0.4">
      <c r="B4" s="157" t="s">
        <v>190</v>
      </c>
      <c r="C4" s="157"/>
    </row>
    <row r="6" spans="2:8" ht="18" x14ac:dyDescent="0.25">
      <c r="B6" s="159" t="s">
        <v>191</v>
      </c>
    </row>
    <row r="9" spans="2:8" ht="18" x14ac:dyDescent="0.25">
      <c r="B9" s="159" t="s">
        <v>192</v>
      </c>
      <c r="C9" s="159" t="s">
        <v>193</v>
      </c>
      <c r="D9" s="159" t="s">
        <v>194</v>
      </c>
      <c r="E9" s="159" t="s">
        <v>195</v>
      </c>
      <c r="F9" s="159"/>
      <c r="H9" s="159" t="s">
        <v>409</v>
      </c>
    </row>
    <row r="11" spans="2:8" ht="15.75" x14ac:dyDescent="0.25">
      <c r="B11" s="160">
        <v>3.4</v>
      </c>
      <c r="C11" s="160"/>
      <c r="D11" s="158">
        <v>28</v>
      </c>
      <c r="E11" s="158" t="s">
        <v>196</v>
      </c>
      <c r="H11" s="158" t="s">
        <v>220</v>
      </c>
    </row>
    <row r="12" spans="2:8" ht="15.75" x14ac:dyDescent="0.25">
      <c r="B12" s="160">
        <v>3.5</v>
      </c>
      <c r="C12" s="160"/>
      <c r="D12" s="158">
        <v>29</v>
      </c>
      <c r="E12" s="158" t="s">
        <v>196</v>
      </c>
      <c r="H12" s="158" t="s">
        <v>969</v>
      </c>
    </row>
    <row r="13" spans="2:8" ht="15.75" x14ac:dyDescent="0.25">
      <c r="B13" s="160">
        <v>3.6</v>
      </c>
      <c r="C13" s="160"/>
      <c r="D13" s="158">
        <v>29</v>
      </c>
      <c r="E13" s="158" t="s">
        <v>196</v>
      </c>
      <c r="H13" s="158" t="s">
        <v>970</v>
      </c>
    </row>
    <row r="14" spans="2:8" ht="15.75" x14ac:dyDescent="0.25">
      <c r="B14" s="160">
        <v>3.7</v>
      </c>
      <c r="C14" s="160"/>
      <c r="D14" s="158">
        <v>30</v>
      </c>
      <c r="E14" s="158" t="s">
        <v>196</v>
      </c>
      <c r="H14" s="158" t="s">
        <v>233</v>
      </c>
    </row>
    <row r="15" spans="2:8" ht="15.75" x14ac:dyDescent="0.25">
      <c r="B15" s="160">
        <v>3.8</v>
      </c>
      <c r="C15" s="160"/>
      <c r="D15" s="158">
        <v>31</v>
      </c>
      <c r="E15" s="158" t="s">
        <v>196</v>
      </c>
      <c r="H15" s="158" t="s">
        <v>236</v>
      </c>
    </row>
    <row r="16" spans="2:8" ht="15.75" x14ac:dyDescent="0.25">
      <c r="B16" s="160">
        <v>3.9</v>
      </c>
      <c r="C16" s="160"/>
      <c r="D16" s="158">
        <v>32</v>
      </c>
      <c r="E16" s="158" t="s">
        <v>196</v>
      </c>
      <c r="H16" s="158" t="s">
        <v>971</v>
      </c>
    </row>
    <row r="17" spans="2:8" ht="15.75" x14ac:dyDescent="0.25">
      <c r="B17" s="161">
        <v>3.1</v>
      </c>
      <c r="C17" s="161"/>
      <c r="D17" s="158">
        <v>33</v>
      </c>
      <c r="E17" s="158" t="s">
        <v>196</v>
      </c>
      <c r="H17" s="158" t="s">
        <v>242</v>
      </c>
    </row>
    <row r="18" spans="2:8" ht="15.75" x14ac:dyDescent="0.25">
      <c r="B18" s="160">
        <v>3.11</v>
      </c>
      <c r="C18" s="160"/>
      <c r="D18" s="158">
        <v>35</v>
      </c>
      <c r="E18" s="158" t="s">
        <v>196</v>
      </c>
      <c r="H18" s="158" t="s">
        <v>972</v>
      </c>
    </row>
    <row r="19" spans="2:8" ht="15.75" x14ac:dyDescent="0.25">
      <c r="B19" s="160">
        <v>3.12</v>
      </c>
      <c r="C19" s="160"/>
      <c r="D19" s="158">
        <v>35</v>
      </c>
      <c r="E19" s="158" t="s">
        <v>196</v>
      </c>
      <c r="H19" s="158" t="s">
        <v>973</v>
      </c>
    </row>
    <row r="20" spans="2:8" ht="15.75" x14ac:dyDescent="0.25">
      <c r="B20" s="160">
        <v>3.13</v>
      </c>
      <c r="C20" s="160"/>
      <c r="D20" s="158">
        <v>36</v>
      </c>
      <c r="E20" s="158" t="s">
        <v>196</v>
      </c>
      <c r="H20" s="158" t="s">
        <v>974</v>
      </c>
    </row>
    <row r="21" spans="2:8" ht="15.75" x14ac:dyDescent="0.25">
      <c r="B21" s="160">
        <v>3.16</v>
      </c>
      <c r="C21" s="160"/>
      <c r="D21" s="158">
        <v>39</v>
      </c>
      <c r="E21" s="158" t="s">
        <v>196</v>
      </c>
      <c r="H21" s="158" t="s">
        <v>984</v>
      </c>
    </row>
    <row r="22" spans="2:8" ht="15.75" x14ac:dyDescent="0.25">
      <c r="B22" s="160">
        <v>3.17</v>
      </c>
      <c r="C22" s="160"/>
      <c r="D22" s="158">
        <v>40</v>
      </c>
      <c r="E22" s="158" t="s">
        <v>196</v>
      </c>
      <c r="H22" s="158" t="s">
        <v>975</v>
      </c>
    </row>
    <row r="23" spans="2:8" ht="15.75" x14ac:dyDescent="0.25">
      <c r="B23" s="160">
        <v>3.18</v>
      </c>
      <c r="C23" s="160"/>
      <c r="D23" s="158">
        <v>41</v>
      </c>
      <c r="E23" s="158" t="s">
        <v>196</v>
      </c>
      <c r="H23" s="158" t="s">
        <v>276</v>
      </c>
    </row>
    <row r="24" spans="2:8" ht="15.75" x14ac:dyDescent="0.25">
      <c r="B24" s="160">
        <v>3.19</v>
      </c>
      <c r="C24" s="160"/>
      <c r="D24" s="158">
        <v>41</v>
      </c>
      <c r="E24" s="158" t="s">
        <v>196</v>
      </c>
      <c r="H24" s="158" t="s">
        <v>985</v>
      </c>
    </row>
    <row r="25" spans="2:8" ht="15.75" x14ac:dyDescent="0.25">
      <c r="B25" s="161">
        <v>3.2</v>
      </c>
      <c r="C25" s="161"/>
      <c r="D25" s="158">
        <v>42</v>
      </c>
      <c r="E25" s="158" t="s">
        <v>196</v>
      </c>
      <c r="H25" s="158" t="s">
        <v>986</v>
      </c>
    </row>
    <row r="26" spans="2:8" ht="15.75" x14ac:dyDescent="0.25">
      <c r="B26" s="161">
        <v>3.21</v>
      </c>
      <c r="C26" s="161"/>
      <c r="D26" s="158">
        <v>43</v>
      </c>
      <c r="E26" s="158" t="s">
        <v>196</v>
      </c>
      <c r="H26" s="158" t="s">
        <v>987</v>
      </c>
    </row>
    <row r="27" spans="2:8" ht="15.75" x14ac:dyDescent="0.25">
      <c r="B27" s="161">
        <v>3.25</v>
      </c>
      <c r="C27" s="161"/>
      <c r="D27" s="158">
        <v>55</v>
      </c>
      <c r="E27" s="158" t="s">
        <v>196</v>
      </c>
      <c r="H27" s="158" t="s">
        <v>989</v>
      </c>
    </row>
    <row r="28" spans="2:8" ht="15.75" x14ac:dyDescent="0.25">
      <c r="B28" s="161"/>
      <c r="C28" s="1245">
        <v>3.4</v>
      </c>
      <c r="D28" s="158">
        <v>58</v>
      </c>
      <c r="E28" s="158" t="s">
        <v>196</v>
      </c>
      <c r="H28" s="158" t="s">
        <v>1018</v>
      </c>
    </row>
    <row r="29" spans="2:8" ht="15.75" x14ac:dyDescent="0.25">
      <c r="B29" s="161">
        <v>3.27</v>
      </c>
      <c r="C29" s="1245"/>
      <c r="D29" s="158">
        <v>67</v>
      </c>
      <c r="E29" s="158" t="s">
        <v>196</v>
      </c>
      <c r="H29" s="158" t="s">
        <v>1049</v>
      </c>
    </row>
    <row r="30" spans="2:8" ht="15.75" x14ac:dyDescent="0.25">
      <c r="B30" s="161">
        <v>3.28</v>
      </c>
      <c r="C30" s="1245"/>
      <c r="D30" s="158">
        <v>67</v>
      </c>
      <c r="E30" s="158" t="s">
        <v>196</v>
      </c>
      <c r="H30" s="158" t="s">
        <v>1047</v>
      </c>
    </row>
    <row r="31" spans="2:8" ht="15.75" x14ac:dyDescent="0.25">
      <c r="B31" s="161">
        <v>3.29</v>
      </c>
      <c r="C31" s="1245"/>
      <c r="D31" s="158">
        <v>68</v>
      </c>
      <c r="E31" s="158" t="s">
        <v>196</v>
      </c>
      <c r="H31" s="158" t="s">
        <v>1048</v>
      </c>
    </row>
    <row r="32" spans="2:8" ht="15.75" x14ac:dyDescent="0.25">
      <c r="B32" s="161"/>
      <c r="C32" s="1245">
        <v>3.7</v>
      </c>
      <c r="D32" s="158">
        <v>68</v>
      </c>
      <c r="E32" s="158" t="s">
        <v>196</v>
      </c>
      <c r="H32" s="158" t="s">
        <v>1050</v>
      </c>
    </row>
    <row r="33" spans="2:8" ht="15.75" x14ac:dyDescent="0.25">
      <c r="B33" s="161">
        <v>3.34</v>
      </c>
      <c r="C33" s="1245"/>
      <c r="D33" s="158">
        <v>74</v>
      </c>
      <c r="E33" s="158" t="s">
        <v>196</v>
      </c>
      <c r="H33" s="158" t="s">
        <v>1056</v>
      </c>
    </row>
    <row r="34" spans="2:8" ht="15.75" x14ac:dyDescent="0.25">
      <c r="B34" s="161">
        <v>3.35</v>
      </c>
      <c r="C34" s="1245"/>
      <c r="D34" s="158">
        <v>75</v>
      </c>
      <c r="E34" s="158" t="s">
        <v>196</v>
      </c>
      <c r="H34" s="158" t="s">
        <v>1061</v>
      </c>
    </row>
    <row r="35" spans="2:8" ht="15.75" x14ac:dyDescent="0.25">
      <c r="B35" s="161">
        <v>3.36</v>
      </c>
      <c r="C35" s="1245"/>
      <c r="D35" s="158">
        <v>76</v>
      </c>
      <c r="E35" s="158" t="s">
        <v>196</v>
      </c>
      <c r="H35" s="158" t="s">
        <v>1068</v>
      </c>
    </row>
    <row r="36" spans="2:8" ht="15.75" x14ac:dyDescent="0.25">
      <c r="B36" s="161"/>
      <c r="C36" s="161">
        <v>3.1</v>
      </c>
      <c r="D36" s="158">
        <v>83</v>
      </c>
      <c r="E36" s="158" t="s">
        <v>196</v>
      </c>
      <c r="H36" s="158" t="s">
        <v>1069</v>
      </c>
    </row>
    <row r="37" spans="2:8" ht="15.75" x14ac:dyDescent="0.25">
      <c r="B37" s="161">
        <v>3.44</v>
      </c>
      <c r="C37" s="1245"/>
      <c r="D37" s="180" t="s">
        <v>1070</v>
      </c>
      <c r="E37" s="158" t="s">
        <v>196</v>
      </c>
      <c r="H37" s="158" t="s">
        <v>1075</v>
      </c>
    </row>
    <row r="38" spans="2:8" ht="15.75" x14ac:dyDescent="0.25">
      <c r="B38" s="161">
        <v>3.45</v>
      </c>
      <c r="C38" s="1245"/>
      <c r="D38" s="180">
        <v>84</v>
      </c>
      <c r="E38" s="158" t="s">
        <v>196</v>
      </c>
      <c r="H38" s="158" t="s">
        <v>1076</v>
      </c>
    </row>
    <row r="39" spans="2:8" ht="15.75" x14ac:dyDescent="0.25">
      <c r="B39" s="160">
        <v>3.46</v>
      </c>
      <c r="C39" s="160"/>
      <c r="D39" s="158">
        <v>88</v>
      </c>
      <c r="E39" s="158" t="s">
        <v>196</v>
      </c>
      <c r="H39" s="158" t="s">
        <v>1081</v>
      </c>
    </row>
    <row r="40" spans="2:8" ht="15.75" x14ac:dyDescent="0.25">
      <c r="B40" s="160">
        <v>3.47</v>
      </c>
      <c r="C40" s="160"/>
      <c r="D40" s="158">
        <v>89</v>
      </c>
      <c r="E40" s="158" t="s">
        <v>196</v>
      </c>
      <c r="H40" s="158" t="s">
        <v>1082</v>
      </c>
    </row>
    <row r="41" spans="2:8" ht="15.75" x14ac:dyDescent="0.25">
      <c r="B41" s="160">
        <v>3.48</v>
      </c>
      <c r="C41" s="160"/>
      <c r="D41" s="158">
        <v>90</v>
      </c>
      <c r="E41" s="158" t="s">
        <v>196</v>
      </c>
      <c r="H41" s="158" t="s">
        <v>1080</v>
      </c>
    </row>
    <row r="42" spans="2:8" ht="15.75" x14ac:dyDescent="0.25">
      <c r="B42" s="160">
        <v>3.49</v>
      </c>
      <c r="C42" s="160"/>
      <c r="D42" s="158">
        <v>94</v>
      </c>
      <c r="E42" s="158" t="s">
        <v>196</v>
      </c>
      <c r="H42" s="158" t="s">
        <v>1101</v>
      </c>
    </row>
    <row r="43" spans="2:8" ht="15.75" x14ac:dyDescent="0.25">
      <c r="B43" s="161">
        <v>3.5</v>
      </c>
      <c r="C43" s="160"/>
      <c r="D43" s="158">
        <v>95</v>
      </c>
      <c r="E43" s="158" t="s">
        <v>196</v>
      </c>
      <c r="H43" s="158" t="s">
        <v>1102</v>
      </c>
    </row>
    <row r="44" spans="2:8" ht="15.75" x14ac:dyDescent="0.25">
      <c r="B44" s="160">
        <v>3.52</v>
      </c>
      <c r="C44" s="160"/>
      <c r="D44" s="158">
        <v>98</v>
      </c>
      <c r="E44" s="158" t="s">
        <v>196</v>
      </c>
      <c r="H44" s="158" t="s">
        <v>1103</v>
      </c>
    </row>
    <row r="45" spans="2:8" ht="15.75" x14ac:dyDescent="0.25">
      <c r="B45" s="161">
        <v>3.53</v>
      </c>
      <c r="C45" s="160"/>
      <c r="D45" s="158">
        <v>99</v>
      </c>
      <c r="E45" s="158" t="s">
        <v>196</v>
      </c>
      <c r="H45" s="158" t="s">
        <v>1131</v>
      </c>
    </row>
    <row r="46" spans="2:8" ht="15.75" x14ac:dyDescent="0.25">
      <c r="B46" s="161">
        <v>3.54</v>
      </c>
      <c r="C46" s="160"/>
      <c r="D46" s="158">
        <v>99</v>
      </c>
      <c r="E46" s="158" t="s">
        <v>196</v>
      </c>
      <c r="H46" s="158" t="s">
        <v>1132</v>
      </c>
    </row>
    <row r="47" spans="2:8" ht="15.75" x14ac:dyDescent="0.25">
      <c r="B47" s="161">
        <v>3.55</v>
      </c>
      <c r="C47" s="160"/>
      <c r="D47" s="158">
        <v>99</v>
      </c>
      <c r="E47" s="158" t="s">
        <v>196</v>
      </c>
      <c r="H47" s="158" t="s">
        <v>1133</v>
      </c>
    </row>
    <row r="48" spans="2:8" ht="15.75" x14ac:dyDescent="0.25">
      <c r="B48" s="161">
        <v>3.56</v>
      </c>
      <c r="C48" s="160"/>
      <c r="D48" s="158">
        <v>100</v>
      </c>
      <c r="E48" s="158" t="s">
        <v>196</v>
      </c>
      <c r="H48" s="158" t="s">
        <v>1134</v>
      </c>
    </row>
    <row r="49" spans="2:8" ht="15.75" x14ac:dyDescent="0.25">
      <c r="B49" s="161">
        <v>3.57</v>
      </c>
      <c r="C49" s="160"/>
      <c r="D49" s="163">
        <v>100</v>
      </c>
      <c r="E49" s="158" t="s">
        <v>196</v>
      </c>
      <c r="H49" s="158" t="s">
        <v>1121</v>
      </c>
    </row>
    <row r="50" spans="2:8" ht="15.75" x14ac:dyDescent="0.25">
      <c r="B50" s="161"/>
      <c r="C50" s="160">
        <v>3.14</v>
      </c>
      <c r="D50" s="163">
        <v>100</v>
      </c>
      <c r="E50" s="158" t="s">
        <v>196</v>
      </c>
      <c r="H50" s="158" t="s">
        <v>1130</v>
      </c>
    </row>
    <row r="51" spans="2:8" ht="15.75" x14ac:dyDescent="0.25">
      <c r="B51" s="161">
        <v>3.58</v>
      </c>
      <c r="C51" s="160"/>
      <c r="D51" s="163">
        <v>101102</v>
      </c>
      <c r="E51" s="158" t="s">
        <v>196</v>
      </c>
      <c r="H51" s="158" t="s">
        <v>1120</v>
      </c>
    </row>
    <row r="52" spans="2:8" ht="15.75" x14ac:dyDescent="0.25">
      <c r="B52" s="160"/>
      <c r="C52" s="160"/>
    </row>
    <row r="53" spans="2:8" ht="15.75" x14ac:dyDescent="0.25">
      <c r="B53" s="160">
        <v>4.0999999999999996</v>
      </c>
      <c r="C53" s="160">
        <v>4.4000000000000004</v>
      </c>
      <c r="D53" s="158">
        <v>119</v>
      </c>
      <c r="E53" s="158" t="s">
        <v>197</v>
      </c>
      <c r="H53" s="158" t="s">
        <v>410</v>
      </c>
    </row>
    <row r="54" spans="2:8" ht="15.75" x14ac:dyDescent="0.25">
      <c r="B54" s="160">
        <v>4.2</v>
      </c>
      <c r="C54" s="160">
        <v>4.5</v>
      </c>
      <c r="D54" s="158">
        <v>120</v>
      </c>
      <c r="E54" s="158" t="s">
        <v>197</v>
      </c>
      <c r="H54" s="158" t="s">
        <v>411</v>
      </c>
    </row>
    <row r="55" spans="2:8" ht="15.75" x14ac:dyDescent="0.25">
      <c r="B55" s="160"/>
      <c r="C55" s="160">
        <v>4.5999999999999996</v>
      </c>
      <c r="D55" s="158">
        <v>122</v>
      </c>
      <c r="E55" s="158" t="s">
        <v>197</v>
      </c>
      <c r="H55" s="158" t="s">
        <v>413</v>
      </c>
    </row>
    <row r="56" spans="2:8" ht="15.75" x14ac:dyDescent="0.25">
      <c r="B56" s="160">
        <v>4.3</v>
      </c>
      <c r="C56" s="160">
        <v>4.7</v>
      </c>
      <c r="D56" s="158">
        <v>124</v>
      </c>
      <c r="E56" s="158" t="s">
        <v>197</v>
      </c>
      <c r="H56" s="158" t="s">
        <v>414</v>
      </c>
    </row>
    <row r="57" spans="2:8" ht="15.75" x14ac:dyDescent="0.25">
      <c r="B57" s="160"/>
      <c r="C57" s="160"/>
    </row>
    <row r="58" spans="2:8" ht="15.75" x14ac:dyDescent="0.25">
      <c r="B58" s="160">
        <v>5.0999999999999996</v>
      </c>
      <c r="C58" s="160">
        <v>5.0999999999999996</v>
      </c>
      <c r="D58" s="163">
        <v>139140</v>
      </c>
      <c r="E58" s="158" t="s">
        <v>412</v>
      </c>
      <c r="H58" s="158" t="s">
        <v>406</v>
      </c>
    </row>
    <row r="59" spans="2:8" ht="15.75" x14ac:dyDescent="0.25">
      <c r="B59" s="160">
        <v>5.2</v>
      </c>
      <c r="C59" s="160">
        <v>5.2</v>
      </c>
      <c r="D59" s="163">
        <v>141142</v>
      </c>
      <c r="E59" s="158" t="s">
        <v>412</v>
      </c>
      <c r="H59" s="158" t="s">
        <v>407</v>
      </c>
    </row>
    <row r="60" spans="2:8" ht="15.75" x14ac:dyDescent="0.25">
      <c r="B60" s="160">
        <v>5.3</v>
      </c>
      <c r="C60" s="160" t="s">
        <v>0</v>
      </c>
      <c r="D60" s="158">
        <v>146</v>
      </c>
      <c r="E60" s="158" t="s">
        <v>412</v>
      </c>
      <c r="H60" s="158" t="s">
        <v>408</v>
      </c>
    </row>
    <row r="61" spans="2:8" ht="15.75" x14ac:dyDescent="0.25">
      <c r="B61" s="160">
        <v>5.4</v>
      </c>
      <c r="C61" s="160">
        <v>5.3</v>
      </c>
      <c r="D61" s="163">
        <v>153154</v>
      </c>
      <c r="E61" s="158" t="s">
        <v>412</v>
      </c>
      <c r="H61" s="158" t="s">
        <v>415</v>
      </c>
    </row>
    <row r="62" spans="2:8" ht="15.75" x14ac:dyDescent="0.25">
      <c r="B62" s="160">
        <v>5.5</v>
      </c>
      <c r="C62" s="160">
        <v>5.4</v>
      </c>
      <c r="D62" s="163">
        <v>154155</v>
      </c>
      <c r="E62" s="158" t="s">
        <v>412</v>
      </c>
      <c r="H62" s="158" t="s">
        <v>416</v>
      </c>
    </row>
    <row r="63" spans="2:8" ht="15.75" x14ac:dyDescent="0.25">
      <c r="B63" s="160">
        <v>5.6</v>
      </c>
      <c r="C63" s="160">
        <v>5.5</v>
      </c>
      <c r="D63" s="163">
        <v>157158</v>
      </c>
      <c r="E63" s="158" t="s">
        <v>412</v>
      </c>
      <c r="H63" s="158" t="s">
        <v>449</v>
      </c>
    </row>
    <row r="64" spans="2:8" ht="15.75" x14ac:dyDescent="0.25">
      <c r="B64" s="160"/>
      <c r="C64" s="160"/>
    </row>
    <row r="65" spans="2:8" ht="15.75" x14ac:dyDescent="0.25">
      <c r="B65" s="160">
        <v>5.7</v>
      </c>
      <c r="C65" s="160" t="s">
        <v>422</v>
      </c>
      <c r="D65" s="163">
        <v>164165166</v>
      </c>
      <c r="E65" s="158" t="s">
        <v>421</v>
      </c>
      <c r="H65" s="158" t="s">
        <v>424</v>
      </c>
    </row>
    <row r="66" spans="2:8" ht="15.75" x14ac:dyDescent="0.25">
      <c r="B66" s="160">
        <v>5.8</v>
      </c>
      <c r="C66" s="160" t="s">
        <v>0</v>
      </c>
      <c r="D66" s="158">
        <v>165</v>
      </c>
      <c r="E66" s="158" t="s">
        <v>421</v>
      </c>
      <c r="H66" s="158" t="s">
        <v>423</v>
      </c>
    </row>
    <row r="67" spans="2:8" ht="15.75" x14ac:dyDescent="0.25">
      <c r="B67" s="160">
        <v>5.9</v>
      </c>
      <c r="C67" s="160" t="s">
        <v>425</v>
      </c>
      <c r="D67" s="163">
        <v>171172173</v>
      </c>
      <c r="E67" s="158" t="s">
        <v>421</v>
      </c>
      <c r="H67" s="158" t="s">
        <v>445</v>
      </c>
    </row>
    <row r="68" spans="2:8" ht="15.75" x14ac:dyDescent="0.25">
      <c r="B68" s="160" t="s">
        <v>0</v>
      </c>
      <c r="C68" s="160"/>
    </row>
    <row r="69" spans="2:8" ht="15.75" x14ac:dyDescent="0.25">
      <c r="B69" s="161">
        <v>5.0999999999999996</v>
      </c>
      <c r="C69" s="161" t="s">
        <v>0</v>
      </c>
      <c r="D69" s="163">
        <v>175176</v>
      </c>
      <c r="E69" s="158" t="s">
        <v>426</v>
      </c>
      <c r="H69" s="158" t="s">
        <v>433</v>
      </c>
    </row>
    <row r="70" spans="2:8" ht="15.75" x14ac:dyDescent="0.25">
      <c r="B70" s="160">
        <v>5.1100000000000003</v>
      </c>
      <c r="C70" s="160" t="s">
        <v>432</v>
      </c>
      <c r="D70" s="163">
        <v>178179180</v>
      </c>
      <c r="E70" s="158" t="s">
        <v>426</v>
      </c>
      <c r="H70" s="158" t="s">
        <v>434</v>
      </c>
    </row>
    <row r="71" spans="2:8" ht="15.75" x14ac:dyDescent="0.25">
      <c r="B71" s="160">
        <v>5.12</v>
      </c>
      <c r="C71" s="160" t="s">
        <v>442</v>
      </c>
      <c r="D71" s="163">
        <v>182183184</v>
      </c>
      <c r="E71" s="158" t="s">
        <v>426</v>
      </c>
      <c r="H71" s="158" t="s">
        <v>439</v>
      </c>
    </row>
    <row r="72" spans="2:8" ht="15.75" x14ac:dyDescent="0.25">
      <c r="B72" s="160">
        <v>5.13</v>
      </c>
      <c r="C72" s="160"/>
      <c r="D72" s="158">
        <v>187</v>
      </c>
      <c r="E72" s="158" t="s">
        <v>426</v>
      </c>
      <c r="H72" s="158" t="s">
        <v>441</v>
      </c>
    </row>
    <row r="73" spans="2:8" ht="15.75" x14ac:dyDescent="0.25">
      <c r="B73" s="160">
        <v>5.14</v>
      </c>
      <c r="C73" s="160">
        <v>5.17</v>
      </c>
      <c r="D73" s="163">
        <v>188189</v>
      </c>
      <c r="E73" s="158" t="s">
        <v>426</v>
      </c>
      <c r="H73" s="158" t="s">
        <v>142</v>
      </c>
    </row>
    <row r="74" spans="2:8" ht="15.75" x14ac:dyDescent="0.25">
      <c r="B74" s="160"/>
      <c r="C74" s="160"/>
    </row>
    <row r="75" spans="2:8" ht="15.75" x14ac:dyDescent="0.25">
      <c r="B75" s="160" t="s">
        <v>453</v>
      </c>
      <c r="C75" s="160">
        <v>5.18</v>
      </c>
      <c r="D75" s="163">
        <v>200201202</v>
      </c>
      <c r="E75" s="158" t="s">
        <v>147</v>
      </c>
      <c r="H75" s="158" t="s">
        <v>147</v>
      </c>
    </row>
    <row r="76" spans="2:8" ht="15.75" x14ac:dyDescent="0.25">
      <c r="B76" s="160"/>
      <c r="C76" s="160"/>
    </row>
    <row r="77" spans="2:8" ht="15.75" x14ac:dyDescent="0.25">
      <c r="B77" s="160">
        <v>5.17</v>
      </c>
      <c r="C77" s="160">
        <v>5.19</v>
      </c>
      <c r="D77" s="163">
        <v>210211</v>
      </c>
      <c r="E77" s="158" t="s">
        <v>457</v>
      </c>
      <c r="H77" s="158" t="s">
        <v>457</v>
      </c>
    </row>
    <row r="78" spans="2:8" ht="15.75" x14ac:dyDescent="0.25">
      <c r="B78" s="160"/>
      <c r="C78" s="160"/>
    </row>
    <row r="79" spans="2:8" ht="15.75" x14ac:dyDescent="0.25">
      <c r="B79" s="160">
        <v>5.18</v>
      </c>
      <c r="C79" s="161">
        <v>5.2</v>
      </c>
      <c r="D79" s="163">
        <v>215216</v>
      </c>
      <c r="E79" s="158" t="s">
        <v>466</v>
      </c>
      <c r="H79" s="158" t="s">
        <v>198</v>
      </c>
    </row>
    <row r="80" spans="2:8" ht="15.75" x14ac:dyDescent="0.25">
      <c r="B80" s="160">
        <v>5.19</v>
      </c>
      <c r="C80" s="160">
        <v>5.21</v>
      </c>
      <c r="D80" s="158">
        <v>217</v>
      </c>
      <c r="E80" s="158" t="s">
        <v>466</v>
      </c>
      <c r="H80" s="158" t="s">
        <v>467</v>
      </c>
    </row>
    <row r="81" spans="2:8" ht="15.75" x14ac:dyDescent="0.25">
      <c r="B81" s="161">
        <v>5.2</v>
      </c>
      <c r="C81" s="160">
        <v>5.22</v>
      </c>
      <c r="D81" s="158">
        <v>219</v>
      </c>
      <c r="E81" s="158" t="s">
        <v>466</v>
      </c>
      <c r="H81" s="158" t="s">
        <v>126</v>
      </c>
    </row>
    <row r="82" spans="2:8" ht="15.75" x14ac:dyDescent="0.25">
      <c r="B82" s="161">
        <v>5.21</v>
      </c>
      <c r="C82" s="160"/>
      <c r="D82" s="158">
        <v>220</v>
      </c>
      <c r="E82" s="158" t="s">
        <v>466</v>
      </c>
      <c r="H82" s="158" t="s">
        <v>468</v>
      </c>
    </row>
    <row r="83" spans="2:8" ht="15.75" x14ac:dyDescent="0.25">
      <c r="B83" s="161"/>
      <c r="C83" s="160"/>
    </row>
    <row r="84" spans="2:8" ht="15.75" x14ac:dyDescent="0.25">
      <c r="B84" s="161">
        <v>5.22</v>
      </c>
      <c r="C84" s="160"/>
      <c r="D84" s="158">
        <v>230</v>
      </c>
      <c r="E84" s="158" t="s">
        <v>470</v>
      </c>
      <c r="H84" s="158" t="s">
        <v>471</v>
      </c>
    </row>
    <row r="85" spans="2:8" ht="15.75" x14ac:dyDescent="0.25">
      <c r="B85" s="161"/>
      <c r="C85" s="160"/>
    </row>
    <row r="86" spans="2:8" ht="15.75" x14ac:dyDescent="0.25">
      <c r="B86" s="160"/>
      <c r="C86" s="160"/>
    </row>
    <row r="87" spans="2:8" ht="15.75" x14ac:dyDescent="0.25">
      <c r="B87" s="160"/>
      <c r="C87" s="160">
        <v>6.3</v>
      </c>
      <c r="D87" s="158">
        <v>253</v>
      </c>
      <c r="E87" s="158" t="s">
        <v>199</v>
      </c>
      <c r="H87" s="158" t="s">
        <v>491</v>
      </c>
    </row>
    <row r="88" spans="2:8" ht="15.75" x14ac:dyDescent="0.25">
      <c r="B88" s="160">
        <v>6.1</v>
      </c>
      <c r="C88" s="160"/>
      <c r="D88" s="158">
        <v>253</v>
      </c>
      <c r="E88" s="158" t="s">
        <v>199</v>
      </c>
      <c r="H88" s="158" t="s">
        <v>196</v>
      </c>
    </row>
    <row r="89" spans="2:8" ht="15.75" x14ac:dyDescent="0.25">
      <c r="B89" s="160">
        <v>6.2</v>
      </c>
      <c r="C89" s="160"/>
      <c r="D89" s="158">
        <v>253</v>
      </c>
      <c r="E89" s="158" t="s">
        <v>199</v>
      </c>
      <c r="H89" s="158" t="s">
        <v>489</v>
      </c>
    </row>
    <row r="90" spans="2:8" ht="15.75" x14ac:dyDescent="0.25">
      <c r="B90" s="160">
        <v>6.3</v>
      </c>
      <c r="C90" s="160"/>
      <c r="D90" s="158">
        <v>254</v>
      </c>
      <c r="E90" s="158" t="s">
        <v>199</v>
      </c>
      <c r="H90" s="158" t="s">
        <v>490</v>
      </c>
    </row>
    <row r="91" spans="2:8" ht="15.75" x14ac:dyDescent="0.25">
      <c r="B91" s="160">
        <v>6.4</v>
      </c>
      <c r="C91" s="160"/>
      <c r="D91" s="158">
        <v>254</v>
      </c>
      <c r="E91" s="158" t="s">
        <v>199</v>
      </c>
      <c r="H91" s="158" t="s">
        <v>478</v>
      </c>
    </row>
    <row r="92" spans="2:8" ht="15.75" x14ac:dyDescent="0.25">
      <c r="B92" s="160"/>
      <c r="C92" s="160">
        <v>6.4</v>
      </c>
      <c r="D92" s="158">
        <v>255</v>
      </c>
      <c r="E92" s="158" t="s">
        <v>199</v>
      </c>
      <c r="H92" s="158" t="s">
        <v>493</v>
      </c>
    </row>
    <row r="93" spans="2:8" ht="15.75" x14ac:dyDescent="0.25">
      <c r="B93" s="160"/>
      <c r="C93" s="160" t="s">
        <v>0</v>
      </c>
    </row>
    <row r="94" spans="2:8" ht="15.75" x14ac:dyDescent="0.25">
      <c r="B94" s="160">
        <v>6.5</v>
      </c>
      <c r="C94" s="160" t="s">
        <v>0</v>
      </c>
      <c r="D94" s="158">
        <v>257</v>
      </c>
      <c r="E94" s="158" t="s">
        <v>200</v>
      </c>
      <c r="H94" s="158" t="s">
        <v>489</v>
      </c>
    </row>
    <row r="95" spans="2:8" ht="15.75" x14ac:dyDescent="0.25">
      <c r="B95" s="160"/>
      <c r="C95" s="160">
        <v>6.5</v>
      </c>
      <c r="D95" s="158">
        <v>258</v>
      </c>
      <c r="E95" s="158" t="s">
        <v>200</v>
      </c>
      <c r="F95" s="158" t="s">
        <v>0</v>
      </c>
      <c r="H95" s="158" t="s">
        <v>493</v>
      </c>
    </row>
    <row r="96" spans="2:8" ht="15.75" x14ac:dyDescent="0.25">
      <c r="B96" s="160"/>
      <c r="C96" s="160"/>
    </row>
    <row r="97" spans="2:8" ht="15.75" x14ac:dyDescent="0.25">
      <c r="B97" s="160">
        <v>6.6</v>
      </c>
      <c r="C97" s="160"/>
      <c r="D97" s="158">
        <v>259</v>
      </c>
      <c r="E97" s="158" t="s">
        <v>201</v>
      </c>
      <c r="H97" s="158" t="s">
        <v>500</v>
      </c>
    </row>
    <row r="98" spans="2:8" ht="15.75" x14ac:dyDescent="0.25">
      <c r="B98" s="160"/>
      <c r="C98" s="160">
        <v>6.6</v>
      </c>
      <c r="D98" s="158">
        <v>259</v>
      </c>
      <c r="E98" s="158" t="s">
        <v>201</v>
      </c>
      <c r="H98" s="158" t="s">
        <v>493</v>
      </c>
    </row>
    <row r="99" spans="2:8" ht="15.75" x14ac:dyDescent="0.25">
      <c r="B99" s="160"/>
      <c r="C99" s="160"/>
    </row>
    <row r="100" spans="2:8" ht="15.75" x14ac:dyDescent="0.25">
      <c r="B100" s="160">
        <v>6.7</v>
      </c>
      <c r="C100" s="160"/>
      <c r="D100" s="158">
        <v>262</v>
      </c>
      <c r="E100" s="158" t="s">
        <v>76</v>
      </c>
      <c r="H100" s="158" t="s">
        <v>489</v>
      </c>
    </row>
    <row r="101" spans="2:8" ht="15.75" x14ac:dyDescent="0.25">
      <c r="B101" s="160">
        <v>6.8</v>
      </c>
      <c r="C101" s="160"/>
      <c r="D101" s="158">
        <v>262</v>
      </c>
      <c r="E101" s="158" t="s">
        <v>76</v>
      </c>
      <c r="H101" s="158" t="s">
        <v>509</v>
      </c>
    </row>
    <row r="102" spans="2:8" ht="15.75" x14ac:dyDescent="0.25">
      <c r="B102" s="160">
        <v>6.9</v>
      </c>
      <c r="C102" s="160"/>
      <c r="D102" s="158">
        <v>263</v>
      </c>
      <c r="E102" s="158" t="s">
        <v>76</v>
      </c>
      <c r="H102" s="158" t="s">
        <v>1135</v>
      </c>
    </row>
    <row r="103" spans="2:8" ht="15.75" x14ac:dyDescent="0.25">
      <c r="B103" s="160"/>
      <c r="C103" s="160">
        <v>6.7</v>
      </c>
      <c r="D103" s="158">
        <v>264</v>
      </c>
      <c r="E103" s="158" t="s">
        <v>76</v>
      </c>
      <c r="H103" s="158" t="s">
        <v>493</v>
      </c>
    </row>
    <row r="104" spans="2:8" ht="15.75" x14ac:dyDescent="0.25">
      <c r="B104" s="160"/>
      <c r="C104" s="160"/>
    </row>
    <row r="105" spans="2:8" ht="15.75" x14ac:dyDescent="0.25">
      <c r="B105" s="160"/>
      <c r="C105" s="160">
        <v>6.8</v>
      </c>
      <c r="D105" s="158">
        <v>265</v>
      </c>
      <c r="E105" s="158" t="s">
        <v>515</v>
      </c>
      <c r="H105" s="158" t="s">
        <v>513</v>
      </c>
    </row>
    <row r="106" spans="2:8" ht="15.75" x14ac:dyDescent="0.25">
      <c r="B106" s="160"/>
      <c r="C106" s="160">
        <v>6.9</v>
      </c>
      <c r="D106" s="158">
        <v>265</v>
      </c>
      <c r="E106" s="158" t="s">
        <v>515</v>
      </c>
      <c r="H106" s="158" t="s">
        <v>514</v>
      </c>
    </row>
    <row r="107" spans="2:8" ht="15.75" x14ac:dyDescent="0.25">
      <c r="B107" s="160"/>
      <c r="C107" s="160"/>
    </row>
    <row r="108" spans="2:8" ht="15.75" x14ac:dyDescent="0.25">
      <c r="B108" s="161"/>
      <c r="C108" s="161">
        <v>6.1</v>
      </c>
      <c r="D108" s="158">
        <v>268</v>
      </c>
      <c r="E108" s="158" t="s">
        <v>516</v>
      </c>
      <c r="H108" s="158" t="s">
        <v>493</v>
      </c>
    </row>
    <row r="109" spans="2:8" ht="15.75" x14ac:dyDescent="0.25">
      <c r="B109" s="161">
        <v>6.1</v>
      </c>
      <c r="C109" s="161" t="s">
        <v>0</v>
      </c>
      <c r="D109" s="158">
        <v>269</v>
      </c>
      <c r="E109" s="158" t="s">
        <v>516</v>
      </c>
      <c r="H109" s="158" t="s">
        <v>525</v>
      </c>
    </row>
    <row r="110" spans="2:8" ht="15.75" x14ac:dyDescent="0.25">
      <c r="B110" s="160">
        <v>6.11</v>
      </c>
      <c r="C110" s="160" t="s">
        <v>0</v>
      </c>
      <c r="D110" s="158">
        <v>269</v>
      </c>
      <c r="E110" s="158" t="s">
        <v>516</v>
      </c>
      <c r="H110" s="158" t="s">
        <v>520</v>
      </c>
    </row>
    <row r="111" spans="2:8" ht="15.75" x14ac:dyDescent="0.25">
      <c r="B111" s="160"/>
      <c r="C111" s="160"/>
    </row>
    <row r="112" spans="2:8" ht="15.75" x14ac:dyDescent="0.25">
      <c r="B112" s="160" t="s">
        <v>0</v>
      </c>
      <c r="C112" s="160">
        <v>6.11</v>
      </c>
      <c r="D112" s="158">
        <v>272</v>
      </c>
      <c r="E112" s="158" t="s">
        <v>538</v>
      </c>
      <c r="H112" s="158" t="s">
        <v>539</v>
      </c>
    </row>
    <row r="113" spans="2:8" ht="15.75" x14ac:dyDescent="0.25">
      <c r="B113" s="160">
        <v>6.12</v>
      </c>
      <c r="C113" s="160" t="s">
        <v>0</v>
      </c>
      <c r="D113" s="158">
        <v>272</v>
      </c>
      <c r="E113" s="158" t="s">
        <v>538</v>
      </c>
      <c r="H113" s="158" t="s">
        <v>540</v>
      </c>
    </row>
    <row r="114" spans="2:8" ht="15.75" x14ac:dyDescent="0.25">
      <c r="B114" s="160" t="s">
        <v>0</v>
      </c>
      <c r="C114" s="160" t="s">
        <v>541</v>
      </c>
      <c r="D114" s="158">
        <v>273</v>
      </c>
      <c r="E114" s="158" t="s">
        <v>538</v>
      </c>
      <c r="H114" s="158" t="s">
        <v>542</v>
      </c>
    </row>
    <row r="115" spans="2:8" ht="15.75" x14ac:dyDescent="0.25">
      <c r="B115" s="160">
        <v>6.13</v>
      </c>
      <c r="C115" s="160">
        <v>6.15</v>
      </c>
      <c r="D115" s="158">
        <v>274</v>
      </c>
      <c r="E115" s="158" t="s">
        <v>538</v>
      </c>
      <c r="H115" s="158" t="s">
        <v>543</v>
      </c>
    </row>
    <row r="116" spans="2:8" ht="15.75" x14ac:dyDescent="0.25">
      <c r="B116" s="160">
        <v>6.14</v>
      </c>
      <c r="C116" s="160">
        <v>6.16</v>
      </c>
      <c r="D116" s="163">
        <v>274275</v>
      </c>
      <c r="E116" s="158" t="s">
        <v>538</v>
      </c>
      <c r="H116" s="158" t="s">
        <v>544</v>
      </c>
    </row>
    <row r="117" spans="2:8" ht="15.75" x14ac:dyDescent="0.25">
      <c r="B117" s="160">
        <v>6.15</v>
      </c>
      <c r="C117" s="160">
        <v>6.17</v>
      </c>
      <c r="D117" s="158">
        <v>275</v>
      </c>
      <c r="E117" s="158" t="s">
        <v>538</v>
      </c>
      <c r="H117" s="158" t="s">
        <v>545</v>
      </c>
    </row>
    <row r="118" spans="2:8" ht="15.75" x14ac:dyDescent="0.25">
      <c r="B118" s="160"/>
      <c r="C118" s="160"/>
    </row>
    <row r="119" spans="2:8" ht="15.75" x14ac:dyDescent="0.25">
      <c r="B119" s="160">
        <v>6.16</v>
      </c>
      <c r="C119" s="160"/>
      <c r="D119" s="158">
        <v>276</v>
      </c>
      <c r="E119" s="158" t="s">
        <v>546</v>
      </c>
      <c r="H119" s="158" t="s">
        <v>547</v>
      </c>
    </row>
    <row r="120" spans="2:8" ht="15.75" x14ac:dyDescent="0.25">
      <c r="B120" s="160" t="s">
        <v>593</v>
      </c>
      <c r="C120" s="160">
        <v>6.18</v>
      </c>
      <c r="D120" s="158">
        <v>277</v>
      </c>
      <c r="E120" s="158" t="s">
        <v>546</v>
      </c>
      <c r="H120" s="158" t="s">
        <v>571</v>
      </c>
    </row>
    <row r="121" spans="2:8" ht="15.75" x14ac:dyDescent="0.25">
      <c r="B121" s="160" t="s">
        <v>594</v>
      </c>
      <c r="C121" s="160">
        <v>6.19</v>
      </c>
      <c r="D121" s="158">
        <v>278</v>
      </c>
      <c r="E121" s="158" t="s">
        <v>546</v>
      </c>
      <c r="H121" s="158" t="s">
        <v>572</v>
      </c>
    </row>
    <row r="122" spans="2:8" ht="15.75" x14ac:dyDescent="0.25">
      <c r="B122" s="160" t="s">
        <v>595</v>
      </c>
      <c r="C122" s="161">
        <v>6.2</v>
      </c>
      <c r="D122" s="158">
        <v>279</v>
      </c>
      <c r="E122" s="158" t="s">
        <v>546</v>
      </c>
      <c r="H122" s="158" t="s">
        <v>573</v>
      </c>
    </row>
    <row r="123" spans="2:8" ht="15.75" x14ac:dyDescent="0.25">
      <c r="B123" s="160" t="s">
        <v>596</v>
      </c>
      <c r="C123" s="160">
        <v>6.21</v>
      </c>
      <c r="D123" s="158">
        <v>280</v>
      </c>
      <c r="E123" s="158" t="s">
        <v>546</v>
      </c>
      <c r="H123" s="158" t="s">
        <v>574</v>
      </c>
    </row>
    <row r="124" spans="2:8" ht="15.75" x14ac:dyDescent="0.25">
      <c r="B124" s="160" t="s">
        <v>597</v>
      </c>
      <c r="C124" s="160">
        <v>6.22</v>
      </c>
      <c r="D124" s="163">
        <v>281282</v>
      </c>
      <c r="E124" s="158" t="s">
        <v>546</v>
      </c>
      <c r="H124" s="158" t="s">
        <v>598</v>
      </c>
    </row>
    <row r="125" spans="2:8" ht="15.75" x14ac:dyDescent="0.25">
      <c r="B125" s="161"/>
      <c r="C125" s="160"/>
    </row>
    <row r="126" spans="2:8" ht="15.75" x14ac:dyDescent="0.25">
      <c r="B126" s="161" t="s">
        <v>0</v>
      </c>
      <c r="C126" s="161">
        <v>6.23</v>
      </c>
      <c r="D126" s="158">
        <v>282</v>
      </c>
      <c r="E126" s="158" t="s">
        <v>610</v>
      </c>
      <c r="H126" s="158" t="s">
        <v>616</v>
      </c>
    </row>
    <row r="127" spans="2:8" ht="15.75" x14ac:dyDescent="0.25">
      <c r="B127" s="160">
        <v>6.28</v>
      </c>
      <c r="C127" s="160" t="s">
        <v>0</v>
      </c>
      <c r="D127" s="158">
        <v>283</v>
      </c>
      <c r="E127" s="158" t="s">
        <v>610</v>
      </c>
      <c r="H127" s="158" t="s">
        <v>612</v>
      </c>
    </row>
    <row r="128" spans="2:8" ht="15.75" x14ac:dyDescent="0.25">
      <c r="B128" s="160">
        <v>6.29</v>
      </c>
      <c r="C128" s="160" t="s">
        <v>0</v>
      </c>
      <c r="D128" s="158">
        <v>283</v>
      </c>
      <c r="E128" s="158" t="s">
        <v>610</v>
      </c>
      <c r="H128" s="158" t="s">
        <v>613</v>
      </c>
    </row>
    <row r="129" spans="2:8" ht="15.75" x14ac:dyDescent="0.25">
      <c r="B129" s="161">
        <v>6.3</v>
      </c>
      <c r="C129" s="161" t="s">
        <v>0</v>
      </c>
      <c r="D129" s="158">
        <v>283</v>
      </c>
      <c r="E129" s="158" t="s">
        <v>610</v>
      </c>
      <c r="H129" s="158" t="s">
        <v>614</v>
      </c>
    </row>
    <row r="130" spans="2:8" ht="15.75" x14ac:dyDescent="0.25">
      <c r="B130" s="161" t="s">
        <v>0</v>
      </c>
      <c r="C130" s="161">
        <v>6.24</v>
      </c>
      <c r="D130" s="158">
        <v>284</v>
      </c>
      <c r="E130" s="158" t="s">
        <v>610</v>
      </c>
      <c r="H130" s="158" t="s">
        <v>615</v>
      </c>
    </row>
    <row r="131" spans="2:8" ht="15.75" x14ac:dyDescent="0.25">
      <c r="B131" s="160">
        <v>6.31</v>
      </c>
      <c r="C131" s="160" t="s">
        <v>0</v>
      </c>
      <c r="D131" s="158">
        <v>284</v>
      </c>
      <c r="E131" s="158" t="s">
        <v>610</v>
      </c>
      <c r="H131" s="158" t="s">
        <v>617</v>
      </c>
    </row>
    <row r="132" spans="2:8" ht="15.75" x14ac:dyDescent="0.25">
      <c r="B132" s="160">
        <v>6.32</v>
      </c>
      <c r="C132" s="160" t="s">
        <v>0</v>
      </c>
      <c r="D132" s="158">
        <v>285</v>
      </c>
      <c r="E132" s="158" t="s">
        <v>610</v>
      </c>
      <c r="H132" s="158" t="s">
        <v>618</v>
      </c>
    </row>
    <row r="133" spans="2:8" ht="15.75" x14ac:dyDescent="0.25">
      <c r="B133" s="161" t="s">
        <v>0</v>
      </c>
      <c r="C133" s="161">
        <v>6.25</v>
      </c>
      <c r="D133" s="158">
        <v>286</v>
      </c>
      <c r="E133" s="158" t="s">
        <v>610</v>
      </c>
      <c r="H133" s="158" t="s">
        <v>619</v>
      </c>
    </row>
    <row r="134" spans="2:8" ht="15.75" x14ac:dyDescent="0.25">
      <c r="B134" s="160">
        <v>6.34</v>
      </c>
      <c r="C134" s="160" t="s">
        <v>99</v>
      </c>
      <c r="D134" s="158">
        <v>286</v>
      </c>
      <c r="E134" s="158" t="s">
        <v>610</v>
      </c>
      <c r="H134" s="158" t="s">
        <v>620</v>
      </c>
    </row>
    <row r="135" spans="2:8" ht="15.75" x14ac:dyDescent="0.25">
      <c r="B135" s="160">
        <v>6.35</v>
      </c>
      <c r="C135" s="160" t="s">
        <v>0</v>
      </c>
      <c r="D135" s="158">
        <v>287</v>
      </c>
      <c r="E135" s="158" t="s">
        <v>610</v>
      </c>
      <c r="H135" s="158" t="s">
        <v>621</v>
      </c>
    </row>
    <row r="136" spans="2:8" ht="15.75" x14ac:dyDescent="0.25">
      <c r="B136" s="160">
        <v>6.36</v>
      </c>
      <c r="C136" s="160" t="s">
        <v>0</v>
      </c>
      <c r="D136" s="158">
        <v>287</v>
      </c>
      <c r="E136" s="158" t="s">
        <v>610</v>
      </c>
      <c r="H136" s="158" t="s">
        <v>622</v>
      </c>
    </row>
    <row r="137" spans="2:8" ht="15.75" x14ac:dyDescent="0.25">
      <c r="B137" s="161"/>
      <c r="C137" s="160"/>
    </row>
    <row r="138" spans="2:8" ht="15.75" x14ac:dyDescent="0.25">
      <c r="B138" s="161" t="s">
        <v>0</v>
      </c>
      <c r="C138" s="161">
        <v>6.26</v>
      </c>
      <c r="D138" s="158">
        <v>288</v>
      </c>
      <c r="E138" s="158" t="s">
        <v>217</v>
      </c>
      <c r="H138" s="158" t="s">
        <v>623</v>
      </c>
    </row>
    <row r="139" spans="2:8" ht="15.75" x14ac:dyDescent="0.25">
      <c r="B139" s="160">
        <v>6.37</v>
      </c>
      <c r="C139" s="160" t="s">
        <v>0</v>
      </c>
      <c r="D139" s="158">
        <v>288</v>
      </c>
      <c r="E139" s="158" t="s">
        <v>217</v>
      </c>
      <c r="H139" s="158" t="s">
        <v>641</v>
      </c>
    </row>
    <row r="140" spans="2:8" ht="15.75" x14ac:dyDescent="0.25">
      <c r="B140" s="160">
        <v>6.38</v>
      </c>
      <c r="C140" s="160" t="s">
        <v>0</v>
      </c>
      <c r="D140" s="158">
        <v>289</v>
      </c>
      <c r="E140" s="158" t="s">
        <v>217</v>
      </c>
      <c r="H140" s="158" t="s">
        <v>643</v>
      </c>
    </row>
    <row r="141" spans="2:8" ht="15.75" x14ac:dyDescent="0.25">
      <c r="B141" s="160">
        <v>6.39</v>
      </c>
      <c r="C141" s="160" t="s">
        <v>0</v>
      </c>
      <c r="D141" s="158">
        <v>289</v>
      </c>
      <c r="E141" s="158" t="s">
        <v>217</v>
      </c>
      <c r="H141" s="158" t="s">
        <v>644</v>
      </c>
    </row>
    <row r="142" spans="2:8" ht="15.75" x14ac:dyDescent="0.25">
      <c r="B142" s="161" t="s">
        <v>0</v>
      </c>
      <c r="C142" s="161">
        <v>6.27</v>
      </c>
      <c r="D142" s="158">
        <v>290</v>
      </c>
      <c r="E142" s="158" t="s">
        <v>217</v>
      </c>
      <c r="H142" s="158" t="s">
        <v>646</v>
      </c>
    </row>
    <row r="143" spans="2:8" ht="15.75" x14ac:dyDescent="0.25">
      <c r="B143" s="161">
        <v>6.4</v>
      </c>
      <c r="C143" s="161" t="s">
        <v>0</v>
      </c>
      <c r="D143" s="158">
        <v>290</v>
      </c>
      <c r="E143" s="158" t="s">
        <v>217</v>
      </c>
      <c r="H143" s="158" t="s">
        <v>647</v>
      </c>
    </row>
    <row r="144" spans="2:8" ht="15.75" x14ac:dyDescent="0.25">
      <c r="B144" s="160">
        <v>6.41</v>
      </c>
      <c r="C144" s="160" t="s">
        <v>0</v>
      </c>
      <c r="D144" s="158">
        <v>291</v>
      </c>
      <c r="E144" s="158" t="s">
        <v>217</v>
      </c>
      <c r="H144" s="158" t="s">
        <v>648</v>
      </c>
    </row>
    <row r="145" spans="2:8" ht="15.75" x14ac:dyDescent="0.25">
      <c r="B145" s="160">
        <v>6.42</v>
      </c>
      <c r="C145" s="160" t="s">
        <v>0</v>
      </c>
      <c r="D145" s="158">
        <v>291</v>
      </c>
      <c r="E145" s="158" t="s">
        <v>217</v>
      </c>
      <c r="H145" s="158" t="s">
        <v>649</v>
      </c>
    </row>
    <row r="146" spans="2:8" ht="15.75" x14ac:dyDescent="0.25">
      <c r="B146" s="161" t="s">
        <v>0</v>
      </c>
      <c r="C146" s="161">
        <v>6.28</v>
      </c>
      <c r="D146" s="158">
        <v>292</v>
      </c>
      <c r="E146" s="158" t="s">
        <v>217</v>
      </c>
      <c r="H146" s="158" t="s">
        <v>650</v>
      </c>
    </row>
    <row r="147" spans="2:8" ht="15.75" x14ac:dyDescent="0.25">
      <c r="B147" s="160">
        <v>6.43</v>
      </c>
      <c r="C147" s="160" t="s">
        <v>0</v>
      </c>
      <c r="D147" s="158">
        <v>292</v>
      </c>
      <c r="E147" s="158" t="s">
        <v>217</v>
      </c>
      <c r="H147" s="158" t="s">
        <v>652</v>
      </c>
    </row>
    <row r="148" spans="2:8" ht="15.75" x14ac:dyDescent="0.25">
      <c r="B148" s="161"/>
      <c r="C148" s="160"/>
    </row>
    <row r="149" spans="2:8" ht="15.75" x14ac:dyDescent="0.25">
      <c r="B149" s="160">
        <v>6.45</v>
      </c>
      <c r="C149" s="160" t="s">
        <v>0</v>
      </c>
      <c r="D149" s="158">
        <v>293</v>
      </c>
      <c r="E149" s="158" t="s">
        <v>653</v>
      </c>
      <c r="H149" s="158" t="s">
        <v>655</v>
      </c>
    </row>
    <row r="150" spans="2:8" ht="15.75" x14ac:dyDescent="0.25">
      <c r="B150" s="160"/>
      <c r="C150" s="161">
        <v>6.29</v>
      </c>
      <c r="D150" s="158">
        <v>294</v>
      </c>
      <c r="E150" s="158" t="s">
        <v>653</v>
      </c>
      <c r="H150" s="158" t="s">
        <v>654</v>
      </c>
    </row>
    <row r="151" spans="2:8" ht="15.75" x14ac:dyDescent="0.25">
      <c r="B151" s="160"/>
      <c r="C151" s="160"/>
    </row>
    <row r="152" spans="2:8" ht="15.75" x14ac:dyDescent="0.25">
      <c r="B152" s="161" t="s">
        <v>0</v>
      </c>
      <c r="C152" s="161">
        <v>6.3</v>
      </c>
      <c r="D152" s="158">
        <v>297</v>
      </c>
      <c r="E152" s="158" t="s">
        <v>202</v>
      </c>
      <c r="H152" s="158" t="s">
        <v>659</v>
      </c>
    </row>
    <row r="153" spans="2:8" ht="15.75" x14ac:dyDescent="0.25">
      <c r="B153" s="160">
        <v>6.46</v>
      </c>
      <c r="C153" s="160" t="s">
        <v>0</v>
      </c>
      <c r="D153" s="158">
        <v>298</v>
      </c>
      <c r="E153" s="158" t="s">
        <v>202</v>
      </c>
      <c r="H153" s="158" t="s">
        <v>540</v>
      </c>
    </row>
    <row r="154" spans="2:8" ht="15.75" x14ac:dyDescent="0.25">
      <c r="B154" s="160">
        <v>6.47</v>
      </c>
      <c r="C154" s="160" t="s">
        <v>0</v>
      </c>
      <c r="D154" s="158">
        <v>298</v>
      </c>
      <c r="E154" s="158" t="s">
        <v>202</v>
      </c>
      <c r="H154" s="158" t="s">
        <v>489</v>
      </c>
    </row>
    <row r="155" spans="2:8" ht="15.75" x14ac:dyDescent="0.25">
      <c r="B155" s="160">
        <v>6.48</v>
      </c>
      <c r="C155" s="160" t="s">
        <v>0</v>
      </c>
      <c r="D155" s="158">
        <v>298</v>
      </c>
      <c r="E155" s="158" t="s">
        <v>202</v>
      </c>
      <c r="H155" s="158" t="s">
        <v>490</v>
      </c>
    </row>
    <row r="156" spans="2:8" ht="15.75" x14ac:dyDescent="0.25">
      <c r="B156" s="160">
        <v>6.49</v>
      </c>
      <c r="C156" s="160" t="s">
        <v>0</v>
      </c>
      <c r="D156" s="158">
        <v>299</v>
      </c>
      <c r="E156" s="158" t="s">
        <v>202</v>
      </c>
      <c r="H156" s="158" t="s">
        <v>478</v>
      </c>
    </row>
    <row r="157" spans="2:8" ht="15.75" x14ac:dyDescent="0.25">
      <c r="B157" s="161">
        <v>6.5</v>
      </c>
      <c r="C157" s="161" t="s">
        <v>0</v>
      </c>
      <c r="D157" s="158">
        <v>299</v>
      </c>
      <c r="E157" s="158" t="s">
        <v>202</v>
      </c>
      <c r="H157" s="158" t="s">
        <v>707</v>
      </c>
    </row>
    <row r="158" spans="2:8" ht="15.75" x14ac:dyDescent="0.25">
      <c r="B158" s="160">
        <v>6.51</v>
      </c>
      <c r="C158" s="160" t="s">
        <v>0</v>
      </c>
      <c r="D158" s="158">
        <v>299</v>
      </c>
      <c r="E158" s="158" t="s">
        <v>202</v>
      </c>
      <c r="H158" s="158" t="s">
        <v>657</v>
      </c>
    </row>
    <row r="159" spans="2:8" ht="15.75" x14ac:dyDescent="0.25">
      <c r="B159" s="160" t="s">
        <v>0</v>
      </c>
      <c r="C159" s="160">
        <v>6.31</v>
      </c>
      <c r="D159" s="158">
        <v>300</v>
      </c>
      <c r="E159" s="158" t="s">
        <v>202</v>
      </c>
      <c r="H159" s="158" t="s">
        <v>658</v>
      </c>
    </row>
    <row r="160" spans="2:8" ht="15.75" x14ac:dyDescent="0.25">
      <c r="B160" s="160"/>
      <c r="C160" s="160"/>
    </row>
    <row r="161" spans="2:8" ht="15.75" x14ac:dyDescent="0.25">
      <c r="B161" s="160"/>
      <c r="C161" s="160" t="s">
        <v>0</v>
      </c>
    </row>
    <row r="162" spans="2:8" ht="15.75" x14ac:dyDescent="0.25">
      <c r="B162" s="160" t="s">
        <v>0</v>
      </c>
      <c r="C162" s="160">
        <v>6.32</v>
      </c>
      <c r="D162" s="158">
        <v>303</v>
      </c>
      <c r="E162" s="158" t="s">
        <v>203</v>
      </c>
      <c r="H162" s="158" t="s">
        <v>695</v>
      </c>
    </row>
    <row r="163" spans="2:8" ht="15.75" x14ac:dyDescent="0.25">
      <c r="B163" s="160">
        <v>6.52</v>
      </c>
      <c r="C163" s="160" t="s">
        <v>0</v>
      </c>
      <c r="D163" s="158">
        <v>304</v>
      </c>
      <c r="E163" s="158" t="s">
        <v>203</v>
      </c>
      <c r="H163" s="158" t="s">
        <v>540</v>
      </c>
    </row>
    <row r="164" spans="2:8" ht="15.75" x14ac:dyDescent="0.25">
      <c r="B164" s="160">
        <v>6.53</v>
      </c>
      <c r="C164" s="160" t="s">
        <v>0</v>
      </c>
      <c r="D164" s="158">
        <v>304</v>
      </c>
      <c r="E164" s="158" t="s">
        <v>203</v>
      </c>
      <c r="H164" s="158" t="s">
        <v>489</v>
      </c>
    </row>
    <row r="165" spans="2:8" ht="15.75" x14ac:dyDescent="0.25">
      <c r="B165" s="160">
        <v>6.54</v>
      </c>
      <c r="C165" s="160" t="s">
        <v>0</v>
      </c>
      <c r="D165" s="158">
        <v>304</v>
      </c>
      <c r="E165" s="158" t="s">
        <v>203</v>
      </c>
      <c r="H165" s="158" t="s">
        <v>490</v>
      </c>
    </row>
    <row r="166" spans="2:8" ht="15.75" x14ac:dyDescent="0.25">
      <c r="B166" s="160">
        <v>6.55</v>
      </c>
      <c r="C166" s="160" t="s">
        <v>0</v>
      </c>
      <c r="D166" s="158">
        <v>305</v>
      </c>
      <c r="E166" s="158" t="s">
        <v>203</v>
      </c>
      <c r="H166" s="158" t="s">
        <v>707</v>
      </c>
    </row>
    <row r="167" spans="2:8" ht="15.75" x14ac:dyDescent="0.25">
      <c r="B167" s="160" t="s">
        <v>0</v>
      </c>
      <c r="C167" s="160">
        <v>6.33</v>
      </c>
      <c r="D167" s="158">
        <v>305</v>
      </c>
      <c r="E167" s="158" t="s">
        <v>203</v>
      </c>
      <c r="H167" s="158" t="s">
        <v>696</v>
      </c>
    </row>
    <row r="168" spans="2:8" ht="15.75" x14ac:dyDescent="0.25">
      <c r="B168" s="160"/>
      <c r="C168" s="160"/>
      <c r="D168" s="158" t="s">
        <v>0</v>
      </c>
    </row>
    <row r="169" spans="2:8" ht="15.75" x14ac:dyDescent="0.25">
      <c r="B169" s="160" t="s">
        <v>0</v>
      </c>
      <c r="C169" s="160">
        <v>6.34</v>
      </c>
      <c r="D169" s="158">
        <v>308</v>
      </c>
      <c r="E169" s="158" t="s">
        <v>204</v>
      </c>
      <c r="H169" s="158" t="s">
        <v>727</v>
      </c>
    </row>
    <row r="170" spans="2:8" ht="15.75" x14ac:dyDescent="0.25">
      <c r="B170" s="160">
        <v>6.56</v>
      </c>
      <c r="C170" s="160" t="s">
        <v>0</v>
      </c>
      <c r="D170" s="158">
        <v>308</v>
      </c>
      <c r="E170" s="158" t="s">
        <v>204</v>
      </c>
      <c r="H170" s="158" t="s">
        <v>540</v>
      </c>
    </row>
    <row r="171" spans="2:8" ht="15.75" x14ac:dyDescent="0.25">
      <c r="B171" s="160">
        <v>6.57</v>
      </c>
      <c r="C171" s="160" t="s">
        <v>0</v>
      </c>
      <c r="D171" s="158">
        <v>308</v>
      </c>
      <c r="E171" s="158" t="s">
        <v>204</v>
      </c>
      <c r="H171" s="158" t="s">
        <v>705</v>
      </c>
    </row>
    <row r="172" spans="2:8" ht="15.75" x14ac:dyDescent="0.25">
      <c r="B172" s="160">
        <v>6.58</v>
      </c>
      <c r="C172" s="160" t="s">
        <v>0</v>
      </c>
      <c r="D172" s="158">
        <v>309</v>
      </c>
      <c r="E172" s="158" t="s">
        <v>204</v>
      </c>
      <c r="H172" s="158" t="s">
        <v>489</v>
      </c>
    </row>
    <row r="173" spans="2:8" ht="15.75" x14ac:dyDescent="0.25">
      <c r="B173" s="160">
        <v>6.59</v>
      </c>
      <c r="C173" s="160" t="s">
        <v>0</v>
      </c>
      <c r="D173" s="158">
        <v>309</v>
      </c>
      <c r="E173" s="158" t="s">
        <v>204</v>
      </c>
      <c r="H173" s="158" t="s">
        <v>490</v>
      </c>
    </row>
    <row r="174" spans="2:8" ht="15.75" x14ac:dyDescent="0.25">
      <c r="B174" s="161">
        <v>6.6</v>
      </c>
      <c r="C174" s="161" t="s">
        <v>0</v>
      </c>
      <c r="D174" s="158">
        <v>309</v>
      </c>
      <c r="E174" s="158" t="s">
        <v>204</v>
      </c>
      <c r="H174" s="158" t="s">
        <v>707</v>
      </c>
    </row>
    <row r="175" spans="2:8" ht="15.75" x14ac:dyDescent="0.25">
      <c r="B175" s="160" t="s">
        <v>0</v>
      </c>
      <c r="C175" s="160">
        <v>6.35</v>
      </c>
      <c r="D175" s="158">
        <v>310</v>
      </c>
      <c r="E175" s="158" t="s">
        <v>204</v>
      </c>
      <c r="H175" s="158" t="s">
        <v>706</v>
      </c>
    </row>
    <row r="176" spans="2:8" ht="15.75" x14ac:dyDescent="0.25">
      <c r="B176" s="160"/>
      <c r="C176" s="160"/>
    </row>
    <row r="177" spans="2:8" ht="15.75" x14ac:dyDescent="0.25">
      <c r="B177" s="160">
        <v>6.61</v>
      </c>
      <c r="C177" s="160" t="s">
        <v>0</v>
      </c>
      <c r="D177" s="158">
        <v>311</v>
      </c>
      <c r="E177" s="158" t="s">
        <v>205</v>
      </c>
      <c r="H177" s="158" t="s">
        <v>719</v>
      </c>
    </row>
    <row r="178" spans="2:8" ht="15.75" x14ac:dyDescent="0.25">
      <c r="B178" s="160">
        <v>6.62</v>
      </c>
      <c r="C178" s="160" t="s">
        <v>0</v>
      </c>
      <c r="D178" s="158">
        <v>312</v>
      </c>
      <c r="E178" s="158" t="s">
        <v>205</v>
      </c>
      <c r="H178" s="158" t="s">
        <v>720</v>
      </c>
    </row>
    <row r="179" spans="2:8" ht="15.75" x14ac:dyDescent="0.25">
      <c r="B179" s="160">
        <v>6.63</v>
      </c>
      <c r="C179" s="160" t="s">
        <v>0</v>
      </c>
      <c r="D179" s="158">
        <v>312</v>
      </c>
      <c r="E179" s="158" t="s">
        <v>205</v>
      </c>
      <c r="H179" s="158" t="s">
        <v>721</v>
      </c>
    </row>
    <row r="180" spans="2:8" ht="15.75" x14ac:dyDescent="0.25">
      <c r="B180" s="160">
        <v>6.64</v>
      </c>
      <c r="C180" s="160" t="s">
        <v>0</v>
      </c>
      <c r="D180" s="158">
        <v>313</v>
      </c>
      <c r="E180" s="158" t="s">
        <v>205</v>
      </c>
      <c r="H180" s="158" t="s">
        <v>722</v>
      </c>
    </row>
    <row r="181" spans="2:8" ht="15.75" x14ac:dyDescent="0.25">
      <c r="B181" s="161">
        <v>6.65</v>
      </c>
      <c r="C181" s="161" t="s">
        <v>0</v>
      </c>
      <c r="D181" s="158">
        <v>314</v>
      </c>
      <c r="E181" s="158" t="s">
        <v>205</v>
      </c>
      <c r="H181" s="158" t="s">
        <v>723</v>
      </c>
    </row>
    <row r="182" spans="2:8" ht="15.75" x14ac:dyDescent="0.25">
      <c r="B182" s="161"/>
      <c r="C182" s="161"/>
    </row>
    <row r="183" spans="2:8" ht="15.75" x14ac:dyDescent="0.25">
      <c r="B183" s="160">
        <v>6.66</v>
      </c>
      <c r="C183" s="160" t="s">
        <v>0</v>
      </c>
      <c r="D183" s="158">
        <v>315</v>
      </c>
      <c r="E183" s="158" t="s">
        <v>206</v>
      </c>
      <c r="H183" s="158" t="s">
        <v>728</v>
      </c>
    </row>
    <row r="184" spans="2:8" ht="15.75" x14ac:dyDescent="0.25">
      <c r="B184" s="160" t="s">
        <v>0</v>
      </c>
      <c r="C184" s="160">
        <v>6.36</v>
      </c>
      <c r="D184" s="158">
        <v>316</v>
      </c>
      <c r="E184" s="158" t="s">
        <v>206</v>
      </c>
      <c r="H184" s="158" t="s">
        <v>740</v>
      </c>
    </row>
    <row r="185" spans="2:8" ht="15.75" x14ac:dyDescent="0.25">
      <c r="B185" s="160">
        <v>6.67</v>
      </c>
      <c r="C185" s="160" t="s">
        <v>0</v>
      </c>
      <c r="D185" s="158">
        <v>317</v>
      </c>
      <c r="E185" s="158" t="s">
        <v>206</v>
      </c>
      <c r="H185" s="158" t="s">
        <v>729</v>
      </c>
    </row>
    <row r="186" spans="2:8" ht="15.75" x14ac:dyDescent="0.25">
      <c r="B186" s="160">
        <v>6.68</v>
      </c>
      <c r="C186" s="160" t="s">
        <v>0</v>
      </c>
      <c r="D186" s="158">
        <v>317</v>
      </c>
      <c r="E186" s="158" t="s">
        <v>206</v>
      </c>
      <c r="H186" s="158" t="s">
        <v>730</v>
      </c>
    </row>
    <row r="187" spans="2:8" ht="15.75" x14ac:dyDescent="0.25">
      <c r="B187" s="160">
        <v>6.69</v>
      </c>
      <c r="C187" s="160" t="s">
        <v>0</v>
      </c>
      <c r="D187" s="163">
        <v>317318</v>
      </c>
      <c r="E187" s="158" t="s">
        <v>206</v>
      </c>
      <c r="H187" s="158" t="s">
        <v>611</v>
      </c>
    </row>
    <row r="188" spans="2:8" ht="15.75" x14ac:dyDescent="0.25">
      <c r="B188" s="160"/>
      <c r="C188" s="160"/>
    </row>
    <row r="189" spans="2:8" ht="15.75" x14ac:dyDescent="0.25">
      <c r="B189" s="160" t="s">
        <v>0</v>
      </c>
      <c r="C189" s="160">
        <v>6.37</v>
      </c>
      <c r="D189" s="158">
        <v>320</v>
      </c>
      <c r="E189" s="158" t="s">
        <v>739</v>
      </c>
      <c r="H189" s="158" t="s">
        <v>741</v>
      </c>
    </row>
    <row r="190" spans="2:8" ht="15.75" x14ac:dyDescent="0.25">
      <c r="B190" s="161">
        <v>6.7</v>
      </c>
      <c r="C190" s="161" t="s">
        <v>0</v>
      </c>
      <c r="D190" s="158">
        <v>321</v>
      </c>
      <c r="E190" s="158" t="s">
        <v>739</v>
      </c>
      <c r="H190" s="158" t="s">
        <v>742</v>
      </c>
    </row>
    <row r="191" spans="2:8" ht="15.75" x14ac:dyDescent="0.25">
      <c r="B191" s="160">
        <v>6.71</v>
      </c>
      <c r="C191" s="160" t="s">
        <v>0</v>
      </c>
      <c r="D191" s="158">
        <v>322</v>
      </c>
      <c r="E191" s="158" t="s">
        <v>739</v>
      </c>
      <c r="H191" s="158" t="s">
        <v>743</v>
      </c>
    </row>
    <row r="192" spans="2:8" ht="15.75" x14ac:dyDescent="0.25">
      <c r="B192" s="160">
        <v>6.72</v>
      </c>
      <c r="C192" s="160" t="s">
        <v>0</v>
      </c>
      <c r="D192" s="158">
        <v>322</v>
      </c>
      <c r="E192" s="158" t="s">
        <v>739</v>
      </c>
      <c r="H192" s="158" t="s">
        <v>744</v>
      </c>
    </row>
    <row r="193" spans="2:15" ht="15.75" x14ac:dyDescent="0.25">
      <c r="B193" s="160">
        <v>6.73</v>
      </c>
      <c r="C193" s="160" t="s">
        <v>0</v>
      </c>
      <c r="D193" s="158">
        <v>323</v>
      </c>
      <c r="E193" s="158" t="s">
        <v>739</v>
      </c>
      <c r="H193" s="158" t="s">
        <v>745</v>
      </c>
    </row>
    <row r="194" spans="2:15" ht="15.75" x14ac:dyDescent="0.25">
      <c r="B194" s="160"/>
      <c r="C194" s="160"/>
    </row>
    <row r="195" spans="2:15" ht="15.75" x14ac:dyDescent="0.25">
      <c r="B195" s="160">
        <v>6.74</v>
      </c>
      <c r="C195" s="160" t="s">
        <v>0</v>
      </c>
      <c r="D195" s="158">
        <v>324</v>
      </c>
      <c r="E195" s="158" t="s">
        <v>207</v>
      </c>
      <c r="H195" s="158" t="s">
        <v>751</v>
      </c>
    </row>
    <row r="196" spans="2:15" ht="15.75" x14ac:dyDescent="0.25">
      <c r="B196" s="160" t="s">
        <v>0</v>
      </c>
      <c r="C196" s="160">
        <v>6.38</v>
      </c>
      <c r="D196" s="158">
        <v>325</v>
      </c>
      <c r="E196" s="158" t="s">
        <v>207</v>
      </c>
      <c r="H196" s="158" t="s">
        <v>750</v>
      </c>
    </row>
    <row r="197" spans="2:15" ht="15.75" x14ac:dyDescent="0.25">
      <c r="B197" s="161">
        <v>6.75</v>
      </c>
      <c r="C197" s="161" t="s">
        <v>0</v>
      </c>
      <c r="D197" s="158">
        <v>326</v>
      </c>
      <c r="E197" s="158" t="s">
        <v>207</v>
      </c>
      <c r="H197" s="158" t="s">
        <v>752</v>
      </c>
    </row>
    <row r="198" spans="2:15" ht="15.75" x14ac:dyDescent="0.25">
      <c r="B198" s="160">
        <v>6.76</v>
      </c>
      <c r="C198" s="160" t="s">
        <v>0</v>
      </c>
      <c r="D198" s="158">
        <v>326</v>
      </c>
      <c r="E198" s="158" t="s">
        <v>207</v>
      </c>
      <c r="H198" s="158" t="s">
        <v>753</v>
      </c>
    </row>
    <row r="199" spans="2:15" ht="15.75" x14ac:dyDescent="0.25">
      <c r="B199" s="160">
        <v>6.77</v>
      </c>
      <c r="C199" s="160" t="s">
        <v>0</v>
      </c>
      <c r="D199" s="158">
        <v>327</v>
      </c>
      <c r="E199" s="158" t="s">
        <v>207</v>
      </c>
      <c r="H199" s="158" t="s">
        <v>754</v>
      </c>
    </row>
    <row r="200" spans="2:15" ht="15.75" x14ac:dyDescent="0.25">
      <c r="B200" s="160">
        <v>6.78</v>
      </c>
      <c r="C200" s="160" t="s">
        <v>0</v>
      </c>
      <c r="D200" s="163">
        <v>328329</v>
      </c>
      <c r="E200" s="158" t="s">
        <v>207</v>
      </c>
      <c r="H200" s="158" t="s">
        <v>755</v>
      </c>
    </row>
    <row r="201" spans="2:15" ht="15.75" x14ac:dyDescent="0.25">
      <c r="B201" s="160"/>
      <c r="C201" s="161">
        <v>6.39</v>
      </c>
      <c r="D201" s="158">
        <v>330</v>
      </c>
      <c r="E201" s="158" t="s">
        <v>207</v>
      </c>
      <c r="H201" s="158" t="s">
        <v>493</v>
      </c>
    </row>
    <row r="202" spans="2:15" ht="15.75" x14ac:dyDescent="0.25">
      <c r="B202" s="161" t="s">
        <v>0</v>
      </c>
      <c r="C202" s="161">
        <v>6.4</v>
      </c>
      <c r="D202" s="158">
        <v>331</v>
      </c>
      <c r="E202" s="158" t="s">
        <v>207</v>
      </c>
      <c r="H202" s="158" t="s">
        <v>757</v>
      </c>
    </row>
    <row r="203" spans="2:15" ht="15.75" x14ac:dyDescent="0.25">
      <c r="B203" s="160"/>
      <c r="C203" s="160"/>
    </row>
    <row r="204" spans="2:15" ht="15.75" x14ac:dyDescent="0.25">
      <c r="B204" s="160" t="s">
        <v>0</v>
      </c>
      <c r="C204" s="160">
        <v>6.41</v>
      </c>
      <c r="D204" s="158">
        <v>339</v>
      </c>
      <c r="E204" s="158" t="s">
        <v>208</v>
      </c>
      <c r="H204" s="158" t="s">
        <v>772</v>
      </c>
    </row>
    <row r="205" spans="2:15" ht="15.75" x14ac:dyDescent="0.25">
      <c r="B205" s="160">
        <v>6.79</v>
      </c>
      <c r="C205" s="160" t="s">
        <v>0</v>
      </c>
      <c r="D205" s="163">
        <v>339340</v>
      </c>
      <c r="E205" s="158" t="s">
        <v>208</v>
      </c>
      <c r="H205" s="158" t="s">
        <v>773</v>
      </c>
      <c r="O205" s="158" t="s">
        <v>0</v>
      </c>
    </row>
    <row r="206" spans="2:15" ht="15.75" x14ac:dyDescent="0.25">
      <c r="B206" s="161">
        <v>6.8</v>
      </c>
      <c r="C206" s="161" t="s">
        <v>0</v>
      </c>
      <c r="D206" s="158">
        <v>340</v>
      </c>
      <c r="E206" s="158" t="s">
        <v>208</v>
      </c>
      <c r="H206" s="158" t="s">
        <v>774</v>
      </c>
    </row>
    <row r="207" spans="2:15" ht="15.75" x14ac:dyDescent="0.25">
      <c r="B207" s="160">
        <v>6.81</v>
      </c>
      <c r="C207" s="160" t="s">
        <v>99</v>
      </c>
      <c r="D207" s="158">
        <v>340</v>
      </c>
      <c r="E207" s="158" t="s">
        <v>208</v>
      </c>
      <c r="H207" s="158" t="s">
        <v>775</v>
      </c>
    </row>
    <row r="208" spans="2:15" ht="15.75" x14ac:dyDescent="0.25">
      <c r="B208" s="160">
        <v>6.82</v>
      </c>
      <c r="C208" s="160" t="s">
        <v>0</v>
      </c>
      <c r="D208" s="158">
        <v>341</v>
      </c>
      <c r="E208" s="158" t="s">
        <v>208</v>
      </c>
      <c r="H208" s="158" t="s">
        <v>776</v>
      </c>
    </row>
    <row r="209" spans="2:8" ht="15.75" x14ac:dyDescent="0.25">
      <c r="B209" s="160">
        <v>6.83</v>
      </c>
      <c r="C209" s="160" t="s">
        <v>99</v>
      </c>
      <c r="D209" s="158">
        <v>341</v>
      </c>
      <c r="E209" s="158" t="s">
        <v>208</v>
      </c>
      <c r="H209" s="158" t="s">
        <v>768</v>
      </c>
    </row>
    <row r="210" spans="2:8" ht="15.75" x14ac:dyDescent="0.25">
      <c r="B210" s="160">
        <v>6.84</v>
      </c>
      <c r="C210" s="160" t="s">
        <v>0</v>
      </c>
      <c r="D210" s="158">
        <v>341</v>
      </c>
      <c r="E210" s="158" t="s">
        <v>208</v>
      </c>
      <c r="H210" s="158" t="s">
        <v>769</v>
      </c>
    </row>
    <row r="211" spans="2:8" ht="15.75" x14ac:dyDescent="0.25">
      <c r="B211" s="160">
        <v>6.85</v>
      </c>
      <c r="C211" s="160" t="s">
        <v>0</v>
      </c>
      <c r="D211" s="158">
        <v>342</v>
      </c>
      <c r="E211" s="158" t="s">
        <v>208</v>
      </c>
      <c r="H211" s="158" t="s">
        <v>777</v>
      </c>
    </row>
    <row r="212" spans="2:8" ht="15.75" x14ac:dyDescent="0.25">
      <c r="B212" s="160">
        <v>6.86</v>
      </c>
      <c r="C212" s="160" t="s">
        <v>0</v>
      </c>
      <c r="D212" s="158">
        <v>342</v>
      </c>
      <c r="E212" s="158" t="s">
        <v>208</v>
      </c>
      <c r="H212" s="158" t="s">
        <v>707</v>
      </c>
    </row>
    <row r="213" spans="2:8" ht="15.75" x14ac:dyDescent="0.25">
      <c r="B213" s="160" t="s">
        <v>0</v>
      </c>
      <c r="C213" s="160">
        <v>6.42</v>
      </c>
      <c r="D213" s="158">
        <v>343</v>
      </c>
      <c r="E213" s="158" t="s">
        <v>208</v>
      </c>
      <c r="H213" s="158" t="s">
        <v>611</v>
      </c>
    </row>
    <row r="214" spans="2:8" ht="15.75" x14ac:dyDescent="0.25">
      <c r="B214" s="161">
        <v>6.87</v>
      </c>
      <c r="C214" s="161" t="s">
        <v>0</v>
      </c>
      <c r="D214" s="163">
        <v>344</v>
      </c>
      <c r="E214" s="158" t="s">
        <v>208</v>
      </c>
      <c r="H214" s="158" t="s">
        <v>778</v>
      </c>
    </row>
    <row r="215" spans="2:8" ht="15.75" x14ac:dyDescent="0.25">
      <c r="B215" s="160">
        <v>6.88</v>
      </c>
      <c r="C215" s="160" t="s">
        <v>0</v>
      </c>
      <c r="D215" s="158">
        <v>345</v>
      </c>
      <c r="E215" s="158" t="s">
        <v>208</v>
      </c>
      <c r="H215" s="158" t="s">
        <v>779</v>
      </c>
    </row>
    <row r="216" spans="2:8" ht="15.75" x14ac:dyDescent="0.25">
      <c r="B216" s="160">
        <v>6.89</v>
      </c>
      <c r="C216" s="160" t="s">
        <v>0</v>
      </c>
      <c r="D216" s="158">
        <v>346</v>
      </c>
      <c r="E216" s="158" t="s">
        <v>208</v>
      </c>
      <c r="H216" s="158" t="s">
        <v>1162</v>
      </c>
    </row>
    <row r="217" spans="2:8" ht="15.75" x14ac:dyDescent="0.25">
      <c r="B217" s="160">
        <v>6.43</v>
      </c>
      <c r="C217" s="160">
        <v>6.43</v>
      </c>
      <c r="D217" s="158">
        <v>347</v>
      </c>
      <c r="E217" s="158" t="s">
        <v>208</v>
      </c>
      <c r="H217" s="158" t="s">
        <v>803</v>
      </c>
    </row>
    <row r="218" spans="2:8" ht="15.75" x14ac:dyDescent="0.25">
      <c r="B218" s="160"/>
      <c r="C218" s="162"/>
    </row>
    <row r="219" spans="2:8" ht="15.75" x14ac:dyDescent="0.25">
      <c r="B219" s="160" t="s">
        <v>0</v>
      </c>
      <c r="C219" s="160">
        <v>6.44</v>
      </c>
      <c r="D219" s="158">
        <v>349</v>
      </c>
      <c r="E219" s="158" t="s">
        <v>209</v>
      </c>
      <c r="H219" s="158" t="s">
        <v>809</v>
      </c>
    </row>
    <row r="220" spans="2:8" ht="15.75" x14ac:dyDescent="0.25">
      <c r="B220" s="161">
        <v>6.9</v>
      </c>
      <c r="C220" s="161" t="s">
        <v>0</v>
      </c>
      <c r="D220" s="158">
        <v>350</v>
      </c>
      <c r="E220" s="158" t="s">
        <v>209</v>
      </c>
      <c r="H220" s="158" t="s">
        <v>798</v>
      </c>
    </row>
    <row r="221" spans="2:8" ht="15.75" x14ac:dyDescent="0.25">
      <c r="B221" s="160">
        <v>6.91</v>
      </c>
      <c r="C221" s="160" t="s">
        <v>0</v>
      </c>
      <c r="D221" s="158">
        <v>350</v>
      </c>
      <c r="E221" s="158" t="s">
        <v>209</v>
      </c>
      <c r="H221" s="158" t="s">
        <v>804</v>
      </c>
    </row>
    <row r="222" spans="2:8" ht="15.75" x14ac:dyDescent="0.25">
      <c r="B222" s="160" t="s">
        <v>0</v>
      </c>
      <c r="C222" s="160">
        <v>6.45</v>
      </c>
      <c r="D222" s="158">
        <v>351</v>
      </c>
      <c r="E222" s="158" t="s">
        <v>209</v>
      </c>
      <c r="H222" s="158" t="s">
        <v>808</v>
      </c>
    </row>
    <row r="223" spans="2:8" ht="15.75" x14ac:dyDescent="0.25">
      <c r="B223" s="160">
        <v>6.92</v>
      </c>
      <c r="C223" s="160" t="s">
        <v>0</v>
      </c>
      <c r="D223" s="158">
        <v>351</v>
      </c>
      <c r="E223" s="158" t="s">
        <v>209</v>
      </c>
      <c r="H223" s="158" t="s">
        <v>805</v>
      </c>
    </row>
    <row r="224" spans="2:8" ht="15.75" x14ac:dyDescent="0.25">
      <c r="B224" s="160">
        <v>6.93</v>
      </c>
      <c r="C224" s="160" t="s">
        <v>0</v>
      </c>
      <c r="D224" s="158">
        <v>352</v>
      </c>
      <c r="E224" s="158" t="s">
        <v>209</v>
      </c>
      <c r="H224" s="158" t="s">
        <v>806</v>
      </c>
    </row>
    <row r="225" spans="2:8" ht="15.75" x14ac:dyDescent="0.25">
      <c r="B225" s="160">
        <v>6.94</v>
      </c>
      <c r="C225" s="160" t="s">
        <v>0</v>
      </c>
      <c r="D225" s="158">
        <v>352</v>
      </c>
      <c r="E225" s="158" t="s">
        <v>209</v>
      </c>
      <c r="H225" s="158" t="s">
        <v>807</v>
      </c>
    </row>
    <row r="226" spans="2:8" ht="15.75" x14ac:dyDescent="0.25">
      <c r="B226" s="160" t="s">
        <v>0</v>
      </c>
      <c r="C226" s="160">
        <v>6.46</v>
      </c>
      <c r="D226" s="158">
        <v>352</v>
      </c>
      <c r="H226" s="158" t="s">
        <v>811</v>
      </c>
    </row>
    <row r="227" spans="2:8" ht="15.75" x14ac:dyDescent="0.25">
      <c r="B227" s="160">
        <v>6.95</v>
      </c>
      <c r="C227" s="160" t="s">
        <v>0</v>
      </c>
      <c r="D227" s="158">
        <v>353</v>
      </c>
      <c r="E227" s="158" t="s">
        <v>209</v>
      </c>
      <c r="H227" s="158" t="s">
        <v>810</v>
      </c>
    </row>
    <row r="228" spans="2:8" ht="15.75" x14ac:dyDescent="0.25">
      <c r="B228" s="160" t="s">
        <v>0</v>
      </c>
      <c r="C228" s="160">
        <v>6.47</v>
      </c>
      <c r="D228" s="158">
        <v>353</v>
      </c>
      <c r="E228" s="158" t="s">
        <v>209</v>
      </c>
      <c r="H228" s="158" t="s">
        <v>812</v>
      </c>
    </row>
    <row r="229" spans="2:8" ht="15.75" x14ac:dyDescent="0.25">
      <c r="B229" s="160"/>
      <c r="C229" s="160"/>
    </row>
    <row r="230" spans="2:8" ht="15.75" x14ac:dyDescent="0.25">
      <c r="B230" s="160"/>
      <c r="C230" s="160">
        <v>6.48</v>
      </c>
      <c r="D230" s="158">
        <v>353</v>
      </c>
      <c r="E230" s="158" t="s">
        <v>1165</v>
      </c>
      <c r="H230" s="158" t="s">
        <v>1186</v>
      </c>
    </row>
    <row r="231" spans="2:8" ht="15.75" x14ac:dyDescent="0.25">
      <c r="B231" s="160" t="s">
        <v>0</v>
      </c>
      <c r="C231" s="160">
        <v>6.49</v>
      </c>
      <c r="D231" s="163">
        <v>354355</v>
      </c>
      <c r="E231" s="158" t="s">
        <v>1165</v>
      </c>
      <c r="H231" s="158" t="s">
        <v>1187</v>
      </c>
    </row>
    <row r="232" spans="2:8" ht="15.75" x14ac:dyDescent="0.25">
      <c r="B232" s="160"/>
      <c r="C232" s="161">
        <v>6.5</v>
      </c>
      <c r="D232" s="158">
        <v>355</v>
      </c>
      <c r="E232" s="158" t="s">
        <v>1165</v>
      </c>
      <c r="H232" s="158" t="s">
        <v>1184</v>
      </c>
    </row>
    <row r="233" spans="2:8" ht="15.75" x14ac:dyDescent="0.25">
      <c r="B233" s="160"/>
      <c r="C233" s="160">
        <v>6.51</v>
      </c>
      <c r="D233" s="158">
        <v>356</v>
      </c>
      <c r="E233" s="158" t="s">
        <v>1165</v>
      </c>
      <c r="H233" s="158" t="s">
        <v>1185</v>
      </c>
    </row>
    <row r="234" spans="2:8" ht="15.75" x14ac:dyDescent="0.25">
      <c r="B234" s="160"/>
      <c r="C234" s="160">
        <v>6.52</v>
      </c>
      <c r="D234" s="163">
        <v>356357</v>
      </c>
      <c r="E234" s="158" t="s">
        <v>1165</v>
      </c>
      <c r="H234" s="158" t="s">
        <v>1188</v>
      </c>
    </row>
    <row r="235" spans="2:8" ht="15.75" x14ac:dyDescent="0.25">
      <c r="B235" s="160"/>
      <c r="C235" s="160">
        <v>6.53</v>
      </c>
      <c r="D235" s="158">
        <v>358</v>
      </c>
      <c r="E235" s="158" t="s">
        <v>1165</v>
      </c>
      <c r="H235" s="158" t="s">
        <v>1189</v>
      </c>
    </row>
    <row r="236" spans="2:8" ht="15.75" x14ac:dyDescent="0.25">
      <c r="B236" s="160"/>
      <c r="C236" s="160">
        <v>6.54</v>
      </c>
      <c r="D236" s="158">
        <v>358</v>
      </c>
      <c r="E236" s="158" t="s">
        <v>1165</v>
      </c>
      <c r="H236" s="158" t="s">
        <v>947</v>
      </c>
    </row>
    <row r="237" spans="2:8" ht="15.75" x14ac:dyDescent="0.25">
      <c r="B237" s="160"/>
      <c r="C237" s="160">
        <v>6.55</v>
      </c>
      <c r="D237" s="158">
        <v>359</v>
      </c>
      <c r="E237" s="158" t="s">
        <v>1165</v>
      </c>
      <c r="H237" s="158" t="s">
        <v>1178</v>
      </c>
    </row>
    <row r="238" spans="2:8" ht="15.75" x14ac:dyDescent="0.25">
      <c r="B238" s="160"/>
      <c r="C238" s="160">
        <v>6.56</v>
      </c>
      <c r="D238" s="158">
        <v>359</v>
      </c>
      <c r="E238" s="158" t="s">
        <v>1165</v>
      </c>
      <c r="H238" s="158" t="s">
        <v>948</v>
      </c>
    </row>
    <row r="239" spans="2:8" ht="15.75" x14ac:dyDescent="0.25">
      <c r="B239" s="160">
        <v>6.96</v>
      </c>
      <c r="C239" s="160"/>
      <c r="D239" s="158">
        <v>360</v>
      </c>
      <c r="E239" s="158" t="s">
        <v>1165</v>
      </c>
      <c r="H239" s="158" t="s">
        <v>1190</v>
      </c>
    </row>
    <row r="240" spans="2:8" ht="15.75" x14ac:dyDescent="0.25">
      <c r="B240" s="160"/>
      <c r="C240" s="160">
        <v>6.57</v>
      </c>
      <c r="D240" s="158">
        <v>360</v>
      </c>
      <c r="E240" s="158" t="s">
        <v>1165</v>
      </c>
      <c r="H240" s="158" t="s">
        <v>1179</v>
      </c>
    </row>
    <row r="241" spans="2:8" ht="15.75" x14ac:dyDescent="0.25">
      <c r="B241" s="160"/>
      <c r="C241" s="160">
        <v>6.58</v>
      </c>
      <c r="D241" s="158">
        <v>361</v>
      </c>
      <c r="E241" s="158" t="s">
        <v>1165</v>
      </c>
      <c r="H241" s="158" t="s">
        <v>1180</v>
      </c>
    </row>
    <row r="242" spans="2:8" ht="15.75" x14ac:dyDescent="0.25">
      <c r="B242" s="162"/>
      <c r="C242" s="160">
        <v>6.59</v>
      </c>
      <c r="D242" s="158">
        <v>361</v>
      </c>
      <c r="E242" s="158" t="s">
        <v>1165</v>
      </c>
      <c r="H242" s="158" t="s">
        <v>1183</v>
      </c>
    </row>
    <row r="243" spans="2:8" ht="15.75" x14ac:dyDescent="0.25">
      <c r="B243" s="162"/>
      <c r="C243" s="160"/>
    </row>
    <row r="244" spans="2:8" ht="15.75" x14ac:dyDescent="0.25">
      <c r="B244" s="160" t="s">
        <v>0</v>
      </c>
      <c r="C244" s="161">
        <v>6.6</v>
      </c>
      <c r="D244" s="158">
        <v>363</v>
      </c>
      <c r="E244" s="158" t="s">
        <v>210</v>
      </c>
      <c r="H244" s="158" t="s">
        <v>825</v>
      </c>
    </row>
    <row r="245" spans="2:8" ht="15.75" x14ac:dyDescent="0.25">
      <c r="B245" s="160">
        <v>6.97</v>
      </c>
      <c r="C245" s="160" t="s">
        <v>0</v>
      </c>
      <c r="D245" s="158">
        <v>364</v>
      </c>
      <c r="E245" s="158" t="s">
        <v>210</v>
      </c>
      <c r="H245" s="158" t="s">
        <v>826</v>
      </c>
    </row>
    <row r="246" spans="2:8" ht="15.75" x14ac:dyDescent="0.25">
      <c r="B246" s="160">
        <v>6.98</v>
      </c>
      <c r="C246" s="160" t="s">
        <v>0</v>
      </c>
      <c r="D246" s="158">
        <v>364</v>
      </c>
      <c r="E246" s="158" t="s">
        <v>210</v>
      </c>
      <c r="H246" s="158" t="s">
        <v>827</v>
      </c>
    </row>
    <row r="247" spans="2:8" ht="15.75" x14ac:dyDescent="0.25">
      <c r="B247" s="160" t="s">
        <v>0</v>
      </c>
      <c r="C247" s="160">
        <v>6.61</v>
      </c>
      <c r="D247" s="158">
        <v>365</v>
      </c>
      <c r="E247" s="158" t="s">
        <v>210</v>
      </c>
      <c r="H247" s="158" t="s">
        <v>828</v>
      </c>
    </row>
    <row r="248" spans="2:8" ht="15.75" x14ac:dyDescent="0.25">
      <c r="B248" s="160"/>
      <c r="C248" s="160"/>
    </row>
    <row r="249" spans="2:8" ht="15.75" x14ac:dyDescent="0.25">
      <c r="B249" s="160">
        <v>6.99</v>
      </c>
      <c r="C249" s="160" t="s">
        <v>0</v>
      </c>
      <c r="D249" s="163">
        <v>367</v>
      </c>
      <c r="E249" s="158" t="s">
        <v>211</v>
      </c>
      <c r="H249" s="158" t="s">
        <v>829</v>
      </c>
    </row>
    <row r="250" spans="2:8" ht="15.75" x14ac:dyDescent="0.25">
      <c r="B250" s="1002">
        <v>6.1</v>
      </c>
      <c r="C250" s="1002" t="s">
        <v>0</v>
      </c>
      <c r="D250" s="158">
        <v>367</v>
      </c>
      <c r="E250" s="158" t="s">
        <v>211</v>
      </c>
      <c r="H250" s="158" t="s">
        <v>827</v>
      </c>
    </row>
    <row r="251" spans="2:8" ht="15.75" x14ac:dyDescent="0.25">
      <c r="B251" s="160" t="s">
        <v>0</v>
      </c>
      <c r="C251" s="160">
        <v>6.62</v>
      </c>
      <c r="D251" s="158">
        <v>368</v>
      </c>
      <c r="E251" s="158" t="s">
        <v>211</v>
      </c>
      <c r="H251" s="158" t="s">
        <v>828</v>
      </c>
    </row>
    <row r="252" spans="2:8" ht="15.75" x14ac:dyDescent="0.25">
      <c r="B252" s="160"/>
      <c r="C252" s="160"/>
    </row>
    <row r="253" spans="2:8" ht="15.75" x14ac:dyDescent="0.25">
      <c r="B253" s="160">
        <v>6.101</v>
      </c>
      <c r="C253" s="160" t="s">
        <v>0</v>
      </c>
      <c r="D253" s="158">
        <v>369</v>
      </c>
      <c r="E253" s="158" t="s">
        <v>212</v>
      </c>
      <c r="H253" s="158" t="s">
        <v>843</v>
      </c>
    </row>
    <row r="254" spans="2:8" ht="15.75" x14ac:dyDescent="0.25">
      <c r="B254" s="160">
        <v>6.1020000000000003</v>
      </c>
      <c r="C254" s="160" t="s">
        <v>0</v>
      </c>
      <c r="D254" s="158">
        <v>369</v>
      </c>
      <c r="E254" s="158" t="s">
        <v>212</v>
      </c>
      <c r="H254" s="158" t="s">
        <v>844</v>
      </c>
    </row>
    <row r="255" spans="2:8" ht="15.75" x14ac:dyDescent="0.25">
      <c r="B255" s="160" t="s">
        <v>0</v>
      </c>
      <c r="C255" s="160">
        <v>6.63</v>
      </c>
      <c r="D255" s="158">
        <v>370</v>
      </c>
      <c r="E255" s="158" t="s">
        <v>212</v>
      </c>
      <c r="H255" s="158" t="s">
        <v>828</v>
      </c>
    </row>
    <row r="256" spans="2:8" ht="15.75" x14ac:dyDescent="0.25">
      <c r="B256" s="160"/>
      <c r="C256" s="160"/>
    </row>
    <row r="257" spans="2:8" ht="15.75" x14ac:dyDescent="0.25">
      <c r="B257" s="160">
        <v>6.1029999999999998</v>
      </c>
      <c r="C257" s="160" t="s">
        <v>0</v>
      </c>
      <c r="D257" s="158">
        <v>371</v>
      </c>
      <c r="E257" s="158" t="s">
        <v>213</v>
      </c>
      <c r="H257" s="158" t="s">
        <v>844</v>
      </c>
    </row>
    <row r="258" spans="2:8" ht="15.75" x14ac:dyDescent="0.25">
      <c r="B258" s="160">
        <v>6.1040000000000001</v>
      </c>
      <c r="C258" s="160" t="s">
        <v>0</v>
      </c>
      <c r="D258" s="158">
        <v>371</v>
      </c>
      <c r="E258" s="158" t="s">
        <v>213</v>
      </c>
      <c r="H258" s="158" t="s">
        <v>848</v>
      </c>
    </row>
    <row r="259" spans="2:8" ht="15.75" x14ac:dyDescent="0.25">
      <c r="B259" s="160" t="s">
        <v>0</v>
      </c>
      <c r="C259" s="160">
        <v>6.64</v>
      </c>
      <c r="D259" s="158">
        <v>372</v>
      </c>
      <c r="E259" s="158" t="s">
        <v>213</v>
      </c>
      <c r="H259" s="158" t="s">
        <v>828</v>
      </c>
    </row>
    <row r="260" spans="2:8" ht="15.75" x14ac:dyDescent="0.25">
      <c r="B260" s="160"/>
      <c r="C260" s="160"/>
    </row>
    <row r="261" spans="2:8" ht="15.75" x14ac:dyDescent="0.25">
      <c r="B261" s="160">
        <v>6.1050000000000004</v>
      </c>
      <c r="C261" s="160" t="s">
        <v>0</v>
      </c>
      <c r="D261" s="158">
        <v>374</v>
      </c>
      <c r="E261" s="158" t="s">
        <v>214</v>
      </c>
      <c r="H261" s="158" t="s">
        <v>853</v>
      </c>
    </row>
    <row r="262" spans="2:8" ht="15.75" x14ac:dyDescent="0.25">
      <c r="B262" s="160">
        <v>6.1059999999999999</v>
      </c>
      <c r="C262" s="160" t="s">
        <v>0</v>
      </c>
      <c r="D262" s="158">
        <v>375</v>
      </c>
      <c r="E262" s="158" t="s">
        <v>214</v>
      </c>
      <c r="H262" s="158" t="s">
        <v>854</v>
      </c>
    </row>
    <row r="263" spans="2:8" ht="15.75" x14ac:dyDescent="0.25">
      <c r="B263" s="160" t="s">
        <v>0</v>
      </c>
      <c r="C263" s="160">
        <v>6.65</v>
      </c>
      <c r="D263" s="158">
        <v>376</v>
      </c>
      <c r="E263" s="158" t="s">
        <v>214</v>
      </c>
      <c r="H263" s="158" t="s">
        <v>803</v>
      </c>
    </row>
    <row r="264" spans="2:8" ht="15.75" x14ac:dyDescent="0.25">
      <c r="B264" s="160">
        <v>6.1070000000000002</v>
      </c>
      <c r="C264" s="160" t="s">
        <v>0</v>
      </c>
      <c r="D264" s="158">
        <v>377</v>
      </c>
      <c r="E264" s="158" t="s">
        <v>214</v>
      </c>
      <c r="H264" s="158" t="s">
        <v>855</v>
      </c>
    </row>
    <row r="265" spans="2:8" ht="15.75" x14ac:dyDescent="0.25">
      <c r="B265" s="160">
        <v>6.1079999999999997</v>
      </c>
      <c r="C265" s="160" t="s">
        <v>0</v>
      </c>
      <c r="D265" s="158">
        <v>377</v>
      </c>
      <c r="E265" s="158" t="s">
        <v>214</v>
      </c>
      <c r="H265" s="158" t="s">
        <v>857</v>
      </c>
    </row>
    <row r="266" spans="2:8" ht="15.75" x14ac:dyDescent="0.25">
      <c r="B266" s="160">
        <v>6.109</v>
      </c>
      <c r="C266" s="160" t="s">
        <v>0</v>
      </c>
      <c r="D266" s="158">
        <v>378</v>
      </c>
      <c r="E266" s="158" t="s">
        <v>214</v>
      </c>
      <c r="H266" s="158" t="s">
        <v>858</v>
      </c>
    </row>
    <row r="267" spans="2:8" ht="15.75" x14ac:dyDescent="0.25">
      <c r="B267" s="160"/>
      <c r="C267" s="160" t="s">
        <v>0</v>
      </c>
    </row>
    <row r="268" spans="2:8" ht="15.75" x14ac:dyDescent="0.25">
      <c r="B268" s="160">
        <v>6.1109999999999998</v>
      </c>
      <c r="C268" s="160" t="s">
        <v>0</v>
      </c>
      <c r="D268" s="158">
        <v>380</v>
      </c>
      <c r="E268" s="158" t="s">
        <v>859</v>
      </c>
      <c r="H268" s="158" t="s">
        <v>874</v>
      </c>
    </row>
    <row r="270" spans="2:8" ht="15.75" x14ac:dyDescent="0.25">
      <c r="B270" s="160" t="s">
        <v>0</v>
      </c>
      <c r="C270" s="160">
        <v>6.66</v>
      </c>
      <c r="D270" s="158">
        <v>382</v>
      </c>
      <c r="E270" s="158" t="s">
        <v>216</v>
      </c>
      <c r="H270" s="158" t="s">
        <v>870</v>
      </c>
    </row>
    <row r="271" spans="2:8" ht="15.75" x14ac:dyDescent="0.25">
      <c r="B271" s="160">
        <v>6.1120000000000001</v>
      </c>
      <c r="C271" s="160" t="s">
        <v>0</v>
      </c>
      <c r="D271" s="158">
        <v>383</v>
      </c>
      <c r="E271" s="158" t="s">
        <v>216</v>
      </c>
      <c r="H271" s="158" t="s">
        <v>871</v>
      </c>
    </row>
    <row r="272" spans="2:8" ht="15.75" x14ac:dyDescent="0.25">
      <c r="B272" s="160">
        <v>6.1130000000000004</v>
      </c>
      <c r="C272" s="160" t="s">
        <v>0</v>
      </c>
      <c r="D272" s="158">
        <v>383</v>
      </c>
      <c r="E272" s="158" t="s">
        <v>216</v>
      </c>
      <c r="H272" s="158" t="s">
        <v>866</v>
      </c>
    </row>
    <row r="273" spans="2:8" ht="15.75" x14ac:dyDescent="0.25">
      <c r="B273" s="160">
        <v>6.1139999999999999</v>
      </c>
      <c r="C273" s="160" t="s">
        <v>0</v>
      </c>
      <c r="D273" s="158">
        <v>383</v>
      </c>
      <c r="E273" s="158" t="s">
        <v>216</v>
      </c>
      <c r="H273" s="158" t="s">
        <v>143</v>
      </c>
    </row>
    <row r="274" spans="2:8" ht="15.75" x14ac:dyDescent="0.25">
      <c r="B274" s="160" t="s">
        <v>0</v>
      </c>
      <c r="C274" s="160">
        <v>6.67</v>
      </c>
      <c r="D274" s="158">
        <v>384</v>
      </c>
      <c r="E274" s="158" t="s">
        <v>216</v>
      </c>
      <c r="H274" s="158" t="s">
        <v>872</v>
      </c>
    </row>
    <row r="275" spans="2:8" ht="15.75" x14ac:dyDescent="0.25">
      <c r="B275" s="160"/>
      <c r="C275" s="160"/>
    </row>
    <row r="276" spans="2:8" ht="15.75" x14ac:dyDescent="0.25">
      <c r="B276" s="160" t="s">
        <v>0</v>
      </c>
      <c r="C276" s="160">
        <v>6.68</v>
      </c>
      <c r="D276" s="158">
        <v>386</v>
      </c>
      <c r="E276" s="158" t="s">
        <v>215</v>
      </c>
      <c r="H276" s="158" t="s">
        <v>873</v>
      </c>
    </row>
    <row r="277" spans="2:8" ht="15.75" x14ac:dyDescent="0.25">
      <c r="B277" s="160">
        <v>6.1150000000000002</v>
      </c>
      <c r="C277" s="160" t="s">
        <v>0</v>
      </c>
      <c r="D277" s="158">
        <v>387</v>
      </c>
      <c r="E277" s="158" t="s">
        <v>215</v>
      </c>
      <c r="H277" s="158" t="s">
        <v>540</v>
      </c>
    </row>
    <row r="278" spans="2:8" ht="15.75" x14ac:dyDescent="0.25">
      <c r="B278" s="160">
        <v>6.1159999999999997</v>
      </c>
      <c r="C278" s="160" t="s">
        <v>0</v>
      </c>
      <c r="D278" s="158">
        <v>388</v>
      </c>
      <c r="E278" s="158" t="s">
        <v>215</v>
      </c>
      <c r="H278" s="158" t="s">
        <v>901</v>
      </c>
    </row>
    <row r="279" spans="2:8" ht="15.75" x14ac:dyDescent="0.25">
      <c r="B279" s="160">
        <v>6.117</v>
      </c>
      <c r="C279" s="160" t="s">
        <v>0</v>
      </c>
      <c r="D279" s="158">
        <v>388</v>
      </c>
      <c r="E279" s="158" t="s">
        <v>215</v>
      </c>
      <c r="H279" s="158" t="s">
        <v>902</v>
      </c>
    </row>
    <row r="280" spans="2:8" ht="15.75" x14ac:dyDescent="0.25">
      <c r="B280" s="1002">
        <v>6.1180000000000003</v>
      </c>
      <c r="C280" s="1002" t="s">
        <v>0</v>
      </c>
      <c r="D280" s="158">
        <v>388</v>
      </c>
      <c r="E280" s="158" t="s">
        <v>215</v>
      </c>
      <c r="H280" s="158" t="s">
        <v>903</v>
      </c>
    </row>
    <row r="281" spans="2:8" ht="15.75" x14ac:dyDescent="0.25">
      <c r="B281" s="160">
        <v>6.1189999999999998</v>
      </c>
      <c r="C281" s="160" t="s">
        <v>0</v>
      </c>
      <c r="D281" s="158">
        <v>389</v>
      </c>
      <c r="E281" s="158" t="s">
        <v>215</v>
      </c>
      <c r="H281" s="158" t="s">
        <v>904</v>
      </c>
    </row>
    <row r="282" spans="2:8" ht="15.75" x14ac:dyDescent="0.25">
      <c r="B282" s="1002">
        <v>6.12</v>
      </c>
      <c r="C282" s="1002" t="s">
        <v>0</v>
      </c>
      <c r="D282" s="158">
        <v>389</v>
      </c>
      <c r="E282" s="158" t="s">
        <v>215</v>
      </c>
      <c r="H282" s="158" t="s">
        <v>905</v>
      </c>
    </row>
    <row r="283" spans="2:8" ht="15.75" x14ac:dyDescent="0.25">
      <c r="B283" s="160" t="s">
        <v>0</v>
      </c>
      <c r="C283" s="161">
        <v>6.69</v>
      </c>
      <c r="D283" s="158">
        <v>389</v>
      </c>
      <c r="E283" s="158" t="s">
        <v>215</v>
      </c>
      <c r="H283" s="158" t="s">
        <v>906</v>
      </c>
    </row>
    <row r="285" spans="2:8" ht="15.75" x14ac:dyDescent="0.25">
      <c r="B285" s="161" t="s">
        <v>0</v>
      </c>
      <c r="C285" s="161">
        <v>6.7</v>
      </c>
      <c r="D285" s="158">
        <v>395</v>
      </c>
      <c r="E285" s="158" t="s">
        <v>920</v>
      </c>
      <c r="H285" s="158" t="s">
        <v>921</v>
      </c>
    </row>
    <row r="286" spans="2:8" ht="15.75" x14ac:dyDescent="0.25">
      <c r="B286" s="160" t="s">
        <v>0</v>
      </c>
      <c r="C286" s="160">
        <v>6.71</v>
      </c>
      <c r="D286" s="158">
        <v>395</v>
      </c>
      <c r="E286" s="158" t="s">
        <v>920</v>
      </c>
      <c r="H286" s="158" t="s">
        <v>922</v>
      </c>
    </row>
    <row r="287" spans="2:8" ht="15.75" x14ac:dyDescent="0.25">
      <c r="B287" s="1002">
        <v>6.1210000000000004</v>
      </c>
      <c r="C287" s="1002" t="s">
        <v>0</v>
      </c>
      <c r="D287" s="158">
        <v>396</v>
      </c>
      <c r="E287" s="158" t="s">
        <v>920</v>
      </c>
      <c r="H287" s="158" t="s">
        <v>923</v>
      </c>
    </row>
    <row r="288" spans="2:8" ht="15.75" x14ac:dyDescent="0.25">
      <c r="B288" s="1002">
        <v>6.1219999999999999</v>
      </c>
      <c r="C288" s="1002" t="s">
        <v>0</v>
      </c>
      <c r="D288" s="158">
        <v>396</v>
      </c>
      <c r="E288" s="158" t="s">
        <v>920</v>
      </c>
      <c r="H288" s="158" t="s">
        <v>540</v>
      </c>
    </row>
    <row r="289" spans="2:8" ht="15.75" x14ac:dyDescent="0.25">
      <c r="B289" s="1002">
        <v>6.1230000000000002</v>
      </c>
      <c r="C289" s="1002" t="s">
        <v>0</v>
      </c>
      <c r="D289" s="158">
        <v>397</v>
      </c>
      <c r="E289" s="158" t="s">
        <v>920</v>
      </c>
      <c r="H289" s="158" t="s">
        <v>924</v>
      </c>
    </row>
    <row r="290" spans="2:8" ht="15.75" x14ac:dyDescent="0.25">
      <c r="B290" s="1002">
        <v>6.1239999999999997</v>
      </c>
      <c r="C290" s="1002" t="s">
        <v>0</v>
      </c>
      <c r="D290" s="158">
        <v>397</v>
      </c>
      <c r="E290" s="158" t="s">
        <v>920</v>
      </c>
      <c r="H290" s="158" t="s">
        <v>925</v>
      </c>
    </row>
    <row r="291" spans="2:8" ht="15.75" x14ac:dyDescent="0.25">
      <c r="B291" s="1002">
        <v>6.125</v>
      </c>
      <c r="C291" s="1002" t="s">
        <v>0</v>
      </c>
      <c r="D291" s="158">
        <v>398</v>
      </c>
      <c r="E291" s="158" t="s">
        <v>920</v>
      </c>
      <c r="H291" s="158" t="s">
        <v>926</v>
      </c>
    </row>
    <row r="292" spans="2:8" ht="15.75" x14ac:dyDescent="0.25">
      <c r="B292" s="1002">
        <v>6.1260000000000003</v>
      </c>
      <c r="C292" s="1002" t="s">
        <v>0</v>
      </c>
      <c r="D292" s="158">
        <v>398</v>
      </c>
      <c r="E292" s="158" t="s">
        <v>920</v>
      </c>
      <c r="H292" s="158" t="s">
        <v>927</v>
      </c>
    </row>
    <row r="293" spans="2:8" ht="15.75" x14ac:dyDescent="0.25">
      <c r="C293" s="1002" t="s">
        <v>0</v>
      </c>
    </row>
    <row r="294" spans="2:8" ht="15.75" x14ac:dyDescent="0.25">
      <c r="C294" s="1002" t="s">
        <v>0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50"/>
  <sheetViews>
    <sheetView workbookViewId="0">
      <selection activeCell="F13" sqref="F13"/>
    </sheetView>
  </sheetViews>
  <sheetFormatPr defaultRowHeight="15" x14ac:dyDescent="0.25"/>
  <sheetData>
    <row r="2" spans="2:7" ht="15.75" thickBot="1" x14ac:dyDescent="0.3"/>
    <row r="3" spans="2:7" ht="18" thickBot="1" x14ac:dyDescent="0.3">
      <c r="D3" s="116" t="s">
        <v>469</v>
      </c>
      <c r="E3" s="89"/>
      <c r="F3" s="89"/>
      <c r="G3" s="90"/>
    </row>
    <row r="4" spans="2:7" x14ac:dyDescent="0.25">
      <c r="D4" s="7"/>
      <c r="E4" s="8"/>
      <c r="F4" s="8"/>
      <c r="G4" s="9"/>
    </row>
    <row r="5" spans="2:7" ht="17.25" x14ac:dyDescent="0.25">
      <c r="D5" s="32" t="s">
        <v>137</v>
      </c>
      <c r="E5" s="33"/>
      <c r="F5" s="33"/>
      <c r="G5" s="43">
        <f>' Descriptive Statistics'!M6+'Appraisal Measures'!P8*(' Descriptive Statistics'!AE14-' Descriptive Statistics'!AE8)</f>
        <v>13.435561598281215</v>
      </c>
    </row>
    <row r="6" spans="2:7" x14ac:dyDescent="0.25">
      <c r="D6" s="32"/>
      <c r="E6" s="33"/>
      <c r="F6" s="33"/>
      <c r="G6" s="34"/>
    </row>
    <row r="7" spans="2:7" ht="17.25" x14ac:dyDescent="0.25">
      <c r="D7" s="32" t="s">
        <v>174</v>
      </c>
      <c r="E7" s="33"/>
      <c r="F7" s="33"/>
      <c r="G7" s="43">
        <f>' Descriptive Statistics'!M6+'Appraisal Measures'!P16*(' Descriptive Statistics'!AE14-' Descriptive Statistics'!AE8)</f>
        <v>13.430081264567239</v>
      </c>
    </row>
    <row r="8" spans="2:7" x14ac:dyDescent="0.25">
      <c r="B8" t="s">
        <v>0</v>
      </c>
      <c r="D8" s="84"/>
      <c r="E8" s="13"/>
      <c r="F8" s="13"/>
      <c r="G8" s="14"/>
    </row>
    <row r="9" spans="2:7" ht="18" thickBot="1" x14ac:dyDescent="0.3">
      <c r="D9" s="35" t="s">
        <v>138</v>
      </c>
      <c r="E9" s="36"/>
      <c r="F9" s="36"/>
      <c r="G9" s="76">
        <f>' Descriptive Statistics'!M6+'Appraisal Measures'!P18*(' Descriptive Statistics'!AE14-' Descriptive Statistics'!AE8)</f>
        <v>13.430202908716115</v>
      </c>
    </row>
    <row r="10" spans="2:7" x14ac:dyDescent="0.25">
      <c r="D10" t="s">
        <v>0</v>
      </c>
    </row>
    <row r="48" spans="2:2" x14ac:dyDescent="0.25">
      <c r="B48" t="s">
        <v>100</v>
      </c>
    </row>
    <row r="50" spans="2:2" x14ac:dyDescent="0.25">
      <c r="B50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2B6A-92CC-4B75-9A0A-491B95312E6A}">
  <dimension ref="B2:N26"/>
  <sheetViews>
    <sheetView workbookViewId="0">
      <selection activeCell="C20" sqref="C20"/>
    </sheetView>
  </sheetViews>
  <sheetFormatPr defaultRowHeight="12.75" x14ac:dyDescent="0.2"/>
  <cols>
    <col min="1" max="1" width="9.140625" style="158"/>
    <col min="2" max="2" width="18.7109375" style="158" customWidth="1"/>
    <col min="3" max="4" width="10.7109375" style="158" customWidth="1"/>
    <col min="5" max="5" width="2.7109375" style="158" customWidth="1"/>
    <col min="6" max="7" width="10.7109375" style="158" customWidth="1"/>
    <col min="8" max="9" width="9.140625" style="158"/>
    <col min="10" max="12" width="10.7109375" style="158" customWidth="1"/>
    <col min="13" max="257" width="9.140625" style="158"/>
    <col min="258" max="258" width="18.7109375" style="158" customWidth="1"/>
    <col min="259" max="260" width="10.7109375" style="158" customWidth="1"/>
    <col min="261" max="261" width="2.7109375" style="158" customWidth="1"/>
    <col min="262" max="263" width="10.7109375" style="158" customWidth="1"/>
    <col min="264" max="265" width="9.140625" style="158"/>
    <col min="266" max="268" width="10.7109375" style="158" customWidth="1"/>
    <col min="269" max="513" width="9.140625" style="158"/>
    <col min="514" max="514" width="18.7109375" style="158" customWidth="1"/>
    <col min="515" max="516" width="10.7109375" style="158" customWidth="1"/>
    <col min="517" max="517" width="2.7109375" style="158" customWidth="1"/>
    <col min="518" max="519" width="10.7109375" style="158" customWidth="1"/>
    <col min="520" max="521" width="9.140625" style="158"/>
    <col min="522" max="524" width="10.7109375" style="158" customWidth="1"/>
    <col min="525" max="769" width="9.140625" style="158"/>
    <col min="770" max="770" width="18.7109375" style="158" customWidth="1"/>
    <col min="771" max="772" width="10.7109375" style="158" customWidth="1"/>
    <col min="773" max="773" width="2.7109375" style="158" customWidth="1"/>
    <col min="774" max="775" width="10.7109375" style="158" customWidth="1"/>
    <col min="776" max="777" width="9.140625" style="158"/>
    <col min="778" max="780" width="10.7109375" style="158" customWidth="1"/>
    <col min="781" max="1025" width="9.140625" style="158"/>
    <col min="1026" max="1026" width="18.7109375" style="158" customWidth="1"/>
    <col min="1027" max="1028" width="10.7109375" style="158" customWidth="1"/>
    <col min="1029" max="1029" width="2.7109375" style="158" customWidth="1"/>
    <col min="1030" max="1031" width="10.7109375" style="158" customWidth="1"/>
    <col min="1032" max="1033" width="9.140625" style="158"/>
    <col min="1034" max="1036" width="10.7109375" style="158" customWidth="1"/>
    <col min="1037" max="1281" width="9.140625" style="158"/>
    <col min="1282" max="1282" width="18.7109375" style="158" customWidth="1"/>
    <col min="1283" max="1284" width="10.7109375" style="158" customWidth="1"/>
    <col min="1285" max="1285" width="2.7109375" style="158" customWidth="1"/>
    <col min="1286" max="1287" width="10.7109375" style="158" customWidth="1"/>
    <col min="1288" max="1289" width="9.140625" style="158"/>
    <col min="1290" max="1292" width="10.7109375" style="158" customWidth="1"/>
    <col min="1293" max="1537" width="9.140625" style="158"/>
    <col min="1538" max="1538" width="18.7109375" style="158" customWidth="1"/>
    <col min="1539" max="1540" width="10.7109375" style="158" customWidth="1"/>
    <col min="1541" max="1541" width="2.7109375" style="158" customWidth="1"/>
    <col min="1542" max="1543" width="10.7109375" style="158" customWidth="1"/>
    <col min="1544" max="1545" width="9.140625" style="158"/>
    <col min="1546" max="1548" width="10.7109375" style="158" customWidth="1"/>
    <col min="1549" max="1793" width="9.140625" style="158"/>
    <col min="1794" max="1794" width="18.7109375" style="158" customWidth="1"/>
    <col min="1795" max="1796" width="10.7109375" style="158" customWidth="1"/>
    <col min="1797" max="1797" width="2.7109375" style="158" customWidth="1"/>
    <col min="1798" max="1799" width="10.7109375" style="158" customWidth="1"/>
    <col min="1800" max="1801" width="9.140625" style="158"/>
    <col min="1802" max="1804" width="10.7109375" style="158" customWidth="1"/>
    <col min="1805" max="2049" width="9.140625" style="158"/>
    <col min="2050" max="2050" width="18.7109375" style="158" customWidth="1"/>
    <col min="2051" max="2052" width="10.7109375" style="158" customWidth="1"/>
    <col min="2053" max="2053" width="2.7109375" style="158" customWidth="1"/>
    <col min="2054" max="2055" width="10.7109375" style="158" customWidth="1"/>
    <col min="2056" max="2057" width="9.140625" style="158"/>
    <col min="2058" max="2060" width="10.7109375" style="158" customWidth="1"/>
    <col min="2061" max="2305" width="9.140625" style="158"/>
    <col min="2306" max="2306" width="18.7109375" style="158" customWidth="1"/>
    <col min="2307" max="2308" width="10.7109375" style="158" customWidth="1"/>
    <col min="2309" max="2309" width="2.7109375" style="158" customWidth="1"/>
    <col min="2310" max="2311" width="10.7109375" style="158" customWidth="1"/>
    <col min="2312" max="2313" width="9.140625" style="158"/>
    <col min="2314" max="2316" width="10.7109375" style="158" customWidth="1"/>
    <col min="2317" max="2561" width="9.140625" style="158"/>
    <col min="2562" max="2562" width="18.7109375" style="158" customWidth="1"/>
    <col min="2563" max="2564" width="10.7109375" style="158" customWidth="1"/>
    <col min="2565" max="2565" width="2.7109375" style="158" customWidth="1"/>
    <col min="2566" max="2567" width="10.7109375" style="158" customWidth="1"/>
    <col min="2568" max="2569" width="9.140625" style="158"/>
    <col min="2570" max="2572" width="10.7109375" style="158" customWidth="1"/>
    <col min="2573" max="2817" width="9.140625" style="158"/>
    <col min="2818" max="2818" width="18.7109375" style="158" customWidth="1"/>
    <col min="2819" max="2820" width="10.7109375" style="158" customWidth="1"/>
    <col min="2821" max="2821" width="2.7109375" style="158" customWidth="1"/>
    <col min="2822" max="2823" width="10.7109375" style="158" customWidth="1"/>
    <col min="2824" max="2825" width="9.140625" style="158"/>
    <col min="2826" max="2828" width="10.7109375" style="158" customWidth="1"/>
    <col min="2829" max="3073" width="9.140625" style="158"/>
    <col min="3074" max="3074" width="18.7109375" style="158" customWidth="1"/>
    <col min="3075" max="3076" width="10.7109375" style="158" customWidth="1"/>
    <col min="3077" max="3077" width="2.7109375" style="158" customWidth="1"/>
    <col min="3078" max="3079" width="10.7109375" style="158" customWidth="1"/>
    <col min="3080" max="3081" width="9.140625" style="158"/>
    <col min="3082" max="3084" width="10.7109375" style="158" customWidth="1"/>
    <col min="3085" max="3329" width="9.140625" style="158"/>
    <col min="3330" max="3330" width="18.7109375" style="158" customWidth="1"/>
    <col min="3331" max="3332" width="10.7109375" style="158" customWidth="1"/>
    <col min="3333" max="3333" width="2.7109375" style="158" customWidth="1"/>
    <col min="3334" max="3335" width="10.7109375" style="158" customWidth="1"/>
    <col min="3336" max="3337" width="9.140625" style="158"/>
    <col min="3338" max="3340" width="10.7109375" style="158" customWidth="1"/>
    <col min="3341" max="3585" width="9.140625" style="158"/>
    <col min="3586" max="3586" width="18.7109375" style="158" customWidth="1"/>
    <col min="3587" max="3588" width="10.7109375" style="158" customWidth="1"/>
    <col min="3589" max="3589" width="2.7109375" style="158" customWidth="1"/>
    <col min="3590" max="3591" width="10.7109375" style="158" customWidth="1"/>
    <col min="3592" max="3593" width="9.140625" style="158"/>
    <col min="3594" max="3596" width="10.7109375" style="158" customWidth="1"/>
    <col min="3597" max="3841" width="9.140625" style="158"/>
    <col min="3842" max="3842" width="18.7109375" style="158" customWidth="1"/>
    <col min="3843" max="3844" width="10.7109375" style="158" customWidth="1"/>
    <col min="3845" max="3845" width="2.7109375" style="158" customWidth="1"/>
    <col min="3846" max="3847" width="10.7109375" style="158" customWidth="1"/>
    <col min="3848" max="3849" width="9.140625" style="158"/>
    <col min="3850" max="3852" width="10.7109375" style="158" customWidth="1"/>
    <col min="3853" max="4097" width="9.140625" style="158"/>
    <col min="4098" max="4098" width="18.7109375" style="158" customWidth="1"/>
    <col min="4099" max="4100" width="10.7109375" style="158" customWidth="1"/>
    <col min="4101" max="4101" width="2.7109375" style="158" customWidth="1"/>
    <col min="4102" max="4103" width="10.7109375" style="158" customWidth="1"/>
    <col min="4104" max="4105" width="9.140625" style="158"/>
    <col min="4106" max="4108" width="10.7109375" style="158" customWidth="1"/>
    <col min="4109" max="4353" width="9.140625" style="158"/>
    <col min="4354" max="4354" width="18.7109375" style="158" customWidth="1"/>
    <col min="4355" max="4356" width="10.7109375" style="158" customWidth="1"/>
    <col min="4357" max="4357" width="2.7109375" style="158" customWidth="1"/>
    <col min="4358" max="4359" width="10.7109375" style="158" customWidth="1"/>
    <col min="4360" max="4361" width="9.140625" style="158"/>
    <col min="4362" max="4364" width="10.7109375" style="158" customWidth="1"/>
    <col min="4365" max="4609" width="9.140625" style="158"/>
    <col min="4610" max="4610" width="18.7109375" style="158" customWidth="1"/>
    <col min="4611" max="4612" width="10.7109375" style="158" customWidth="1"/>
    <col min="4613" max="4613" width="2.7109375" style="158" customWidth="1"/>
    <col min="4614" max="4615" width="10.7109375" style="158" customWidth="1"/>
    <col min="4616" max="4617" width="9.140625" style="158"/>
    <col min="4618" max="4620" width="10.7109375" style="158" customWidth="1"/>
    <col min="4621" max="4865" width="9.140625" style="158"/>
    <col min="4866" max="4866" width="18.7109375" style="158" customWidth="1"/>
    <col min="4867" max="4868" width="10.7109375" style="158" customWidth="1"/>
    <col min="4869" max="4869" width="2.7109375" style="158" customWidth="1"/>
    <col min="4870" max="4871" width="10.7109375" style="158" customWidth="1"/>
    <col min="4872" max="4873" width="9.140625" style="158"/>
    <col min="4874" max="4876" width="10.7109375" style="158" customWidth="1"/>
    <col min="4877" max="5121" width="9.140625" style="158"/>
    <col min="5122" max="5122" width="18.7109375" style="158" customWidth="1"/>
    <col min="5123" max="5124" width="10.7109375" style="158" customWidth="1"/>
    <col min="5125" max="5125" width="2.7109375" style="158" customWidth="1"/>
    <col min="5126" max="5127" width="10.7109375" style="158" customWidth="1"/>
    <col min="5128" max="5129" width="9.140625" style="158"/>
    <col min="5130" max="5132" width="10.7109375" style="158" customWidth="1"/>
    <col min="5133" max="5377" width="9.140625" style="158"/>
    <col min="5378" max="5378" width="18.7109375" style="158" customWidth="1"/>
    <col min="5379" max="5380" width="10.7109375" style="158" customWidth="1"/>
    <col min="5381" max="5381" width="2.7109375" style="158" customWidth="1"/>
    <col min="5382" max="5383" width="10.7109375" style="158" customWidth="1"/>
    <col min="5384" max="5385" width="9.140625" style="158"/>
    <col min="5386" max="5388" width="10.7109375" style="158" customWidth="1"/>
    <col min="5389" max="5633" width="9.140625" style="158"/>
    <col min="5634" max="5634" width="18.7109375" style="158" customWidth="1"/>
    <col min="5635" max="5636" width="10.7109375" style="158" customWidth="1"/>
    <col min="5637" max="5637" width="2.7109375" style="158" customWidth="1"/>
    <col min="5638" max="5639" width="10.7109375" style="158" customWidth="1"/>
    <col min="5640" max="5641" width="9.140625" style="158"/>
    <col min="5642" max="5644" width="10.7109375" style="158" customWidth="1"/>
    <col min="5645" max="5889" width="9.140625" style="158"/>
    <col min="5890" max="5890" width="18.7109375" style="158" customWidth="1"/>
    <col min="5891" max="5892" width="10.7109375" style="158" customWidth="1"/>
    <col min="5893" max="5893" width="2.7109375" style="158" customWidth="1"/>
    <col min="5894" max="5895" width="10.7109375" style="158" customWidth="1"/>
    <col min="5896" max="5897" width="9.140625" style="158"/>
    <col min="5898" max="5900" width="10.7109375" style="158" customWidth="1"/>
    <col min="5901" max="6145" width="9.140625" style="158"/>
    <col min="6146" max="6146" width="18.7109375" style="158" customWidth="1"/>
    <col min="6147" max="6148" width="10.7109375" style="158" customWidth="1"/>
    <col min="6149" max="6149" width="2.7109375" style="158" customWidth="1"/>
    <col min="6150" max="6151" width="10.7109375" style="158" customWidth="1"/>
    <col min="6152" max="6153" width="9.140625" style="158"/>
    <col min="6154" max="6156" width="10.7109375" style="158" customWidth="1"/>
    <col min="6157" max="6401" width="9.140625" style="158"/>
    <col min="6402" max="6402" width="18.7109375" style="158" customWidth="1"/>
    <col min="6403" max="6404" width="10.7109375" style="158" customWidth="1"/>
    <col min="6405" max="6405" width="2.7109375" style="158" customWidth="1"/>
    <col min="6406" max="6407" width="10.7109375" style="158" customWidth="1"/>
    <col min="6408" max="6409" width="9.140625" style="158"/>
    <col min="6410" max="6412" width="10.7109375" style="158" customWidth="1"/>
    <col min="6413" max="6657" width="9.140625" style="158"/>
    <col min="6658" max="6658" width="18.7109375" style="158" customWidth="1"/>
    <col min="6659" max="6660" width="10.7109375" style="158" customWidth="1"/>
    <col min="6661" max="6661" width="2.7109375" style="158" customWidth="1"/>
    <col min="6662" max="6663" width="10.7109375" style="158" customWidth="1"/>
    <col min="6664" max="6665" width="9.140625" style="158"/>
    <col min="6666" max="6668" width="10.7109375" style="158" customWidth="1"/>
    <col min="6669" max="6913" width="9.140625" style="158"/>
    <col min="6914" max="6914" width="18.7109375" style="158" customWidth="1"/>
    <col min="6915" max="6916" width="10.7109375" style="158" customWidth="1"/>
    <col min="6917" max="6917" width="2.7109375" style="158" customWidth="1"/>
    <col min="6918" max="6919" width="10.7109375" style="158" customWidth="1"/>
    <col min="6920" max="6921" width="9.140625" style="158"/>
    <col min="6922" max="6924" width="10.7109375" style="158" customWidth="1"/>
    <col min="6925" max="7169" width="9.140625" style="158"/>
    <col min="7170" max="7170" width="18.7109375" style="158" customWidth="1"/>
    <col min="7171" max="7172" width="10.7109375" style="158" customWidth="1"/>
    <col min="7173" max="7173" width="2.7109375" style="158" customWidth="1"/>
    <col min="7174" max="7175" width="10.7109375" style="158" customWidth="1"/>
    <col min="7176" max="7177" width="9.140625" style="158"/>
    <col min="7178" max="7180" width="10.7109375" style="158" customWidth="1"/>
    <col min="7181" max="7425" width="9.140625" style="158"/>
    <col min="7426" max="7426" width="18.7109375" style="158" customWidth="1"/>
    <col min="7427" max="7428" width="10.7109375" style="158" customWidth="1"/>
    <col min="7429" max="7429" width="2.7109375" style="158" customWidth="1"/>
    <col min="7430" max="7431" width="10.7109375" style="158" customWidth="1"/>
    <col min="7432" max="7433" width="9.140625" style="158"/>
    <col min="7434" max="7436" width="10.7109375" style="158" customWidth="1"/>
    <col min="7437" max="7681" width="9.140625" style="158"/>
    <col min="7682" max="7682" width="18.7109375" style="158" customWidth="1"/>
    <col min="7683" max="7684" width="10.7109375" style="158" customWidth="1"/>
    <col min="7685" max="7685" width="2.7109375" style="158" customWidth="1"/>
    <col min="7686" max="7687" width="10.7109375" style="158" customWidth="1"/>
    <col min="7688" max="7689" width="9.140625" style="158"/>
    <col min="7690" max="7692" width="10.7109375" style="158" customWidth="1"/>
    <col min="7693" max="7937" width="9.140625" style="158"/>
    <col min="7938" max="7938" width="18.7109375" style="158" customWidth="1"/>
    <col min="7939" max="7940" width="10.7109375" style="158" customWidth="1"/>
    <col min="7941" max="7941" width="2.7109375" style="158" customWidth="1"/>
    <col min="7942" max="7943" width="10.7109375" style="158" customWidth="1"/>
    <col min="7944" max="7945" width="9.140625" style="158"/>
    <col min="7946" max="7948" width="10.7109375" style="158" customWidth="1"/>
    <col min="7949" max="8193" width="9.140625" style="158"/>
    <col min="8194" max="8194" width="18.7109375" style="158" customWidth="1"/>
    <col min="8195" max="8196" width="10.7109375" style="158" customWidth="1"/>
    <col min="8197" max="8197" width="2.7109375" style="158" customWidth="1"/>
    <col min="8198" max="8199" width="10.7109375" style="158" customWidth="1"/>
    <col min="8200" max="8201" width="9.140625" style="158"/>
    <col min="8202" max="8204" width="10.7109375" style="158" customWidth="1"/>
    <col min="8205" max="8449" width="9.140625" style="158"/>
    <col min="8450" max="8450" width="18.7109375" style="158" customWidth="1"/>
    <col min="8451" max="8452" width="10.7109375" style="158" customWidth="1"/>
    <col min="8453" max="8453" width="2.7109375" style="158" customWidth="1"/>
    <col min="8454" max="8455" width="10.7109375" style="158" customWidth="1"/>
    <col min="8456" max="8457" width="9.140625" style="158"/>
    <col min="8458" max="8460" width="10.7109375" style="158" customWidth="1"/>
    <col min="8461" max="8705" width="9.140625" style="158"/>
    <col min="8706" max="8706" width="18.7109375" style="158" customWidth="1"/>
    <col min="8707" max="8708" width="10.7109375" style="158" customWidth="1"/>
    <col min="8709" max="8709" width="2.7109375" style="158" customWidth="1"/>
    <col min="8710" max="8711" width="10.7109375" style="158" customWidth="1"/>
    <col min="8712" max="8713" width="9.140625" style="158"/>
    <col min="8714" max="8716" width="10.7109375" style="158" customWidth="1"/>
    <col min="8717" max="8961" width="9.140625" style="158"/>
    <col min="8962" max="8962" width="18.7109375" style="158" customWidth="1"/>
    <col min="8963" max="8964" width="10.7109375" style="158" customWidth="1"/>
    <col min="8965" max="8965" width="2.7109375" style="158" customWidth="1"/>
    <col min="8966" max="8967" width="10.7109375" style="158" customWidth="1"/>
    <col min="8968" max="8969" width="9.140625" style="158"/>
    <col min="8970" max="8972" width="10.7109375" style="158" customWidth="1"/>
    <col min="8973" max="9217" width="9.140625" style="158"/>
    <col min="9218" max="9218" width="18.7109375" style="158" customWidth="1"/>
    <col min="9219" max="9220" width="10.7109375" style="158" customWidth="1"/>
    <col min="9221" max="9221" width="2.7109375" style="158" customWidth="1"/>
    <col min="9222" max="9223" width="10.7109375" style="158" customWidth="1"/>
    <col min="9224" max="9225" width="9.140625" style="158"/>
    <col min="9226" max="9228" width="10.7109375" style="158" customWidth="1"/>
    <col min="9229" max="9473" width="9.140625" style="158"/>
    <col min="9474" max="9474" width="18.7109375" style="158" customWidth="1"/>
    <col min="9475" max="9476" width="10.7109375" style="158" customWidth="1"/>
    <col min="9477" max="9477" width="2.7109375" style="158" customWidth="1"/>
    <col min="9478" max="9479" width="10.7109375" style="158" customWidth="1"/>
    <col min="9480" max="9481" width="9.140625" style="158"/>
    <col min="9482" max="9484" width="10.7109375" style="158" customWidth="1"/>
    <col min="9485" max="9729" width="9.140625" style="158"/>
    <col min="9730" max="9730" width="18.7109375" style="158" customWidth="1"/>
    <col min="9731" max="9732" width="10.7109375" style="158" customWidth="1"/>
    <col min="9733" max="9733" width="2.7109375" style="158" customWidth="1"/>
    <col min="9734" max="9735" width="10.7109375" style="158" customWidth="1"/>
    <col min="9736" max="9737" width="9.140625" style="158"/>
    <col min="9738" max="9740" width="10.7109375" style="158" customWidth="1"/>
    <col min="9741" max="9985" width="9.140625" style="158"/>
    <col min="9986" max="9986" width="18.7109375" style="158" customWidth="1"/>
    <col min="9987" max="9988" width="10.7109375" style="158" customWidth="1"/>
    <col min="9989" max="9989" width="2.7109375" style="158" customWidth="1"/>
    <col min="9990" max="9991" width="10.7109375" style="158" customWidth="1"/>
    <col min="9992" max="9993" width="9.140625" style="158"/>
    <col min="9994" max="9996" width="10.7109375" style="158" customWidth="1"/>
    <col min="9997" max="10241" width="9.140625" style="158"/>
    <col min="10242" max="10242" width="18.7109375" style="158" customWidth="1"/>
    <col min="10243" max="10244" width="10.7109375" style="158" customWidth="1"/>
    <col min="10245" max="10245" width="2.7109375" style="158" customWidth="1"/>
    <col min="10246" max="10247" width="10.7109375" style="158" customWidth="1"/>
    <col min="10248" max="10249" width="9.140625" style="158"/>
    <col min="10250" max="10252" width="10.7109375" style="158" customWidth="1"/>
    <col min="10253" max="10497" width="9.140625" style="158"/>
    <col min="10498" max="10498" width="18.7109375" style="158" customWidth="1"/>
    <col min="10499" max="10500" width="10.7109375" style="158" customWidth="1"/>
    <col min="10501" max="10501" width="2.7109375" style="158" customWidth="1"/>
    <col min="10502" max="10503" width="10.7109375" style="158" customWidth="1"/>
    <col min="10504" max="10505" width="9.140625" style="158"/>
    <col min="10506" max="10508" width="10.7109375" style="158" customWidth="1"/>
    <col min="10509" max="10753" width="9.140625" style="158"/>
    <col min="10754" max="10754" width="18.7109375" style="158" customWidth="1"/>
    <col min="10755" max="10756" width="10.7109375" style="158" customWidth="1"/>
    <col min="10757" max="10757" width="2.7109375" style="158" customWidth="1"/>
    <col min="10758" max="10759" width="10.7109375" style="158" customWidth="1"/>
    <col min="10760" max="10761" width="9.140625" style="158"/>
    <col min="10762" max="10764" width="10.7109375" style="158" customWidth="1"/>
    <col min="10765" max="11009" width="9.140625" style="158"/>
    <col min="11010" max="11010" width="18.7109375" style="158" customWidth="1"/>
    <col min="11011" max="11012" width="10.7109375" style="158" customWidth="1"/>
    <col min="11013" max="11013" width="2.7109375" style="158" customWidth="1"/>
    <col min="11014" max="11015" width="10.7109375" style="158" customWidth="1"/>
    <col min="11016" max="11017" width="9.140625" style="158"/>
    <col min="11018" max="11020" width="10.7109375" style="158" customWidth="1"/>
    <col min="11021" max="11265" width="9.140625" style="158"/>
    <col min="11266" max="11266" width="18.7109375" style="158" customWidth="1"/>
    <col min="11267" max="11268" width="10.7109375" style="158" customWidth="1"/>
    <col min="11269" max="11269" width="2.7109375" style="158" customWidth="1"/>
    <col min="11270" max="11271" width="10.7109375" style="158" customWidth="1"/>
    <col min="11272" max="11273" width="9.140625" style="158"/>
    <col min="11274" max="11276" width="10.7109375" style="158" customWidth="1"/>
    <col min="11277" max="11521" width="9.140625" style="158"/>
    <col min="11522" max="11522" width="18.7109375" style="158" customWidth="1"/>
    <col min="11523" max="11524" width="10.7109375" style="158" customWidth="1"/>
    <col min="11525" max="11525" width="2.7109375" style="158" customWidth="1"/>
    <col min="11526" max="11527" width="10.7109375" style="158" customWidth="1"/>
    <col min="11528" max="11529" width="9.140625" style="158"/>
    <col min="11530" max="11532" width="10.7109375" style="158" customWidth="1"/>
    <col min="11533" max="11777" width="9.140625" style="158"/>
    <col min="11778" max="11778" width="18.7109375" style="158" customWidth="1"/>
    <col min="11779" max="11780" width="10.7109375" style="158" customWidth="1"/>
    <col min="11781" max="11781" width="2.7109375" style="158" customWidth="1"/>
    <col min="11782" max="11783" width="10.7109375" style="158" customWidth="1"/>
    <col min="11784" max="11785" width="9.140625" style="158"/>
    <col min="11786" max="11788" width="10.7109375" style="158" customWidth="1"/>
    <col min="11789" max="12033" width="9.140625" style="158"/>
    <col min="12034" max="12034" width="18.7109375" style="158" customWidth="1"/>
    <col min="12035" max="12036" width="10.7109375" style="158" customWidth="1"/>
    <col min="12037" max="12037" width="2.7109375" style="158" customWidth="1"/>
    <col min="12038" max="12039" width="10.7109375" style="158" customWidth="1"/>
    <col min="12040" max="12041" width="9.140625" style="158"/>
    <col min="12042" max="12044" width="10.7109375" style="158" customWidth="1"/>
    <col min="12045" max="12289" width="9.140625" style="158"/>
    <col min="12290" max="12290" width="18.7109375" style="158" customWidth="1"/>
    <col min="12291" max="12292" width="10.7109375" style="158" customWidth="1"/>
    <col min="12293" max="12293" width="2.7109375" style="158" customWidth="1"/>
    <col min="12294" max="12295" width="10.7109375" style="158" customWidth="1"/>
    <col min="12296" max="12297" width="9.140625" style="158"/>
    <col min="12298" max="12300" width="10.7109375" style="158" customWidth="1"/>
    <col min="12301" max="12545" width="9.140625" style="158"/>
    <col min="12546" max="12546" width="18.7109375" style="158" customWidth="1"/>
    <col min="12547" max="12548" width="10.7109375" style="158" customWidth="1"/>
    <col min="12549" max="12549" width="2.7109375" style="158" customWidth="1"/>
    <col min="12550" max="12551" width="10.7109375" style="158" customWidth="1"/>
    <col min="12552" max="12553" width="9.140625" style="158"/>
    <col min="12554" max="12556" width="10.7109375" style="158" customWidth="1"/>
    <col min="12557" max="12801" width="9.140625" style="158"/>
    <col min="12802" max="12802" width="18.7109375" style="158" customWidth="1"/>
    <col min="12803" max="12804" width="10.7109375" style="158" customWidth="1"/>
    <col min="12805" max="12805" width="2.7109375" style="158" customWidth="1"/>
    <col min="12806" max="12807" width="10.7109375" style="158" customWidth="1"/>
    <col min="12808" max="12809" width="9.140625" style="158"/>
    <col min="12810" max="12812" width="10.7109375" style="158" customWidth="1"/>
    <col min="12813" max="13057" width="9.140625" style="158"/>
    <col min="13058" max="13058" width="18.7109375" style="158" customWidth="1"/>
    <col min="13059" max="13060" width="10.7109375" style="158" customWidth="1"/>
    <col min="13061" max="13061" width="2.7109375" style="158" customWidth="1"/>
    <col min="13062" max="13063" width="10.7109375" style="158" customWidth="1"/>
    <col min="13064" max="13065" width="9.140625" style="158"/>
    <col min="13066" max="13068" width="10.7109375" style="158" customWidth="1"/>
    <col min="13069" max="13313" width="9.140625" style="158"/>
    <col min="13314" max="13314" width="18.7109375" style="158" customWidth="1"/>
    <col min="13315" max="13316" width="10.7109375" style="158" customWidth="1"/>
    <col min="13317" max="13317" width="2.7109375" style="158" customWidth="1"/>
    <col min="13318" max="13319" width="10.7109375" style="158" customWidth="1"/>
    <col min="13320" max="13321" width="9.140625" style="158"/>
    <col min="13322" max="13324" width="10.7109375" style="158" customWidth="1"/>
    <col min="13325" max="13569" width="9.140625" style="158"/>
    <col min="13570" max="13570" width="18.7109375" style="158" customWidth="1"/>
    <col min="13571" max="13572" width="10.7109375" style="158" customWidth="1"/>
    <col min="13573" max="13573" width="2.7109375" style="158" customWidth="1"/>
    <col min="13574" max="13575" width="10.7109375" style="158" customWidth="1"/>
    <col min="13576" max="13577" width="9.140625" style="158"/>
    <col min="13578" max="13580" width="10.7109375" style="158" customWidth="1"/>
    <col min="13581" max="13825" width="9.140625" style="158"/>
    <col min="13826" max="13826" width="18.7109375" style="158" customWidth="1"/>
    <col min="13827" max="13828" width="10.7109375" style="158" customWidth="1"/>
    <col min="13829" max="13829" width="2.7109375" style="158" customWidth="1"/>
    <col min="13830" max="13831" width="10.7109375" style="158" customWidth="1"/>
    <col min="13832" max="13833" width="9.140625" style="158"/>
    <col min="13834" max="13836" width="10.7109375" style="158" customWidth="1"/>
    <col min="13837" max="14081" width="9.140625" style="158"/>
    <col min="14082" max="14082" width="18.7109375" style="158" customWidth="1"/>
    <col min="14083" max="14084" width="10.7109375" style="158" customWidth="1"/>
    <col min="14085" max="14085" width="2.7109375" style="158" customWidth="1"/>
    <col min="14086" max="14087" width="10.7109375" style="158" customWidth="1"/>
    <col min="14088" max="14089" width="9.140625" style="158"/>
    <col min="14090" max="14092" width="10.7109375" style="158" customWidth="1"/>
    <col min="14093" max="14337" width="9.140625" style="158"/>
    <col min="14338" max="14338" width="18.7109375" style="158" customWidth="1"/>
    <col min="14339" max="14340" width="10.7109375" style="158" customWidth="1"/>
    <col min="14341" max="14341" width="2.7109375" style="158" customWidth="1"/>
    <col min="14342" max="14343" width="10.7109375" style="158" customWidth="1"/>
    <col min="14344" max="14345" width="9.140625" style="158"/>
    <col min="14346" max="14348" width="10.7109375" style="158" customWidth="1"/>
    <col min="14349" max="14593" width="9.140625" style="158"/>
    <col min="14594" max="14594" width="18.7109375" style="158" customWidth="1"/>
    <col min="14595" max="14596" width="10.7109375" style="158" customWidth="1"/>
    <col min="14597" max="14597" width="2.7109375" style="158" customWidth="1"/>
    <col min="14598" max="14599" width="10.7109375" style="158" customWidth="1"/>
    <col min="14600" max="14601" width="9.140625" style="158"/>
    <col min="14602" max="14604" width="10.7109375" style="158" customWidth="1"/>
    <col min="14605" max="14849" width="9.140625" style="158"/>
    <col min="14850" max="14850" width="18.7109375" style="158" customWidth="1"/>
    <col min="14851" max="14852" width="10.7109375" style="158" customWidth="1"/>
    <col min="14853" max="14853" width="2.7109375" style="158" customWidth="1"/>
    <col min="14854" max="14855" width="10.7109375" style="158" customWidth="1"/>
    <col min="14856" max="14857" width="9.140625" style="158"/>
    <col min="14858" max="14860" width="10.7109375" style="158" customWidth="1"/>
    <col min="14861" max="15105" width="9.140625" style="158"/>
    <col min="15106" max="15106" width="18.7109375" style="158" customWidth="1"/>
    <col min="15107" max="15108" width="10.7109375" style="158" customWidth="1"/>
    <col min="15109" max="15109" width="2.7109375" style="158" customWidth="1"/>
    <col min="15110" max="15111" width="10.7109375" style="158" customWidth="1"/>
    <col min="15112" max="15113" width="9.140625" style="158"/>
    <col min="15114" max="15116" width="10.7109375" style="158" customWidth="1"/>
    <col min="15117" max="15361" width="9.140625" style="158"/>
    <col min="15362" max="15362" width="18.7109375" style="158" customWidth="1"/>
    <col min="15363" max="15364" width="10.7109375" style="158" customWidth="1"/>
    <col min="15365" max="15365" width="2.7109375" style="158" customWidth="1"/>
    <col min="15366" max="15367" width="10.7109375" style="158" customWidth="1"/>
    <col min="15368" max="15369" width="9.140625" style="158"/>
    <col min="15370" max="15372" width="10.7109375" style="158" customWidth="1"/>
    <col min="15373" max="15617" width="9.140625" style="158"/>
    <col min="15618" max="15618" width="18.7109375" style="158" customWidth="1"/>
    <col min="15619" max="15620" width="10.7109375" style="158" customWidth="1"/>
    <col min="15621" max="15621" width="2.7109375" style="158" customWidth="1"/>
    <col min="15622" max="15623" width="10.7109375" style="158" customWidth="1"/>
    <col min="15624" max="15625" width="9.140625" style="158"/>
    <col min="15626" max="15628" width="10.7109375" style="158" customWidth="1"/>
    <col min="15629" max="15873" width="9.140625" style="158"/>
    <col min="15874" max="15874" width="18.7109375" style="158" customWidth="1"/>
    <col min="15875" max="15876" width="10.7109375" style="158" customWidth="1"/>
    <col min="15877" max="15877" width="2.7109375" style="158" customWidth="1"/>
    <col min="15878" max="15879" width="10.7109375" style="158" customWidth="1"/>
    <col min="15880" max="15881" width="9.140625" style="158"/>
    <col min="15882" max="15884" width="10.7109375" style="158" customWidth="1"/>
    <col min="15885" max="16129" width="9.140625" style="158"/>
    <col min="16130" max="16130" width="18.7109375" style="158" customWidth="1"/>
    <col min="16131" max="16132" width="10.7109375" style="158" customWidth="1"/>
    <col min="16133" max="16133" width="2.7109375" style="158" customWidth="1"/>
    <col min="16134" max="16135" width="10.7109375" style="158" customWidth="1"/>
    <col min="16136" max="16137" width="9.140625" style="158"/>
    <col min="16138" max="16140" width="10.7109375" style="158" customWidth="1"/>
    <col min="16141" max="16384" width="9.140625" style="158"/>
  </cols>
  <sheetData>
    <row r="2" spans="2:14" ht="20.25" x14ac:dyDescent="0.3">
      <c r="B2" s="164" t="s">
        <v>492</v>
      </c>
    </row>
    <row r="3" spans="2:14" ht="13.5" thickBot="1" x14ac:dyDescent="0.25"/>
    <row r="4" spans="2:14" ht="15.75" x14ac:dyDescent="0.25">
      <c r="B4" s="292" t="s">
        <v>472</v>
      </c>
      <c r="C4" s="293" t="s">
        <v>473</v>
      </c>
      <c r="D4" s="294" t="s">
        <v>15</v>
      </c>
      <c r="E4" s="295"/>
      <c r="F4" s="293" t="s">
        <v>473</v>
      </c>
      <c r="G4" s="296" t="s">
        <v>15</v>
      </c>
      <c r="J4" s="297" t="s">
        <v>474</v>
      </c>
      <c r="K4" s="298"/>
      <c r="L4" s="299"/>
    </row>
    <row r="5" spans="2:14" ht="15.75" x14ac:dyDescent="0.25">
      <c r="B5" s="300" t="s">
        <v>475</v>
      </c>
      <c r="C5" s="301" t="s">
        <v>328</v>
      </c>
      <c r="D5" s="302" t="s">
        <v>328</v>
      </c>
      <c r="E5" s="303"/>
      <c r="F5" s="301" t="s">
        <v>3</v>
      </c>
      <c r="G5" s="304" t="s">
        <v>3</v>
      </c>
      <c r="J5" s="305" t="s">
        <v>476</v>
      </c>
      <c r="K5" s="306" t="s">
        <v>477</v>
      </c>
      <c r="L5" s="307" t="s">
        <v>478</v>
      </c>
    </row>
    <row r="6" spans="2:14" ht="15.75" x14ac:dyDescent="0.3">
      <c r="B6" s="308" t="s">
        <v>0</v>
      </c>
      <c r="C6" s="309" t="s">
        <v>479</v>
      </c>
      <c r="D6" s="310" t="s">
        <v>480</v>
      </c>
      <c r="E6" s="311"/>
      <c r="F6" s="309" t="s">
        <v>481</v>
      </c>
      <c r="G6" s="312" t="s">
        <v>482</v>
      </c>
      <c r="J6" s="313" t="s">
        <v>483</v>
      </c>
      <c r="K6" s="314" t="s">
        <v>484</v>
      </c>
      <c r="L6" s="315" t="s">
        <v>0</v>
      </c>
    </row>
    <row r="7" spans="2:14" x14ac:dyDescent="0.2">
      <c r="B7" s="316"/>
      <c r="C7" s="317"/>
      <c r="D7" s="317"/>
      <c r="E7" s="317"/>
      <c r="F7" s="318"/>
      <c r="G7" s="319"/>
      <c r="J7" s="320"/>
      <c r="K7" s="321"/>
      <c r="L7" s="322"/>
    </row>
    <row r="8" spans="2:14" x14ac:dyDescent="0.2">
      <c r="B8" s="316"/>
      <c r="C8" s="317"/>
      <c r="D8" s="317"/>
      <c r="E8" s="317"/>
      <c r="F8" s="318"/>
      <c r="G8" s="319"/>
      <c r="J8" s="320"/>
      <c r="K8" s="321"/>
      <c r="L8" s="322"/>
    </row>
    <row r="9" spans="2:14" x14ac:dyDescent="0.2">
      <c r="B9" s="316" t="s">
        <v>485</v>
      </c>
      <c r="C9" s="323">
        <v>0.4</v>
      </c>
      <c r="D9" s="323">
        <v>0.4</v>
      </c>
      <c r="E9" s="317"/>
      <c r="F9" s="324">
        <v>20</v>
      </c>
      <c r="G9" s="325">
        <v>10</v>
      </c>
      <c r="J9" s="326">
        <f>+(C9-D9)*G9/100</f>
        <v>0</v>
      </c>
      <c r="K9" s="327">
        <f>+D9*(F9-G9)/100</f>
        <v>0.04</v>
      </c>
      <c r="L9" s="328">
        <f>+(C9-D9)*(F9-G9)/100</f>
        <v>0</v>
      </c>
    </row>
    <row r="10" spans="2:14" x14ac:dyDescent="0.2">
      <c r="B10" s="316"/>
      <c r="C10" s="323"/>
      <c r="D10" s="323"/>
      <c r="E10" s="317"/>
      <c r="F10" s="324"/>
      <c r="G10" s="325"/>
      <c r="J10" s="320"/>
      <c r="K10" s="321"/>
      <c r="L10" s="322"/>
    </row>
    <row r="11" spans="2:14" x14ac:dyDescent="0.2">
      <c r="B11" s="316" t="s">
        <v>486</v>
      </c>
      <c r="C11" s="323">
        <v>0.3</v>
      </c>
      <c r="D11" s="323">
        <v>0.2</v>
      </c>
      <c r="E11" s="317"/>
      <c r="F11" s="324">
        <v>-5</v>
      </c>
      <c r="G11" s="325">
        <v>-4</v>
      </c>
      <c r="J11" s="326">
        <f>+(C11-D11)*G11/100</f>
        <v>-3.9999999999999992E-3</v>
      </c>
      <c r="K11" s="327">
        <f>+D11*(F11-G11)/100</f>
        <v>-2E-3</v>
      </c>
      <c r="L11" s="328">
        <f>+(C11-D11)*(F11-G11)/100</f>
        <v>-9.999999999999998E-4</v>
      </c>
    </row>
    <row r="12" spans="2:14" x14ac:dyDescent="0.2">
      <c r="B12" s="316"/>
      <c r="C12" s="323"/>
      <c r="D12" s="323"/>
      <c r="E12" s="317"/>
      <c r="F12" s="324"/>
      <c r="G12" s="325"/>
      <c r="J12" s="320"/>
      <c r="K12" s="321"/>
      <c r="L12" s="322"/>
    </row>
    <row r="13" spans="2:14" x14ac:dyDescent="0.2">
      <c r="B13" s="316" t="s">
        <v>487</v>
      </c>
      <c r="C13" s="323">
        <v>0.3</v>
      </c>
      <c r="D13" s="323">
        <v>0.4</v>
      </c>
      <c r="E13" s="317"/>
      <c r="F13" s="324">
        <v>6</v>
      </c>
      <c r="G13" s="325">
        <v>8</v>
      </c>
      <c r="J13" s="326">
        <f>+(C13-D13)*G13/100</f>
        <v>-8.0000000000000019E-3</v>
      </c>
      <c r="K13" s="327">
        <f>+D13*(F13-G13)/100</f>
        <v>-8.0000000000000002E-3</v>
      </c>
      <c r="L13" s="328">
        <f>+(C13-D13)*(F13-G13)/100</f>
        <v>2.0000000000000005E-3</v>
      </c>
    </row>
    <row r="14" spans="2:14" x14ac:dyDescent="0.2">
      <c r="B14" s="316"/>
      <c r="C14" s="323"/>
      <c r="D14" s="323"/>
      <c r="E14" s="317"/>
      <c r="F14" s="318"/>
      <c r="G14" s="319"/>
      <c r="J14" s="320"/>
      <c r="K14" s="321"/>
      <c r="L14" s="322"/>
    </row>
    <row r="15" spans="2:14" x14ac:dyDescent="0.2">
      <c r="B15" s="316"/>
      <c r="C15" s="323"/>
      <c r="D15" s="323"/>
      <c r="E15" s="317"/>
      <c r="F15" s="318"/>
      <c r="G15" s="319"/>
      <c r="J15" s="320"/>
      <c r="K15" s="321"/>
      <c r="L15" s="322"/>
    </row>
    <row r="16" spans="2:14" ht="13.5" thickBot="1" x14ac:dyDescent="0.25">
      <c r="B16" s="329" t="s">
        <v>16</v>
      </c>
      <c r="C16" s="330">
        <f>SUM(C9:C13)</f>
        <v>1</v>
      </c>
      <c r="D16" s="330">
        <f>SUM(D9:D13)</f>
        <v>1</v>
      </c>
      <c r="E16" s="331"/>
      <c r="F16" s="332">
        <v>8.3000000000000007</v>
      </c>
      <c r="G16" s="333">
        <v>6.4</v>
      </c>
      <c r="H16" s="171"/>
      <c r="I16" s="171"/>
      <c r="J16" s="334">
        <f>SUM(J9:J13)</f>
        <v>-1.2E-2</v>
      </c>
      <c r="K16" s="335">
        <f>SUM(K9:K13)</f>
        <v>0.03</v>
      </c>
      <c r="L16" s="336">
        <f>SUM(L9:L13)</f>
        <v>1.0000000000000007E-3</v>
      </c>
      <c r="M16" s="171"/>
      <c r="N16" s="171"/>
    </row>
    <row r="19" spans="10:13" ht="13.5" thickBot="1" x14ac:dyDescent="0.25"/>
    <row r="20" spans="10:13" ht="15.75" x14ac:dyDescent="0.25">
      <c r="J20" s="337" t="s">
        <v>488</v>
      </c>
      <c r="K20" s="338"/>
      <c r="L20" s="338"/>
      <c r="M20" s="339">
        <f>+(F16-G16)/100</f>
        <v>1.9000000000000003E-2</v>
      </c>
    </row>
    <row r="21" spans="10:13" x14ac:dyDescent="0.2">
      <c r="J21" s="320"/>
      <c r="K21" s="321"/>
      <c r="L21" s="321"/>
      <c r="M21" s="322"/>
    </row>
    <row r="22" spans="10:13" x14ac:dyDescent="0.2">
      <c r="J22" s="320" t="s">
        <v>489</v>
      </c>
      <c r="K22" s="321"/>
      <c r="L22" s="321"/>
      <c r="M22" s="340">
        <f>+J16</f>
        <v>-1.2E-2</v>
      </c>
    </row>
    <row r="23" spans="10:13" x14ac:dyDescent="0.2">
      <c r="J23" s="320" t="s">
        <v>490</v>
      </c>
      <c r="K23" s="321"/>
      <c r="L23" s="321"/>
      <c r="M23" s="340">
        <f>+K16</f>
        <v>0.03</v>
      </c>
    </row>
    <row r="24" spans="10:13" x14ac:dyDescent="0.2">
      <c r="J24" s="320" t="s">
        <v>478</v>
      </c>
      <c r="K24" s="321"/>
      <c r="L24" s="321"/>
      <c r="M24" s="340">
        <f>+L16</f>
        <v>1.0000000000000007E-3</v>
      </c>
    </row>
    <row r="25" spans="10:13" x14ac:dyDescent="0.2">
      <c r="J25" s="320" t="s">
        <v>0</v>
      </c>
      <c r="K25" s="321"/>
      <c r="L25" s="321"/>
      <c r="M25" s="340" t="s">
        <v>0</v>
      </c>
    </row>
    <row r="26" spans="10:13" ht="13.5" thickBot="1" x14ac:dyDescent="0.25">
      <c r="J26" s="341" t="s">
        <v>141</v>
      </c>
      <c r="K26" s="342"/>
      <c r="L26" s="342"/>
      <c r="M26" s="343">
        <f>+M20-M22-M23-M24</f>
        <v>3.6862873864507151E-18</v>
      </c>
    </row>
  </sheetData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6D6C-E711-47B7-8AF7-42B5486617B6}">
  <dimension ref="B2:M26"/>
  <sheetViews>
    <sheetView workbookViewId="0">
      <selection activeCell="F25" sqref="F25"/>
    </sheetView>
  </sheetViews>
  <sheetFormatPr defaultRowHeight="12.75" x14ac:dyDescent="0.2"/>
  <cols>
    <col min="1" max="1" width="9.140625" style="158"/>
    <col min="2" max="2" width="15.7109375" style="158" customWidth="1"/>
    <col min="3" max="4" width="10.7109375" style="158" customWidth="1"/>
    <col min="5" max="5" width="2.7109375" style="158" customWidth="1"/>
    <col min="6" max="7" width="10.7109375" style="158" customWidth="1"/>
    <col min="8" max="9" width="9.140625" style="158"/>
    <col min="10" max="13" width="10.7109375" style="158" customWidth="1"/>
    <col min="14" max="257" width="9.140625" style="158"/>
    <col min="258" max="258" width="15.7109375" style="158" customWidth="1"/>
    <col min="259" max="260" width="10.7109375" style="158" customWidth="1"/>
    <col min="261" max="261" width="2.7109375" style="158" customWidth="1"/>
    <col min="262" max="263" width="10.7109375" style="158" customWidth="1"/>
    <col min="264" max="265" width="9.140625" style="158"/>
    <col min="266" max="269" width="10.7109375" style="158" customWidth="1"/>
    <col min="270" max="513" width="9.140625" style="158"/>
    <col min="514" max="514" width="15.7109375" style="158" customWidth="1"/>
    <col min="515" max="516" width="10.7109375" style="158" customWidth="1"/>
    <col min="517" max="517" width="2.7109375" style="158" customWidth="1"/>
    <col min="518" max="519" width="10.7109375" style="158" customWidth="1"/>
    <col min="520" max="521" width="9.140625" style="158"/>
    <col min="522" max="525" width="10.7109375" style="158" customWidth="1"/>
    <col min="526" max="769" width="9.140625" style="158"/>
    <col min="770" max="770" width="15.7109375" style="158" customWidth="1"/>
    <col min="771" max="772" width="10.7109375" style="158" customWidth="1"/>
    <col min="773" max="773" width="2.7109375" style="158" customWidth="1"/>
    <col min="774" max="775" width="10.7109375" style="158" customWidth="1"/>
    <col min="776" max="777" width="9.140625" style="158"/>
    <col min="778" max="781" width="10.7109375" style="158" customWidth="1"/>
    <col min="782" max="1025" width="9.140625" style="158"/>
    <col min="1026" max="1026" width="15.7109375" style="158" customWidth="1"/>
    <col min="1027" max="1028" width="10.7109375" style="158" customWidth="1"/>
    <col min="1029" max="1029" width="2.7109375" style="158" customWidth="1"/>
    <col min="1030" max="1031" width="10.7109375" style="158" customWidth="1"/>
    <col min="1032" max="1033" width="9.140625" style="158"/>
    <col min="1034" max="1037" width="10.7109375" style="158" customWidth="1"/>
    <col min="1038" max="1281" width="9.140625" style="158"/>
    <col min="1282" max="1282" width="15.7109375" style="158" customWidth="1"/>
    <col min="1283" max="1284" width="10.7109375" style="158" customWidth="1"/>
    <col min="1285" max="1285" width="2.7109375" style="158" customWidth="1"/>
    <col min="1286" max="1287" width="10.7109375" style="158" customWidth="1"/>
    <col min="1288" max="1289" width="9.140625" style="158"/>
    <col min="1290" max="1293" width="10.7109375" style="158" customWidth="1"/>
    <col min="1294" max="1537" width="9.140625" style="158"/>
    <col min="1538" max="1538" width="15.7109375" style="158" customWidth="1"/>
    <col min="1539" max="1540" width="10.7109375" style="158" customWidth="1"/>
    <col min="1541" max="1541" width="2.7109375" style="158" customWidth="1"/>
    <col min="1542" max="1543" width="10.7109375" style="158" customWidth="1"/>
    <col min="1544" max="1545" width="9.140625" style="158"/>
    <col min="1546" max="1549" width="10.7109375" style="158" customWidth="1"/>
    <col min="1550" max="1793" width="9.140625" style="158"/>
    <col min="1794" max="1794" width="15.7109375" style="158" customWidth="1"/>
    <col min="1795" max="1796" width="10.7109375" style="158" customWidth="1"/>
    <col min="1797" max="1797" width="2.7109375" style="158" customWidth="1"/>
    <col min="1798" max="1799" width="10.7109375" style="158" customWidth="1"/>
    <col min="1800" max="1801" width="9.140625" style="158"/>
    <col min="1802" max="1805" width="10.7109375" style="158" customWidth="1"/>
    <col min="1806" max="2049" width="9.140625" style="158"/>
    <col min="2050" max="2050" width="15.7109375" style="158" customWidth="1"/>
    <col min="2051" max="2052" width="10.7109375" style="158" customWidth="1"/>
    <col min="2053" max="2053" width="2.7109375" style="158" customWidth="1"/>
    <col min="2054" max="2055" width="10.7109375" style="158" customWidth="1"/>
    <col min="2056" max="2057" width="9.140625" style="158"/>
    <col min="2058" max="2061" width="10.7109375" style="158" customWidth="1"/>
    <col min="2062" max="2305" width="9.140625" style="158"/>
    <col min="2306" max="2306" width="15.7109375" style="158" customWidth="1"/>
    <col min="2307" max="2308" width="10.7109375" style="158" customWidth="1"/>
    <col min="2309" max="2309" width="2.7109375" style="158" customWidth="1"/>
    <col min="2310" max="2311" width="10.7109375" style="158" customWidth="1"/>
    <col min="2312" max="2313" width="9.140625" style="158"/>
    <col min="2314" max="2317" width="10.7109375" style="158" customWidth="1"/>
    <col min="2318" max="2561" width="9.140625" style="158"/>
    <col min="2562" max="2562" width="15.7109375" style="158" customWidth="1"/>
    <col min="2563" max="2564" width="10.7109375" style="158" customWidth="1"/>
    <col min="2565" max="2565" width="2.7109375" style="158" customWidth="1"/>
    <col min="2566" max="2567" width="10.7109375" style="158" customWidth="1"/>
    <col min="2568" max="2569" width="9.140625" style="158"/>
    <col min="2570" max="2573" width="10.7109375" style="158" customWidth="1"/>
    <col min="2574" max="2817" width="9.140625" style="158"/>
    <col min="2818" max="2818" width="15.7109375" style="158" customWidth="1"/>
    <col min="2819" max="2820" width="10.7109375" style="158" customWidth="1"/>
    <col min="2821" max="2821" width="2.7109375" style="158" customWidth="1"/>
    <col min="2822" max="2823" width="10.7109375" style="158" customWidth="1"/>
    <col min="2824" max="2825" width="9.140625" style="158"/>
    <col min="2826" max="2829" width="10.7109375" style="158" customWidth="1"/>
    <col min="2830" max="3073" width="9.140625" style="158"/>
    <col min="3074" max="3074" width="15.7109375" style="158" customWidth="1"/>
    <col min="3075" max="3076" width="10.7109375" style="158" customWidth="1"/>
    <col min="3077" max="3077" width="2.7109375" style="158" customWidth="1"/>
    <col min="3078" max="3079" width="10.7109375" style="158" customWidth="1"/>
    <col min="3080" max="3081" width="9.140625" style="158"/>
    <col min="3082" max="3085" width="10.7109375" style="158" customWidth="1"/>
    <col min="3086" max="3329" width="9.140625" style="158"/>
    <col min="3330" max="3330" width="15.7109375" style="158" customWidth="1"/>
    <col min="3331" max="3332" width="10.7109375" style="158" customWidth="1"/>
    <col min="3333" max="3333" width="2.7109375" style="158" customWidth="1"/>
    <col min="3334" max="3335" width="10.7109375" style="158" customWidth="1"/>
    <col min="3336" max="3337" width="9.140625" style="158"/>
    <col min="3338" max="3341" width="10.7109375" style="158" customWidth="1"/>
    <col min="3342" max="3585" width="9.140625" style="158"/>
    <col min="3586" max="3586" width="15.7109375" style="158" customWidth="1"/>
    <col min="3587" max="3588" width="10.7109375" style="158" customWidth="1"/>
    <col min="3589" max="3589" width="2.7109375" style="158" customWidth="1"/>
    <col min="3590" max="3591" width="10.7109375" style="158" customWidth="1"/>
    <col min="3592" max="3593" width="9.140625" style="158"/>
    <col min="3594" max="3597" width="10.7109375" style="158" customWidth="1"/>
    <col min="3598" max="3841" width="9.140625" style="158"/>
    <col min="3842" max="3842" width="15.7109375" style="158" customWidth="1"/>
    <col min="3843" max="3844" width="10.7109375" style="158" customWidth="1"/>
    <col min="3845" max="3845" width="2.7109375" style="158" customWidth="1"/>
    <col min="3846" max="3847" width="10.7109375" style="158" customWidth="1"/>
    <col min="3848" max="3849" width="9.140625" style="158"/>
    <col min="3850" max="3853" width="10.7109375" style="158" customWidth="1"/>
    <col min="3854" max="4097" width="9.140625" style="158"/>
    <col min="4098" max="4098" width="15.7109375" style="158" customWidth="1"/>
    <col min="4099" max="4100" width="10.7109375" style="158" customWidth="1"/>
    <col min="4101" max="4101" width="2.7109375" style="158" customWidth="1"/>
    <col min="4102" max="4103" width="10.7109375" style="158" customWidth="1"/>
    <col min="4104" max="4105" width="9.140625" style="158"/>
    <col min="4106" max="4109" width="10.7109375" style="158" customWidth="1"/>
    <col min="4110" max="4353" width="9.140625" style="158"/>
    <col min="4354" max="4354" width="15.7109375" style="158" customWidth="1"/>
    <col min="4355" max="4356" width="10.7109375" style="158" customWidth="1"/>
    <col min="4357" max="4357" width="2.7109375" style="158" customWidth="1"/>
    <col min="4358" max="4359" width="10.7109375" style="158" customWidth="1"/>
    <col min="4360" max="4361" width="9.140625" style="158"/>
    <col min="4362" max="4365" width="10.7109375" style="158" customWidth="1"/>
    <col min="4366" max="4609" width="9.140625" style="158"/>
    <col min="4610" max="4610" width="15.7109375" style="158" customWidth="1"/>
    <col min="4611" max="4612" width="10.7109375" style="158" customWidth="1"/>
    <col min="4613" max="4613" width="2.7109375" style="158" customWidth="1"/>
    <col min="4614" max="4615" width="10.7109375" style="158" customWidth="1"/>
    <col min="4616" max="4617" width="9.140625" style="158"/>
    <col min="4618" max="4621" width="10.7109375" style="158" customWidth="1"/>
    <col min="4622" max="4865" width="9.140625" style="158"/>
    <col min="4866" max="4866" width="15.7109375" style="158" customWidth="1"/>
    <col min="4867" max="4868" width="10.7109375" style="158" customWidth="1"/>
    <col min="4869" max="4869" width="2.7109375" style="158" customWidth="1"/>
    <col min="4870" max="4871" width="10.7109375" style="158" customWidth="1"/>
    <col min="4872" max="4873" width="9.140625" style="158"/>
    <col min="4874" max="4877" width="10.7109375" style="158" customWidth="1"/>
    <col min="4878" max="5121" width="9.140625" style="158"/>
    <col min="5122" max="5122" width="15.7109375" style="158" customWidth="1"/>
    <col min="5123" max="5124" width="10.7109375" style="158" customWidth="1"/>
    <col min="5125" max="5125" width="2.7109375" style="158" customWidth="1"/>
    <col min="5126" max="5127" width="10.7109375" style="158" customWidth="1"/>
    <col min="5128" max="5129" width="9.140625" style="158"/>
    <col min="5130" max="5133" width="10.7109375" style="158" customWidth="1"/>
    <col min="5134" max="5377" width="9.140625" style="158"/>
    <col min="5378" max="5378" width="15.7109375" style="158" customWidth="1"/>
    <col min="5379" max="5380" width="10.7109375" style="158" customWidth="1"/>
    <col min="5381" max="5381" width="2.7109375" style="158" customWidth="1"/>
    <col min="5382" max="5383" width="10.7109375" style="158" customWidth="1"/>
    <col min="5384" max="5385" width="9.140625" style="158"/>
    <col min="5386" max="5389" width="10.7109375" style="158" customWidth="1"/>
    <col min="5390" max="5633" width="9.140625" style="158"/>
    <col min="5634" max="5634" width="15.7109375" style="158" customWidth="1"/>
    <col min="5635" max="5636" width="10.7109375" style="158" customWidth="1"/>
    <col min="5637" max="5637" width="2.7109375" style="158" customWidth="1"/>
    <col min="5638" max="5639" width="10.7109375" style="158" customWidth="1"/>
    <col min="5640" max="5641" width="9.140625" style="158"/>
    <col min="5642" max="5645" width="10.7109375" style="158" customWidth="1"/>
    <col min="5646" max="5889" width="9.140625" style="158"/>
    <col min="5890" max="5890" width="15.7109375" style="158" customWidth="1"/>
    <col min="5891" max="5892" width="10.7109375" style="158" customWidth="1"/>
    <col min="5893" max="5893" width="2.7109375" style="158" customWidth="1"/>
    <col min="5894" max="5895" width="10.7109375" style="158" customWidth="1"/>
    <col min="5896" max="5897" width="9.140625" style="158"/>
    <col min="5898" max="5901" width="10.7109375" style="158" customWidth="1"/>
    <col min="5902" max="6145" width="9.140625" style="158"/>
    <col min="6146" max="6146" width="15.7109375" style="158" customWidth="1"/>
    <col min="6147" max="6148" width="10.7109375" style="158" customWidth="1"/>
    <col min="6149" max="6149" width="2.7109375" style="158" customWidth="1"/>
    <col min="6150" max="6151" width="10.7109375" style="158" customWidth="1"/>
    <col min="6152" max="6153" width="9.140625" style="158"/>
    <col min="6154" max="6157" width="10.7109375" style="158" customWidth="1"/>
    <col min="6158" max="6401" width="9.140625" style="158"/>
    <col min="6402" max="6402" width="15.7109375" style="158" customWidth="1"/>
    <col min="6403" max="6404" width="10.7109375" style="158" customWidth="1"/>
    <col min="6405" max="6405" width="2.7109375" style="158" customWidth="1"/>
    <col min="6406" max="6407" width="10.7109375" style="158" customWidth="1"/>
    <col min="6408" max="6409" width="9.140625" style="158"/>
    <col min="6410" max="6413" width="10.7109375" style="158" customWidth="1"/>
    <col min="6414" max="6657" width="9.140625" style="158"/>
    <col min="6658" max="6658" width="15.7109375" style="158" customWidth="1"/>
    <col min="6659" max="6660" width="10.7109375" style="158" customWidth="1"/>
    <col min="6661" max="6661" width="2.7109375" style="158" customWidth="1"/>
    <col min="6662" max="6663" width="10.7109375" style="158" customWidth="1"/>
    <col min="6664" max="6665" width="9.140625" style="158"/>
    <col min="6666" max="6669" width="10.7109375" style="158" customWidth="1"/>
    <col min="6670" max="6913" width="9.140625" style="158"/>
    <col min="6914" max="6914" width="15.7109375" style="158" customWidth="1"/>
    <col min="6915" max="6916" width="10.7109375" style="158" customWidth="1"/>
    <col min="6917" max="6917" width="2.7109375" style="158" customWidth="1"/>
    <col min="6918" max="6919" width="10.7109375" style="158" customWidth="1"/>
    <col min="6920" max="6921" width="9.140625" style="158"/>
    <col min="6922" max="6925" width="10.7109375" style="158" customWidth="1"/>
    <col min="6926" max="7169" width="9.140625" style="158"/>
    <col min="7170" max="7170" width="15.7109375" style="158" customWidth="1"/>
    <col min="7171" max="7172" width="10.7109375" style="158" customWidth="1"/>
    <col min="7173" max="7173" width="2.7109375" style="158" customWidth="1"/>
    <col min="7174" max="7175" width="10.7109375" style="158" customWidth="1"/>
    <col min="7176" max="7177" width="9.140625" style="158"/>
    <col min="7178" max="7181" width="10.7109375" style="158" customWidth="1"/>
    <col min="7182" max="7425" width="9.140625" style="158"/>
    <col min="7426" max="7426" width="15.7109375" style="158" customWidth="1"/>
    <col min="7427" max="7428" width="10.7109375" style="158" customWidth="1"/>
    <col min="7429" max="7429" width="2.7109375" style="158" customWidth="1"/>
    <col min="7430" max="7431" width="10.7109375" style="158" customWidth="1"/>
    <col min="7432" max="7433" width="9.140625" style="158"/>
    <col min="7434" max="7437" width="10.7109375" style="158" customWidth="1"/>
    <col min="7438" max="7681" width="9.140625" style="158"/>
    <col min="7682" max="7682" width="15.7109375" style="158" customWidth="1"/>
    <col min="7683" max="7684" width="10.7109375" style="158" customWidth="1"/>
    <col min="7685" max="7685" width="2.7109375" style="158" customWidth="1"/>
    <col min="7686" max="7687" width="10.7109375" style="158" customWidth="1"/>
    <col min="7688" max="7689" width="9.140625" style="158"/>
    <col min="7690" max="7693" width="10.7109375" style="158" customWidth="1"/>
    <col min="7694" max="7937" width="9.140625" style="158"/>
    <col min="7938" max="7938" width="15.7109375" style="158" customWidth="1"/>
    <col min="7939" max="7940" width="10.7109375" style="158" customWidth="1"/>
    <col min="7941" max="7941" width="2.7109375" style="158" customWidth="1"/>
    <col min="7942" max="7943" width="10.7109375" style="158" customWidth="1"/>
    <col min="7944" max="7945" width="9.140625" style="158"/>
    <col min="7946" max="7949" width="10.7109375" style="158" customWidth="1"/>
    <col min="7950" max="8193" width="9.140625" style="158"/>
    <col min="8194" max="8194" width="15.7109375" style="158" customWidth="1"/>
    <col min="8195" max="8196" width="10.7109375" style="158" customWidth="1"/>
    <col min="8197" max="8197" width="2.7109375" style="158" customWidth="1"/>
    <col min="8198" max="8199" width="10.7109375" style="158" customWidth="1"/>
    <col min="8200" max="8201" width="9.140625" style="158"/>
    <col min="8202" max="8205" width="10.7109375" style="158" customWidth="1"/>
    <col min="8206" max="8449" width="9.140625" style="158"/>
    <col min="8450" max="8450" width="15.7109375" style="158" customWidth="1"/>
    <col min="8451" max="8452" width="10.7109375" style="158" customWidth="1"/>
    <col min="8453" max="8453" width="2.7109375" style="158" customWidth="1"/>
    <col min="8454" max="8455" width="10.7109375" style="158" customWidth="1"/>
    <col min="8456" max="8457" width="9.140625" style="158"/>
    <col min="8458" max="8461" width="10.7109375" style="158" customWidth="1"/>
    <col min="8462" max="8705" width="9.140625" style="158"/>
    <col min="8706" max="8706" width="15.7109375" style="158" customWidth="1"/>
    <col min="8707" max="8708" width="10.7109375" style="158" customWidth="1"/>
    <col min="8709" max="8709" width="2.7109375" style="158" customWidth="1"/>
    <col min="8710" max="8711" width="10.7109375" style="158" customWidth="1"/>
    <col min="8712" max="8713" width="9.140625" style="158"/>
    <col min="8714" max="8717" width="10.7109375" style="158" customWidth="1"/>
    <col min="8718" max="8961" width="9.140625" style="158"/>
    <col min="8962" max="8962" width="15.7109375" style="158" customWidth="1"/>
    <col min="8963" max="8964" width="10.7109375" style="158" customWidth="1"/>
    <col min="8965" max="8965" width="2.7109375" style="158" customWidth="1"/>
    <col min="8966" max="8967" width="10.7109375" style="158" customWidth="1"/>
    <col min="8968" max="8969" width="9.140625" style="158"/>
    <col min="8970" max="8973" width="10.7109375" style="158" customWidth="1"/>
    <col min="8974" max="9217" width="9.140625" style="158"/>
    <col min="9218" max="9218" width="15.7109375" style="158" customWidth="1"/>
    <col min="9219" max="9220" width="10.7109375" style="158" customWidth="1"/>
    <col min="9221" max="9221" width="2.7109375" style="158" customWidth="1"/>
    <col min="9222" max="9223" width="10.7109375" style="158" customWidth="1"/>
    <col min="9224" max="9225" width="9.140625" style="158"/>
    <col min="9226" max="9229" width="10.7109375" style="158" customWidth="1"/>
    <col min="9230" max="9473" width="9.140625" style="158"/>
    <col min="9474" max="9474" width="15.7109375" style="158" customWidth="1"/>
    <col min="9475" max="9476" width="10.7109375" style="158" customWidth="1"/>
    <col min="9477" max="9477" width="2.7109375" style="158" customWidth="1"/>
    <col min="9478" max="9479" width="10.7109375" style="158" customWidth="1"/>
    <col min="9480" max="9481" width="9.140625" style="158"/>
    <col min="9482" max="9485" width="10.7109375" style="158" customWidth="1"/>
    <col min="9486" max="9729" width="9.140625" style="158"/>
    <col min="9730" max="9730" width="15.7109375" style="158" customWidth="1"/>
    <col min="9731" max="9732" width="10.7109375" style="158" customWidth="1"/>
    <col min="9733" max="9733" width="2.7109375" style="158" customWidth="1"/>
    <col min="9734" max="9735" width="10.7109375" style="158" customWidth="1"/>
    <col min="9736" max="9737" width="9.140625" style="158"/>
    <col min="9738" max="9741" width="10.7109375" style="158" customWidth="1"/>
    <col min="9742" max="9985" width="9.140625" style="158"/>
    <col min="9986" max="9986" width="15.7109375" style="158" customWidth="1"/>
    <col min="9987" max="9988" width="10.7109375" style="158" customWidth="1"/>
    <col min="9989" max="9989" width="2.7109375" style="158" customWidth="1"/>
    <col min="9990" max="9991" width="10.7109375" style="158" customWidth="1"/>
    <col min="9992" max="9993" width="9.140625" style="158"/>
    <col min="9994" max="9997" width="10.7109375" style="158" customWidth="1"/>
    <col min="9998" max="10241" width="9.140625" style="158"/>
    <col min="10242" max="10242" width="15.7109375" style="158" customWidth="1"/>
    <col min="10243" max="10244" width="10.7109375" style="158" customWidth="1"/>
    <col min="10245" max="10245" width="2.7109375" style="158" customWidth="1"/>
    <col min="10246" max="10247" width="10.7109375" style="158" customWidth="1"/>
    <col min="10248" max="10249" width="9.140625" style="158"/>
    <col min="10250" max="10253" width="10.7109375" style="158" customWidth="1"/>
    <col min="10254" max="10497" width="9.140625" style="158"/>
    <col min="10498" max="10498" width="15.7109375" style="158" customWidth="1"/>
    <col min="10499" max="10500" width="10.7109375" style="158" customWidth="1"/>
    <col min="10501" max="10501" width="2.7109375" style="158" customWidth="1"/>
    <col min="10502" max="10503" width="10.7109375" style="158" customWidth="1"/>
    <col min="10504" max="10505" width="9.140625" style="158"/>
    <col min="10506" max="10509" width="10.7109375" style="158" customWidth="1"/>
    <col min="10510" max="10753" width="9.140625" style="158"/>
    <col min="10754" max="10754" width="15.7109375" style="158" customWidth="1"/>
    <col min="10755" max="10756" width="10.7109375" style="158" customWidth="1"/>
    <col min="10757" max="10757" width="2.7109375" style="158" customWidth="1"/>
    <col min="10758" max="10759" width="10.7109375" style="158" customWidth="1"/>
    <col min="10760" max="10761" width="9.140625" style="158"/>
    <col min="10762" max="10765" width="10.7109375" style="158" customWidth="1"/>
    <col min="10766" max="11009" width="9.140625" style="158"/>
    <col min="11010" max="11010" width="15.7109375" style="158" customWidth="1"/>
    <col min="11011" max="11012" width="10.7109375" style="158" customWidth="1"/>
    <col min="11013" max="11013" width="2.7109375" style="158" customWidth="1"/>
    <col min="11014" max="11015" width="10.7109375" style="158" customWidth="1"/>
    <col min="11016" max="11017" width="9.140625" style="158"/>
    <col min="11018" max="11021" width="10.7109375" style="158" customWidth="1"/>
    <col min="11022" max="11265" width="9.140625" style="158"/>
    <col min="11266" max="11266" width="15.7109375" style="158" customWidth="1"/>
    <col min="11267" max="11268" width="10.7109375" style="158" customWidth="1"/>
    <col min="11269" max="11269" width="2.7109375" style="158" customWidth="1"/>
    <col min="11270" max="11271" width="10.7109375" style="158" customWidth="1"/>
    <col min="11272" max="11273" width="9.140625" style="158"/>
    <col min="11274" max="11277" width="10.7109375" style="158" customWidth="1"/>
    <col min="11278" max="11521" width="9.140625" style="158"/>
    <col min="11522" max="11522" width="15.7109375" style="158" customWidth="1"/>
    <col min="11523" max="11524" width="10.7109375" style="158" customWidth="1"/>
    <col min="11525" max="11525" width="2.7109375" style="158" customWidth="1"/>
    <col min="11526" max="11527" width="10.7109375" style="158" customWidth="1"/>
    <col min="11528" max="11529" width="9.140625" style="158"/>
    <col min="11530" max="11533" width="10.7109375" style="158" customWidth="1"/>
    <col min="11534" max="11777" width="9.140625" style="158"/>
    <col min="11778" max="11778" width="15.7109375" style="158" customWidth="1"/>
    <col min="11779" max="11780" width="10.7109375" style="158" customWidth="1"/>
    <col min="11781" max="11781" width="2.7109375" style="158" customWidth="1"/>
    <col min="11782" max="11783" width="10.7109375" style="158" customWidth="1"/>
    <col min="11784" max="11785" width="9.140625" style="158"/>
    <col min="11786" max="11789" width="10.7109375" style="158" customWidth="1"/>
    <col min="11790" max="12033" width="9.140625" style="158"/>
    <col min="12034" max="12034" width="15.7109375" style="158" customWidth="1"/>
    <col min="12035" max="12036" width="10.7109375" style="158" customWidth="1"/>
    <col min="12037" max="12037" width="2.7109375" style="158" customWidth="1"/>
    <col min="12038" max="12039" width="10.7109375" style="158" customWidth="1"/>
    <col min="12040" max="12041" width="9.140625" style="158"/>
    <col min="12042" max="12045" width="10.7109375" style="158" customWidth="1"/>
    <col min="12046" max="12289" width="9.140625" style="158"/>
    <col min="12290" max="12290" width="15.7109375" style="158" customWidth="1"/>
    <col min="12291" max="12292" width="10.7109375" style="158" customWidth="1"/>
    <col min="12293" max="12293" width="2.7109375" style="158" customWidth="1"/>
    <col min="12294" max="12295" width="10.7109375" style="158" customWidth="1"/>
    <col min="12296" max="12297" width="9.140625" style="158"/>
    <col min="12298" max="12301" width="10.7109375" style="158" customWidth="1"/>
    <col min="12302" max="12545" width="9.140625" style="158"/>
    <col min="12546" max="12546" width="15.7109375" style="158" customWidth="1"/>
    <col min="12547" max="12548" width="10.7109375" style="158" customWidth="1"/>
    <col min="12549" max="12549" width="2.7109375" style="158" customWidth="1"/>
    <col min="12550" max="12551" width="10.7109375" style="158" customWidth="1"/>
    <col min="12552" max="12553" width="9.140625" style="158"/>
    <col min="12554" max="12557" width="10.7109375" style="158" customWidth="1"/>
    <col min="12558" max="12801" width="9.140625" style="158"/>
    <col min="12802" max="12802" width="15.7109375" style="158" customWidth="1"/>
    <col min="12803" max="12804" width="10.7109375" style="158" customWidth="1"/>
    <col min="12805" max="12805" width="2.7109375" style="158" customWidth="1"/>
    <col min="12806" max="12807" width="10.7109375" style="158" customWidth="1"/>
    <col min="12808" max="12809" width="9.140625" style="158"/>
    <col min="12810" max="12813" width="10.7109375" style="158" customWidth="1"/>
    <col min="12814" max="13057" width="9.140625" style="158"/>
    <col min="13058" max="13058" width="15.7109375" style="158" customWidth="1"/>
    <col min="13059" max="13060" width="10.7109375" style="158" customWidth="1"/>
    <col min="13061" max="13061" width="2.7109375" style="158" customWidth="1"/>
    <col min="13062" max="13063" width="10.7109375" style="158" customWidth="1"/>
    <col min="13064" max="13065" width="9.140625" style="158"/>
    <col min="13066" max="13069" width="10.7109375" style="158" customWidth="1"/>
    <col min="13070" max="13313" width="9.140625" style="158"/>
    <col min="13314" max="13314" width="15.7109375" style="158" customWidth="1"/>
    <col min="13315" max="13316" width="10.7109375" style="158" customWidth="1"/>
    <col min="13317" max="13317" width="2.7109375" style="158" customWidth="1"/>
    <col min="13318" max="13319" width="10.7109375" style="158" customWidth="1"/>
    <col min="13320" max="13321" width="9.140625" style="158"/>
    <col min="13322" max="13325" width="10.7109375" style="158" customWidth="1"/>
    <col min="13326" max="13569" width="9.140625" style="158"/>
    <col min="13570" max="13570" width="15.7109375" style="158" customWidth="1"/>
    <col min="13571" max="13572" width="10.7109375" style="158" customWidth="1"/>
    <col min="13573" max="13573" width="2.7109375" style="158" customWidth="1"/>
    <col min="13574" max="13575" width="10.7109375" style="158" customWidth="1"/>
    <col min="13576" max="13577" width="9.140625" style="158"/>
    <col min="13578" max="13581" width="10.7109375" style="158" customWidth="1"/>
    <col min="13582" max="13825" width="9.140625" style="158"/>
    <col min="13826" max="13826" width="15.7109375" style="158" customWidth="1"/>
    <col min="13827" max="13828" width="10.7109375" style="158" customWidth="1"/>
    <col min="13829" max="13829" width="2.7109375" style="158" customWidth="1"/>
    <col min="13830" max="13831" width="10.7109375" style="158" customWidth="1"/>
    <col min="13832" max="13833" width="9.140625" style="158"/>
    <col min="13834" max="13837" width="10.7109375" style="158" customWidth="1"/>
    <col min="13838" max="14081" width="9.140625" style="158"/>
    <col min="14082" max="14082" width="15.7109375" style="158" customWidth="1"/>
    <col min="14083" max="14084" width="10.7109375" style="158" customWidth="1"/>
    <col min="14085" max="14085" width="2.7109375" style="158" customWidth="1"/>
    <col min="14086" max="14087" width="10.7109375" style="158" customWidth="1"/>
    <col min="14088" max="14089" width="9.140625" style="158"/>
    <col min="14090" max="14093" width="10.7109375" style="158" customWidth="1"/>
    <col min="14094" max="14337" width="9.140625" style="158"/>
    <col min="14338" max="14338" width="15.7109375" style="158" customWidth="1"/>
    <col min="14339" max="14340" width="10.7109375" style="158" customWidth="1"/>
    <col min="14341" max="14341" width="2.7109375" style="158" customWidth="1"/>
    <col min="14342" max="14343" width="10.7109375" style="158" customWidth="1"/>
    <col min="14344" max="14345" width="9.140625" style="158"/>
    <col min="14346" max="14349" width="10.7109375" style="158" customWidth="1"/>
    <col min="14350" max="14593" width="9.140625" style="158"/>
    <col min="14594" max="14594" width="15.7109375" style="158" customWidth="1"/>
    <col min="14595" max="14596" width="10.7109375" style="158" customWidth="1"/>
    <col min="14597" max="14597" width="2.7109375" style="158" customWidth="1"/>
    <col min="14598" max="14599" width="10.7109375" style="158" customWidth="1"/>
    <col min="14600" max="14601" width="9.140625" style="158"/>
    <col min="14602" max="14605" width="10.7109375" style="158" customWidth="1"/>
    <col min="14606" max="14849" width="9.140625" style="158"/>
    <col min="14850" max="14850" width="15.7109375" style="158" customWidth="1"/>
    <col min="14851" max="14852" width="10.7109375" style="158" customWidth="1"/>
    <col min="14853" max="14853" width="2.7109375" style="158" customWidth="1"/>
    <col min="14854" max="14855" width="10.7109375" style="158" customWidth="1"/>
    <col min="14856" max="14857" width="9.140625" style="158"/>
    <col min="14858" max="14861" width="10.7109375" style="158" customWidth="1"/>
    <col min="14862" max="15105" width="9.140625" style="158"/>
    <col min="15106" max="15106" width="15.7109375" style="158" customWidth="1"/>
    <col min="15107" max="15108" width="10.7109375" style="158" customWidth="1"/>
    <col min="15109" max="15109" width="2.7109375" style="158" customWidth="1"/>
    <col min="15110" max="15111" width="10.7109375" style="158" customWidth="1"/>
    <col min="15112" max="15113" width="9.140625" style="158"/>
    <col min="15114" max="15117" width="10.7109375" style="158" customWidth="1"/>
    <col min="15118" max="15361" width="9.140625" style="158"/>
    <col min="15362" max="15362" width="15.7109375" style="158" customWidth="1"/>
    <col min="15363" max="15364" width="10.7109375" style="158" customWidth="1"/>
    <col min="15365" max="15365" width="2.7109375" style="158" customWidth="1"/>
    <col min="15366" max="15367" width="10.7109375" style="158" customWidth="1"/>
    <col min="15368" max="15369" width="9.140625" style="158"/>
    <col min="15370" max="15373" width="10.7109375" style="158" customWidth="1"/>
    <col min="15374" max="15617" width="9.140625" style="158"/>
    <col min="15618" max="15618" width="15.7109375" style="158" customWidth="1"/>
    <col min="15619" max="15620" width="10.7109375" style="158" customWidth="1"/>
    <col min="15621" max="15621" width="2.7109375" style="158" customWidth="1"/>
    <col min="15622" max="15623" width="10.7109375" style="158" customWidth="1"/>
    <col min="15624" max="15625" width="9.140625" style="158"/>
    <col min="15626" max="15629" width="10.7109375" style="158" customWidth="1"/>
    <col min="15630" max="15873" width="9.140625" style="158"/>
    <col min="15874" max="15874" width="15.7109375" style="158" customWidth="1"/>
    <col min="15875" max="15876" width="10.7109375" style="158" customWidth="1"/>
    <col min="15877" max="15877" width="2.7109375" style="158" customWidth="1"/>
    <col min="15878" max="15879" width="10.7109375" style="158" customWidth="1"/>
    <col min="15880" max="15881" width="9.140625" style="158"/>
    <col min="15882" max="15885" width="10.7109375" style="158" customWidth="1"/>
    <col min="15886" max="16129" width="9.140625" style="158"/>
    <col min="16130" max="16130" width="15.7109375" style="158" customWidth="1"/>
    <col min="16131" max="16132" width="10.7109375" style="158" customWidth="1"/>
    <col min="16133" max="16133" width="2.7109375" style="158" customWidth="1"/>
    <col min="16134" max="16135" width="10.7109375" style="158" customWidth="1"/>
    <col min="16136" max="16137" width="9.140625" style="158"/>
    <col min="16138" max="16141" width="10.7109375" style="158" customWidth="1"/>
    <col min="16142" max="16384" width="9.140625" style="158"/>
  </cols>
  <sheetData>
    <row r="2" spans="2:13" ht="20.25" x14ac:dyDescent="0.3">
      <c r="B2" s="164" t="s">
        <v>496</v>
      </c>
    </row>
    <row r="3" spans="2:13" ht="13.5" thickBot="1" x14ac:dyDescent="0.25"/>
    <row r="4" spans="2:13" ht="15.75" x14ac:dyDescent="0.25">
      <c r="B4" s="292" t="s">
        <v>494</v>
      </c>
      <c r="C4" s="293" t="s">
        <v>473</v>
      </c>
      <c r="D4" s="294" t="s">
        <v>15</v>
      </c>
      <c r="E4" s="295"/>
      <c r="F4" s="293" t="s">
        <v>473</v>
      </c>
      <c r="G4" s="296" t="s">
        <v>15</v>
      </c>
      <c r="J4" s="297" t="s">
        <v>474</v>
      </c>
      <c r="K4" s="298"/>
      <c r="L4" s="299"/>
    </row>
    <row r="5" spans="2:13" ht="15.75" x14ac:dyDescent="0.25">
      <c r="B5" s="300" t="s">
        <v>495</v>
      </c>
      <c r="C5" s="301" t="s">
        <v>328</v>
      </c>
      <c r="D5" s="302" t="s">
        <v>328</v>
      </c>
      <c r="E5" s="303"/>
      <c r="F5" s="301" t="s">
        <v>3</v>
      </c>
      <c r="G5" s="304" t="s">
        <v>3</v>
      </c>
      <c r="J5" s="305" t="s">
        <v>476</v>
      </c>
      <c r="K5" s="306" t="s">
        <v>477</v>
      </c>
      <c r="L5" s="307" t="s">
        <v>478</v>
      </c>
    </row>
    <row r="6" spans="2:13" ht="15.75" x14ac:dyDescent="0.3">
      <c r="B6" s="308" t="s">
        <v>0</v>
      </c>
      <c r="C6" s="309" t="s">
        <v>479</v>
      </c>
      <c r="D6" s="310" t="s">
        <v>480</v>
      </c>
      <c r="E6" s="311"/>
      <c r="F6" s="309" t="s">
        <v>481</v>
      </c>
      <c r="G6" s="312" t="s">
        <v>482</v>
      </c>
      <c r="J6" s="313" t="s">
        <v>483</v>
      </c>
      <c r="K6" s="314" t="s">
        <v>484</v>
      </c>
      <c r="L6" s="315" t="s">
        <v>0</v>
      </c>
    </row>
    <row r="7" spans="2:13" x14ac:dyDescent="0.2">
      <c r="B7" s="316"/>
      <c r="C7" s="317"/>
      <c r="D7" s="317"/>
      <c r="E7" s="317"/>
      <c r="F7" s="318"/>
      <c r="G7" s="319"/>
      <c r="J7" s="320"/>
      <c r="K7" s="321"/>
      <c r="L7" s="322"/>
    </row>
    <row r="8" spans="2:13" x14ac:dyDescent="0.2">
      <c r="B8" s="316"/>
      <c r="C8" s="317"/>
      <c r="D8" s="317"/>
      <c r="E8" s="317"/>
      <c r="F8" s="318"/>
      <c r="G8" s="319"/>
      <c r="J8" s="320"/>
      <c r="K8" s="321"/>
      <c r="L8" s="322"/>
    </row>
    <row r="9" spans="2:13" x14ac:dyDescent="0.2">
      <c r="B9" s="316" t="s">
        <v>485</v>
      </c>
      <c r="C9" s="323">
        <v>0.4</v>
      </c>
      <c r="D9" s="323">
        <v>0.4</v>
      </c>
      <c r="E9" s="317"/>
      <c r="F9" s="324">
        <v>20</v>
      </c>
      <c r="G9" s="325">
        <v>10</v>
      </c>
      <c r="J9" s="326">
        <f>+(C9-D9)*(G9-G$16)/100</f>
        <v>0</v>
      </c>
      <c r="K9" s="327">
        <f>+D9*(F9-G9)/100</f>
        <v>0.04</v>
      </c>
      <c r="L9" s="328">
        <f>+(C9-D9)*(F9-G9)/100</f>
        <v>0</v>
      </c>
    </row>
    <row r="10" spans="2:13" x14ac:dyDescent="0.2">
      <c r="B10" s="316"/>
      <c r="C10" s="323"/>
      <c r="D10" s="323"/>
      <c r="E10" s="317"/>
      <c r="F10" s="324"/>
      <c r="G10" s="325"/>
      <c r="J10" s="320"/>
      <c r="K10" s="321"/>
      <c r="L10" s="322"/>
    </row>
    <row r="11" spans="2:13" x14ac:dyDescent="0.2">
      <c r="B11" s="316" t="s">
        <v>486</v>
      </c>
      <c r="C11" s="323">
        <v>0.3</v>
      </c>
      <c r="D11" s="323">
        <v>0.2</v>
      </c>
      <c r="E11" s="317"/>
      <c r="F11" s="324">
        <v>-5</v>
      </c>
      <c r="G11" s="325">
        <v>-4</v>
      </c>
      <c r="J11" s="326">
        <f>+(C11-D11)*(G11-G$16)/100</f>
        <v>-1.0399999999999998E-2</v>
      </c>
      <c r="K11" s="327">
        <f>+D11*(F11-G11)/100</f>
        <v>-2E-3</v>
      </c>
      <c r="L11" s="328">
        <f>+(C11-D11)*(F11-G11)/100</f>
        <v>-9.999999999999998E-4</v>
      </c>
    </row>
    <row r="12" spans="2:13" x14ac:dyDescent="0.2">
      <c r="B12" s="316"/>
      <c r="C12" s="323"/>
      <c r="D12" s="323"/>
      <c r="E12" s="317"/>
      <c r="F12" s="324"/>
      <c r="G12" s="325"/>
      <c r="J12" s="320"/>
      <c r="K12" s="321"/>
      <c r="L12" s="322"/>
    </row>
    <row r="13" spans="2:13" x14ac:dyDescent="0.2">
      <c r="B13" s="316" t="s">
        <v>487</v>
      </c>
      <c r="C13" s="323">
        <v>0.3</v>
      </c>
      <c r="D13" s="323">
        <v>0.4</v>
      </c>
      <c r="E13" s="317"/>
      <c r="F13" s="324">
        <v>6</v>
      </c>
      <c r="G13" s="325">
        <v>8</v>
      </c>
      <c r="J13" s="326">
        <f>+(C13-D13)*(G13-G$16)/100</f>
        <v>-1.6000000000000003E-3</v>
      </c>
      <c r="K13" s="327">
        <f>+D13*(F13-G13)/100</f>
        <v>-8.0000000000000002E-3</v>
      </c>
      <c r="L13" s="328">
        <f>+(C13-D13)*(F13-G13)/100</f>
        <v>2.0000000000000005E-3</v>
      </c>
    </row>
    <row r="14" spans="2:13" x14ac:dyDescent="0.2">
      <c r="B14" s="316"/>
      <c r="C14" s="323"/>
      <c r="D14" s="323"/>
      <c r="E14" s="317"/>
      <c r="F14" s="318"/>
      <c r="G14" s="319"/>
      <c r="J14" s="320"/>
      <c r="K14" s="321"/>
      <c r="L14" s="322"/>
    </row>
    <row r="15" spans="2:13" x14ac:dyDescent="0.2">
      <c r="B15" s="316"/>
      <c r="C15" s="323"/>
      <c r="D15" s="323"/>
      <c r="E15" s="317"/>
      <c r="F15" s="318"/>
      <c r="G15" s="319"/>
      <c r="J15" s="320"/>
      <c r="K15" s="321"/>
      <c r="L15" s="322"/>
    </row>
    <row r="16" spans="2:13" ht="13.5" thickBot="1" x14ac:dyDescent="0.25">
      <c r="B16" s="329" t="s">
        <v>16</v>
      </c>
      <c r="C16" s="330">
        <f>SUM(C9:C13)</f>
        <v>1</v>
      </c>
      <c r="D16" s="330">
        <f>SUM(D9:D13)</f>
        <v>1</v>
      </c>
      <c r="E16" s="331"/>
      <c r="F16" s="332">
        <v>8.3000000000000007</v>
      </c>
      <c r="G16" s="333">
        <v>6.4</v>
      </c>
      <c r="H16" s="171"/>
      <c r="I16" s="171"/>
      <c r="J16" s="334">
        <f>SUM(J9:J13)</f>
        <v>-1.1999999999999999E-2</v>
      </c>
      <c r="K16" s="335">
        <f>SUM(K9:K13)</f>
        <v>0.03</v>
      </c>
      <c r="L16" s="336">
        <f>SUM(L9:L13)</f>
        <v>1.0000000000000007E-3</v>
      </c>
      <c r="M16" s="171"/>
    </row>
    <row r="19" spans="10:13" ht="13.5" thickBot="1" x14ac:dyDescent="0.25"/>
    <row r="20" spans="10:13" ht="15.75" x14ac:dyDescent="0.25">
      <c r="J20" s="337" t="s">
        <v>488</v>
      </c>
      <c r="K20" s="338"/>
      <c r="L20" s="338"/>
      <c r="M20" s="339">
        <f>+(F16-G16)/100</f>
        <v>1.9000000000000003E-2</v>
      </c>
    </row>
    <row r="21" spans="10:13" x14ac:dyDescent="0.2">
      <c r="J21" s="320"/>
      <c r="K21" s="321"/>
      <c r="L21" s="321"/>
      <c r="M21" s="322"/>
    </row>
    <row r="22" spans="10:13" x14ac:dyDescent="0.2">
      <c r="J22" s="320" t="s">
        <v>489</v>
      </c>
      <c r="K22" s="321"/>
      <c r="L22" s="321"/>
      <c r="M22" s="340">
        <f>+J16</f>
        <v>-1.1999999999999999E-2</v>
      </c>
    </row>
    <row r="23" spans="10:13" x14ac:dyDescent="0.2">
      <c r="J23" s="320" t="s">
        <v>490</v>
      </c>
      <c r="K23" s="321"/>
      <c r="L23" s="321"/>
      <c r="M23" s="340">
        <f>+K16</f>
        <v>0.03</v>
      </c>
    </row>
    <row r="24" spans="10:13" x14ac:dyDescent="0.2">
      <c r="J24" s="320" t="s">
        <v>478</v>
      </c>
      <c r="K24" s="321"/>
      <c r="L24" s="321"/>
      <c r="M24" s="340">
        <f>+L16</f>
        <v>1.0000000000000007E-3</v>
      </c>
    </row>
    <row r="25" spans="10:13" x14ac:dyDescent="0.2">
      <c r="J25" s="320" t="s">
        <v>0</v>
      </c>
      <c r="K25" s="321"/>
      <c r="L25" s="321"/>
      <c r="M25" s="340" t="s">
        <v>0</v>
      </c>
    </row>
    <row r="26" spans="10:13" ht="13.5" thickBot="1" x14ac:dyDescent="0.25">
      <c r="J26" s="341" t="s">
        <v>141</v>
      </c>
      <c r="K26" s="342"/>
      <c r="L26" s="342"/>
      <c r="M26" s="343">
        <f>+M20-M22-M23-M24</f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D5D3-6CD1-41AC-A904-DAE5D41A6413}">
  <dimension ref="B2:L25"/>
  <sheetViews>
    <sheetView workbookViewId="0">
      <selection activeCell="H32" sqref="H32"/>
    </sheetView>
  </sheetViews>
  <sheetFormatPr defaultRowHeight="12.75" x14ac:dyDescent="0.2"/>
  <cols>
    <col min="1" max="1" width="9.140625" style="158"/>
    <col min="2" max="2" width="20.7109375" style="158" customWidth="1"/>
    <col min="3" max="4" width="10.7109375" style="158" customWidth="1"/>
    <col min="5" max="5" width="2.7109375" style="158" customWidth="1"/>
    <col min="6" max="7" width="10.7109375" style="158" customWidth="1"/>
    <col min="8" max="9" width="9.140625" style="158"/>
    <col min="10" max="11" width="10.7109375" style="158" customWidth="1"/>
    <col min="12" max="257" width="9.140625" style="158"/>
    <col min="258" max="258" width="20.7109375" style="158" customWidth="1"/>
    <col min="259" max="260" width="10.7109375" style="158" customWidth="1"/>
    <col min="261" max="261" width="2.7109375" style="158" customWidth="1"/>
    <col min="262" max="263" width="10.7109375" style="158" customWidth="1"/>
    <col min="264" max="265" width="9.140625" style="158"/>
    <col min="266" max="267" width="10.7109375" style="158" customWidth="1"/>
    <col min="268" max="513" width="9.140625" style="158"/>
    <col min="514" max="514" width="20.7109375" style="158" customWidth="1"/>
    <col min="515" max="516" width="10.7109375" style="158" customWidth="1"/>
    <col min="517" max="517" width="2.7109375" style="158" customWidth="1"/>
    <col min="518" max="519" width="10.7109375" style="158" customWidth="1"/>
    <col min="520" max="521" width="9.140625" style="158"/>
    <col min="522" max="523" width="10.7109375" style="158" customWidth="1"/>
    <col min="524" max="769" width="9.140625" style="158"/>
    <col min="770" max="770" width="20.7109375" style="158" customWidth="1"/>
    <col min="771" max="772" width="10.7109375" style="158" customWidth="1"/>
    <col min="773" max="773" width="2.7109375" style="158" customWidth="1"/>
    <col min="774" max="775" width="10.7109375" style="158" customWidth="1"/>
    <col min="776" max="777" width="9.140625" style="158"/>
    <col min="778" max="779" width="10.7109375" style="158" customWidth="1"/>
    <col min="780" max="1025" width="9.140625" style="158"/>
    <col min="1026" max="1026" width="20.7109375" style="158" customWidth="1"/>
    <col min="1027" max="1028" width="10.7109375" style="158" customWidth="1"/>
    <col min="1029" max="1029" width="2.7109375" style="158" customWidth="1"/>
    <col min="1030" max="1031" width="10.7109375" style="158" customWidth="1"/>
    <col min="1032" max="1033" width="9.140625" style="158"/>
    <col min="1034" max="1035" width="10.7109375" style="158" customWidth="1"/>
    <col min="1036" max="1281" width="9.140625" style="158"/>
    <col min="1282" max="1282" width="20.7109375" style="158" customWidth="1"/>
    <col min="1283" max="1284" width="10.7109375" style="158" customWidth="1"/>
    <col min="1285" max="1285" width="2.7109375" style="158" customWidth="1"/>
    <col min="1286" max="1287" width="10.7109375" style="158" customWidth="1"/>
    <col min="1288" max="1289" width="9.140625" style="158"/>
    <col min="1290" max="1291" width="10.7109375" style="158" customWidth="1"/>
    <col min="1292" max="1537" width="9.140625" style="158"/>
    <col min="1538" max="1538" width="20.7109375" style="158" customWidth="1"/>
    <col min="1539" max="1540" width="10.7109375" style="158" customWidth="1"/>
    <col min="1541" max="1541" width="2.7109375" style="158" customWidth="1"/>
    <col min="1542" max="1543" width="10.7109375" style="158" customWidth="1"/>
    <col min="1544" max="1545" width="9.140625" style="158"/>
    <col min="1546" max="1547" width="10.7109375" style="158" customWidth="1"/>
    <col min="1548" max="1793" width="9.140625" style="158"/>
    <col min="1794" max="1794" width="20.7109375" style="158" customWidth="1"/>
    <col min="1795" max="1796" width="10.7109375" style="158" customWidth="1"/>
    <col min="1797" max="1797" width="2.7109375" style="158" customWidth="1"/>
    <col min="1798" max="1799" width="10.7109375" style="158" customWidth="1"/>
    <col min="1800" max="1801" width="9.140625" style="158"/>
    <col min="1802" max="1803" width="10.7109375" style="158" customWidth="1"/>
    <col min="1804" max="2049" width="9.140625" style="158"/>
    <col min="2050" max="2050" width="20.7109375" style="158" customWidth="1"/>
    <col min="2051" max="2052" width="10.7109375" style="158" customWidth="1"/>
    <col min="2053" max="2053" width="2.7109375" style="158" customWidth="1"/>
    <col min="2054" max="2055" width="10.7109375" style="158" customWidth="1"/>
    <col min="2056" max="2057" width="9.140625" style="158"/>
    <col min="2058" max="2059" width="10.7109375" style="158" customWidth="1"/>
    <col min="2060" max="2305" width="9.140625" style="158"/>
    <col min="2306" max="2306" width="20.7109375" style="158" customWidth="1"/>
    <col min="2307" max="2308" width="10.7109375" style="158" customWidth="1"/>
    <col min="2309" max="2309" width="2.7109375" style="158" customWidth="1"/>
    <col min="2310" max="2311" width="10.7109375" style="158" customWidth="1"/>
    <col min="2312" max="2313" width="9.140625" style="158"/>
    <col min="2314" max="2315" width="10.7109375" style="158" customWidth="1"/>
    <col min="2316" max="2561" width="9.140625" style="158"/>
    <col min="2562" max="2562" width="20.7109375" style="158" customWidth="1"/>
    <col min="2563" max="2564" width="10.7109375" style="158" customWidth="1"/>
    <col min="2565" max="2565" width="2.7109375" style="158" customWidth="1"/>
    <col min="2566" max="2567" width="10.7109375" style="158" customWidth="1"/>
    <col min="2568" max="2569" width="9.140625" style="158"/>
    <col min="2570" max="2571" width="10.7109375" style="158" customWidth="1"/>
    <col min="2572" max="2817" width="9.140625" style="158"/>
    <col min="2818" max="2818" width="20.7109375" style="158" customWidth="1"/>
    <col min="2819" max="2820" width="10.7109375" style="158" customWidth="1"/>
    <col min="2821" max="2821" width="2.7109375" style="158" customWidth="1"/>
    <col min="2822" max="2823" width="10.7109375" style="158" customWidth="1"/>
    <col min="2824" max="2825" width="9.140625" style="158"/>
    <col min="2826" max="2827" width="10.7109375" style="158" customWidth="1"/>
    <col min="2828" max="3073" width="9.140625" style="158"/>
    <col min="3074" max="3074" width="20.7109375" style="158" customWidth="1"/>
    <col min="3075" max="3076" width="10.7109375" style="158" customWidth="1"/>
    <col min="3077" max="3077" width="2.7109375" style="158" customWidth="1"/>
    <col min="3078" max="3079" width="10.7109375" style="158" customWidth="1"/>
    <col min="3080" max="3081" width="9.140625" style="158"/>
    <col min="3082" max="3083" width="10.7109375" style="158" customWidth="1"/>
    <col min="3084" max="3329" width="9.140625" style="158"/>
    <col min="3330" max="3330" width="20.7109375" style="158" customWidth="1"/>
    <col min="3331" max="3332" width="10.7109375" style="158" customWidth="1"/>
    <col min="3333" max="3333" width="2.7109375" style="158" customWidth="1"/>
    <col min="3334" max="3335" width="10.7109375" style="158" customWidth="1"/>
    <col min="3336" max="3337" width="9.140625" style="158"/>
    <col min="3338" max="3339" width="10.7109375" style="158" customWidth="1"/>
    <col min="3340" max="3585" width="9.140625" style="158"/>
    <col min="3586" max="3586" width="20.7109375" style="158" customWidth="1"/>
    <col min="3587" max="3588" width="10.7109375" style="158" customWidth="1"/>
    <col min="3589" max="3589" width="2.7109375" style="158" customWidth="1"/>
    <col min="3590" max="3591" width="10.7109375" style="158" customWidth="1"/>
    <col min="3592" max="3593" width="9.140625" style="158"/>
    <col min="3594" max="3595" width="10.7109375" style="158" customWidth="1"/>
    <col min="3596" max="3841" width="9.140625" style="158"/>
    <col min="3842" max="3842" width="20.7109375" style="158" customWidth="1"/>
    <col min="3843" max="3844" width="10.7109375" style="158" customWidth="1"/>
    <col min="3845" max="3845" width="2.7109375" style="158" customWidth="1"/>
    <col min="3846" max="3847" width="10.7109375" style="158" customWidth="1"/>
    <col min="3848" max="3849" width="9.140625" style="158"/>
    <col min="3850" max="3851" width="10.7109375" style="158" customWidth="1"/>
    <col min="3852" max="4097" width="9.140625" style="158"/>
    <col min="4098" max="4098" width="20.7109375" style="158" customWidth="1"/>
    <col min="4099" max="4100" width="10.7109375" style="158" customWidth="1"/>
    <col min="4101" max="4101" width="2.7109375" style="158" customWidth="1"/>
    <col min="4102" max="4103" width="10.7109375" style="158" customWidth="1"/>
    <col min="4104" max="4105" width="9.140625" style="158"/>
    <col min="4106" max="4107" width="10.7109375" style="158" customWidth="1"/>
    <col min="4108" max="4353" width="9.140625" style="158"/>
    <col min="4354" max="4354" width="20.7109375" style="158" customWidth="1"/>
    <col min="4355" max="4356" width="10.7109375" style="158" customWidth="1"/>
    <col min="4357" max="4357" width="2.7109375" style="158" customWidth="1"/>
    <col min="4358" max="4359" width="10.7109375" style="158" customWidth="1"/>
    <col min="4360" max="4361" width="9.140625" style="158"/>
    <col min="4362" max="4363" width="10.7109375" style="158" customWidth="1"/>
    <col min="4364" max="4609" width="9.140625" style="158"/>
    <col min="4610" max="4610" width="20.7109375" style="158" customWidth="1"/>
    <col min="4611" max="4612" width="10.7109375" style="158" customWidth="1"/>
    <col min="4613" max="4613" width="2.7109375" style="158" customWidth="1"/>
    <col min="4614" max="4615" width="10.7109375" style="158" customWidth="1"/>
    <col min="4616" max="4617" width="9.140625" style="158"/>
    <col min="4618" max="4619" width="10.7109375" style="158" customWidth="1"/>
    <col min="4620" max="4865" width="9.140625" style="158"/>
    <col min="4866" max="4866" width="20.7109375" style="158" customWidth="1"/>
    <col min="4867" max="4868" width="10.7109375" style="158" customWidth="1"/>
    <col min="4869" max="4869" width="2.7109375" style="158" customWidth="1"/>
    <col min="4870" max="4871" width="10.7109375" style="158" customWidth="1"/>
    <col min="4872" max="4873" width="9.140625" style="158"/>
    <col min="4874" max="4875" width="10.7109375" style="158" customWidth="1"/>
    <col min="4876" max="5121" width="9.140625" style="158"/>
    <col min="5122" max="5122" width="20.7109375" style="158" customWidth="1"/>
    <col min="5123" max="5124" width="10.7109375" style="158" customWidth="1"/>
    <col min="5125" max="5125" width="2.7109375" style="158" customWidth="1"/>
    <col min="5126" max="5127" width="10.7109375" style="158" customWidth="1"/>
    <col min="5128" max="5129" width="9.140625" style="158"/>
    <col min="5130" max="5131" width="10.7109375" style="158" customWidth="1"/>
    <col min="5132" max="5377" width="9.140625" style="158"/>
    <col min="5378" max="5378" width="20.7109375" style="158" customWidth="1"/>
    <col min="5379" max="5380" width="10.7109375" style="158" customWidth="1"/>
    <col min="5381" max="5381" width="2.7109375" style="158" customWidth="1"/>
    <col min="5382" max="5383" width="10.7109375" style="158" customWidth="1"/>
    <col min="5384" max="5385" width="9.140625" style="158"/>
    <col min="5386" max="5387" width="10.7109375" style="158" customWidth="1"/>
    <col min="5388" max="5633" width="9.140625" style="158"/>
    <col min="5634" max="5634" width="20.7109375" style="158" customWidth="1"/>
    <col min="5635" max="5636" width="10.7109375" style="158" customWidth="1"/>
    <col min="5637" max="5637" width="2.7109375" style="158" customWidth="1"/>
    <col min="5638" max="5639" width="10.7109375" style="158" customWidth="1"/>
    <col min="5640" max="5641" width="9.140625" style="158"/>
    <col min="5642" max="5643" width="10.7109375" style="158" customWidth="1"/>
    <col min="5644" max="5889" width="9.140625" style="158"/>
    <col min="5890" max="5890" width="20.7109375" style="158" customWidth="1"/>
    <col min="5891" max="5892" width="10.7109375" style="158" customWidth="1"/>
    <col min="5893" max="5893" width="2.7109375" style="158" customWidth="1"/>
    <col min="5894" max="5895" width="10.7109375" style="158" customWidth="1"/>
    <col min="5896" max="5897" width="9.140625" style="158"/>
    <col min="5898" max="5899" width="10.7109375" style="158" customWidth="1"/>
    <col min="5900" max="6145" width="9.140625" style="158"/>
    <col min="6146" max="6146" width="20.7109375" style="158" customWidth="1"/>
    <col min="6147" max="6148" width="10.7109375" style="158" customWidth="1"/>
    <col min="6149" max="6149" width="2.7109375" style="158" customWidth="1"/>
    <col min="6150" max="6151" width="10.7109375" style="158" customWidth="1"/>
    <col min="6152" max="6153" width="9.140625" style="158"/>
    <col min="6154" max="6155" width="10.7109375" style="158" customWidth="1"/>
    <col min="6156" max="6401" width="9.140625" style="158"/>
    <col min="6402" max="6402" width="20.7109375" style="158" customWidth="1"/>
    <col min="6403" max="6404" width="10.7109375" style="158" customWidth="1"/>
    <col min="6405" max="6405" width="2.7109375" style="158" customWidth="1"/>
    <col min="6406" max="6407" width="10.7109375" style="158" customWidth="1"/>
    <col min="6408" max="6409" width="9.140625" style="158"/>
    <col min="6410" max="6411" width="10.7109375" style="158" customWidth="1"/>
    <col min="6412" max="6657" width="9.140625" style="158"/>
    <col min="6658" max="6658" width="20.7109375" style="158" customWidth="1"/>
    <col min="6659" max="6660" width="10.7109375" style="158" customWidth="1"/>
    <col min="6661" max="6661" width="2.7109375" style="158" customWidth="1"/>
    <col min="6662" max="6663" width="10.7109375" style="158" customWidth="1"/>
    <col min="6664" max="6665" width="9.140625" style="158"/>
    <col min="6666" max="6667" width="10.7109375" style="158" customWidth="1"/>
    <col min="6668" max="6913" width="9.140625" style="158"/>
    <col min="6914" max="6914" width="20.7109375" style="158" customWidth="1"/>
    <col min="6915" max="6916" width="10.7109375" style="158" customWidth="1"/>
    <col min="6917" max="6917" width="2.7109375" style="158" customWidth="1"/>
    <col min="6918" max="6919" width="10.7109375" style="158" customWidth="1"/>
    <col min="6920" max="6921" width="9.140625" style="158"/>
    <col min="6922" max="6923" width="10.7109375" style="158" customWidth="1"/>
    <col min="6924" max="7169" width="9.140625" style="158"/>
    <col min="7170" max="7170" width="20.7109375" style="158" customWidth="1"/>
    <col min="7171" max="7172" width="10.7109375" style="158" customWidth="1"/>
    <col min="7173" max="7173" width="2.7109375" style="158" customWidth="1"/>
    <col min="7174" max="7175" width="10.7109375" style="158" customWidth="1"/>
    <col min="7176" max="7177" width="9.140625" style="158"/>
    <col min="7178" max="7179" width="10.7109375" style="158" customWidth="1"/>
    <col min="7180" max="7425" width="9.140625" style="158"/>
    <col min="7426" max="7426" width="20.7109375" style="158" customWidth="1"/>
    <col min="7427" max="7428" width="10.7109375" style="158" customWidth="1"/>
    <col min="7429" max="7429" width="2.7109375" style="158" customWidth="1"/>
    <col min="7430" max="7431" width="10.7109375" style="158" customWidth="1"/>
    <col min="7432" max="7433" width="9.140625" style="158"/>
    <col min="7434" max="7435" width="10.7109375" style="158" customWidth="1"/>
    <col min="7436" max="7681" width="9.140625" style="158"/>
    <col min="7682" max="7682" width="20.7109375" style="158" customWidth="1"/>
    <col min="7683" max="7684" width="10.7109375" style="158" customWidth="1"/>
    <col min="7685" max="7685" width="2.7109375" style="158" customWidth="1"/>
    <col min="7686" max="7687" width="10.7109375" style="158" customWidth="1"/>
    <col min="7688" max="7689" width="9.140625" style="158"/>
    <col min="7690" max="7691" width="10.7109375" style="158" customWidth="1"/>
    <col min="7692" max="7937" width="9.140625" style="158"/>
    <col min="7938" max="7938" width="20.7109375" style="158" customWidth="1"/>
    <col min="7939" max="7940" width="10.7109375" style="158" customWidth="1"/>
    <col min="7941" max="7941" width="2.7109375" style="158" customWidth="1"/>
    <col min="7942" max="7943" width="10.7109375" style="158" customWidth="1"/>
    <col min="7944" max="7945" width="9.140625" style="158"/>
    <col min="7946" max="7947" width="10.7109375" style="158" customWidth="1"/>
    <col min="7948" max="8193" width="9.140625" style="158"/>
    <col min="8194" max="8194" width="20.7109375" style="158" customWidth="1"/>
    <col min="8195" max="8196" width="10.7109375" style="158" customWidth="1"/>
    <col min="8197" max="8197" width="2.7109375" style="158" customWidth="1"/>
    <col min="8198" max="8199" width="10.7109375" style="158" customWidth="1"/>
    <col min="8200" max="8201" width="9.140625" style="158"/>
    <col min="8202" max="8203" width="10.7109375" style="158" customWidth="1"/>
    <col min="8204" max="8449" width="9.140625" style="158"/>
    <col min="8450" max="8450" width="20.7109375" style="158" customWidth="1"/>
    <col min="8451" max="8452" width="10.7109375" style="158" customWidth="1"/>
    <col min="8453" max="8453" width="2.7109375" style="158" customWidth="1"/>
    <col min="8454" max="8455" width="10.7109375" style="158" customWidth="1"/>
    <col min="8456" max="8457" width="9.140625" style="158"/>
    <col min="8458" max="8459" width="10.7109375" style="158" customWidth="1"/>
    <col min="8460" max="8705" width="9.140625" style="158"/>
    <col min="8706" max="8706" width="20.7109375" style="158" customWidth="1"/>
    <col min="8707" max="8708" width="10.7109375" style="158" customWidth="1"/>
    <col min="8709" max="8709" width="2.7109375" style="158" customWidth="1"/>
    <col min="8710" max="8711" width="10.7109375" style="158" customWidth="1"/>
    <col min="8712" max="8713" width="9.140625" style="158"/>
    <col min="8714" max="8715" width="10.7109375" style="158" customWidth="1"/>
    <col min="8716" max="8961" width="9.140625" style="158"/>
    <col min="8962" max="8962" width="20.7109375" style="158" customWidth="1"/>
    <col min="8963" max="8964" width="10.7109375" style="158" customWidth="1"/>
    <col min="8965" max="8965" width="2.7109375" style="158" customWidth="1"/>
    <col min="8966" max="8967" width="10.7109375" style="158" customWidth="1"/>
    <col min="8968" max="8969" width="9.140625" style="158"/>
    <col min="8970" max="8971" width="10.7109375" style="158" customWidth="1"/>
    <col min="8972" max="9217" width="9.140625" style="158"/>
    <col min="9218" max="9218" width="20.7109375" style="158" customWidth="1"/>
    <col min="9219" max="9220" width="10.7109375" style="158" customWidth="1"/>
    <col min="9221" max="9221" width="2.7109375" style="158" customWidth="1"/>
    <col min="9222" max="9223" width="10.7109375" style="158" customWidth="1"/>
    <col min="9224" max="9225" width="9.140625" style="158"/>
    <col min="9226" max="9227" width="10.7109375" style="158" customWidth="1"/>
    <col min="9228" max="9473" width="9.140625" style="158"/>
    <col min="9474" max="9474" width="20.7109375" style="158" customWidth="1"/>
    <col min="9475" max="9476" width="10.7109375" style="158" customWidth="1"/>
    <col min="9477" max="9477" width="2.7109375" style="158" customWidth="1"/>
    <col min="9478" max="9479" width="10.7109375" style="158" customWidth="1"/>
    <col min="9480" max="9481" width="9.140625" style="158"/>
    <col min="9482" max="9483" width="10.7109375" style="158" customWidth="1"/>
    <col min="9484" max="9729" width="9.140625" style="158"/>
    <col min="9730" max="9730" width="20.7109375" style="158" customWidth="1"/>
    <col min="9731" max="9732" width="10.7109375" style="158" customWidth="1"/>
    <col min="9733" max="9733" width="2.7109375" style="158" customWidth="1"/>
    <col min="9734" max="9735" width="10.7109375" style="158" customWidth="1"/>
    <col min="9736" max="9737" width="9.140625" style="158"/>
    <col min="9738" max="9739" width="10.7109375" style="158" customWidth="1"/>
    <col min="9740" max="9985" width="9.140625" style="158"/>
    <col min="9986" max="9986" width="20.7109375" style="158" customWidth="1"/>
    <col min="9987" max="9988" width="10.7109375" style="158" customWidth="1"/>
    <col min="9989" max="9989" width="2.7109375" style="158" customWidth="1"/>
    <col min="9990" max="9991" width="10.7109375" style="158" customWidth="1"/>
    <col min="9992" max="9993" width="9.140625" style="158"/>
    <col min="9994" max="9995" width="10.7109375" style="158" customWidth="1"/>
    <col min="9996" max="10241" width="9.140625" style="158"/>
    <col min="10242" max="10242" width="20.7109375" style="158" customWidth="1"/>
    <col min="10243" max="10244" width="10.7109375" style="158" customWidth="1"/>
    <col min="10245" max="10245" width="2.7109375" style="158" customWidth="1"/>
    <col min="10246" max="10247" width="10.7109375" style="158" customWidth="1"/>
    <col min="10248" max="10249" width="9.140625" style="158"/>
    <col min="10250" max="10251" width="10.7109375" style="158" customWidth="1"/>
    <col min="10252" max="10497" width="9.140625" style="158"/>
    <col min="10498" max="10498" width="20.7109375" style="158" customWidth="1"/>
    <col min="10499" max="10500" width="10.7109375" style="158" customWidth="1"/>
    <col min="10501" max="10501" width="2.7109375" style="158" customWidth="1"/>
    <col min="10502" max="10503" width="10.7109375" style="158" customWidth="1"/>
    <col min="10504" max="10505" width="9.140625" style="158"/>
    <col min="10506" max="10507" width="10.7109375" style="158" customWidth="1"/>
    <col min="10508" max="10753" width="9.140625" style="158"/>
    <col min="10754" max="10754" width="20.7109375" style="158" customWidth="1"/>
    <col min="10755" max="10756" width="10.7109375" style="158" customWidth="1"/>
    <col min="10757" max="10757" width="2.7109375" style="158" customWidth="1"/>
    <col min="10758" max="10759" width="10.7109375" style="158" customWidth="1"/>
    <col min="10760" max="10761" width="9.140625" style="158"/>
    <col min="10762" max="10763" width="10.7109375" style="158" customWidth="1"/>
    <col min="10764" max="11009" width="9.140625" style="158"/>
    <col min="11010" max="11010" width="20.7109375" style="158" customWidth="1"/>
    <col min="11011" max="11012" width="10.7109375" style="158" customWidth="1"/>
    <col min="11013" max="11013" width="2.7109375" style="158" customWidth="1"/>
    <col min="11014" max="11015" width="10.7109375" style="158" customWidth="1"/>
    <col min="11016" max="11017" width="9.140625" style="158"/>
    <col min="11018" max="11019" width="10.7109375" style="158" customWidth="1"/>
    <col min="11020" max="11265" width="9.140625" style="158"/>
    <col min="11266" max="11266" width="20.7109375" style="158" customWidth="1"/>
    <col min="11267" max="11268" width="10.7109375" style="158" customWidth="1"/>
    <col min="11269" max="11269" width="2.7109375" style="158" customWidth="1"/>
    <col min="11270" max="11271" width="10.7109375" style="158" customWidth="1"/>
    <col min="11272" max="11273" width="9.140625" style="158"/>
    <col min="11274" max="11275" width="10.7109375" style="158" customWidth="1"/>
    <col min="11276" max="11521" width="9.140625" style="158"/>
    <col min="11522" max="11522" width="20.7109375" style="158" customWidth="1"/>
    <col min="11523" max="11524" width="10.7109375" style="158" customWidth="1"/>
    <col min="11525" max="11525" width="2.7109375" style="158" customWidth="1"/>
    <col min="11526" max="11527" width="10.7109375" style="158" customWidth="1"/>
    <col min="11528" max="11529" width="9.140625" style="158"/>
    <col min="11530" max="11531" width="10.7109375" style="158" customWidth="1"/>
    <col min="11532" max="11777" width="9.140625" style="158"/>
    <col min="11778" max="11778" width="20.7109375" style="158" customWidth="1"/>
    <col min="11779" max="11780" width="10.7109375" style="158" customWidth="1"/>
    <col min="11781" max="11781" width="2.7109375" style="158" customWidth="1"/>
    <col min="11782" max="11783" width="10.7109375" style="158" customWidth="1"/>
    <col min="11784" max="11785" width="9.140625" style="158"/>
    <col min="11786" max="11787" width="10.7109375" style="158" customWidth="1"/>
    <col min="11788" max="12033" width="9.140625" style="158"/>
    <col min="12034" max="12034" width="20.7109375" style="158" customWidth="1"/>
    <col min="12035" max="12036" width="10.7109375" style="158" customWidth="1"/>
    <col min="12037" max="12037" width="2.7109375" style="158" customWidth="1"/>
    <col min="12038" max="12039" width="10.7109375" style="158" customWidth="1"/>
    <col min="12040" max="12041" width="9.140625" style="158"/>
    <col min="12042" max="12043" width="10.7109375" style="158" customWidth="1"/>
    <col min="12044" max="12289" width="9.140625" style="158"/>
    <col min="12290" max="12290" width="20.7109375" style="158" customWidth="1"/>
    <col min="12291" max="12292" width="10.7109375" style="158" customWidth="1"/>
    <col min="12293" max="12293" width="2.7109375" style="158" customWidth="1"/>
    <col min="12294" max="12295" width="10.7109375" style="158" customWidth="1"/>
    <col min="12296" max="12297" width="9.140625" style="158"/>
    <col min="12298" max="12299" width="10.7109375" style="158" customWidth="1"/>
    <col min="12300" max="12545" width="9.140625" style="158"/>
    <col min="12546" max="12546" width="20.7109375" style="158" customWidth="1"/>
    <col min="12547" max="12548" width="10.7109375" style="158" customWidth="1"/>
    <col min="12549" max="12549" width="2.7109375" style="158" customWidth="1"/>
    <col min="12550" max="12551" width="10.7109375" style="158" customWidth="1"/>
    <col min="12552" max="12553" width="9.140625" style="158"/>
    <col min="12554" max="12555" width="10.7109375" style="158" customWidth="1"/>
    <col min="12556" max="12801" width="9.140625" style="158"/>
    <col min="12802" max="12802" width="20.7109375" style="158" customWidth="1"/>
    <col min="12803" max="12804" width="10.7109375" style="158" customWidth="1"/>
    <col min="12805" max="12805" width="2.7109375" style="158" customWidth="1"/>
    <col min="12806" max="12807" width="10.7109375" style="158" customWidth="1"/>
    <col min="12808" max="12809" width="9.140625" style="158"/>
    <col min="12810" max="12811" width="10.7109375" style="158" customWidth="1"/>
    <col min="12812" max="13057" width="9.140625" style="158"/>
    <col min="13058" max="13058" width="20.7109375" style="158" customWidth="1"/>
    <col min="13059" max="13060" width="10.7109375" style="158" customWidth="1"/>
    <col min="13061" max="13061" width="2.7109375" style="158" customWidth="1"/>
    <col min="13062" max="13063" width="10.7109375" style="158" customWidth="1"/>
    <col min="13064" max="13065" width="9.140625" style="158"/>
    <col min="13066" max="13067" width="10.7109375" style="158" customWidth="1"/>
    <col min="13068" max="13313" width="9.140625" style="158"/>
    <col min="13314" max="13314" width="20.7109375" style="158" customWidth="1"/>
    <col min="13315" max="13316" width="10.7109375" style="158" customWidth="1"/>
    <col min="13317" max="13317" width="2.7109375" style="158" customWidth="1"/>
    <col min="13318" max="13319" width="10.7109375" style="158" customWidth="1"/>
    <col min="13320" max="13321" width="9.140625" style="158"/>
    <col min="13322" max="13323" width="10.7109375" style="158" customWidth="1"/>
    <col min="13324" max="13569" width="9.140625" style="158"/>
    <col min="13570" max="13570" width="20.7109375" style="158" customWidth="1"/>
    <col min="13571" max="13572" width="10.7109375" style="158" customWidth="1"/>
    <col min="13573" max="13573" width="2.7109375" style="158" customWidth="1"/>
    <col min="13574" max="13575" width="10.7109375" style="158" customWidth="1"/>
    <col min="13576" max="13577" width="9.140625" style="158"/>
    <col min="13578" max="13579" width="10.7109375" style="158" customWidth="1"/>
    <col min="13580" max="13825" width="9.140625" style="158"/>
    <col min="13826" max="13826" width="20.7109375" style="158" customWidth="1"/>
    <col min="13827" max="13828" width="10.7109375" style="158" customWidth="1"/>
    <col min="13829" max="13829" width="2.7109375" style="158" customWidth="1"/>
    <col min="13830" max="13831" width="10.7109375" style="158" customWidth="1"/>
    <col min="13832" max="13833" width="9.140625" style="158"/>
    <col min="13834" max="13835" width="10.7109375" style="158" customWidth="1"/>
    <col min="13836" max="14081" width="9.140625" style="158"/>
    <col min="14082" max="14082" width="20.7109375" style="158" customWidth="1"/>
    <col min="14083" max="14084" width="10.7109375" style="158" customWidth="1"/>
    <col min="14085" max="14085" width="2.7109375" style="158" customWidth="1"/>
    <col min="14086" max="14087" width="10.7109375" style="158" customWidth="1"/>
    <col min="14088" max="14089" width="9.140625" style="158"/>
    <col min="14090" max="14091" width="10.7109375" style="158" customWidth="1"/>
    <col min="14092" max="14337" width="9.140625" style="158"/>
    <col min="14338" max="14338" width="20.7109375" style="158" customWidth="1"/>
    <col min="14339" max="14340" width="10.7109375" style="158" customWidth="1"/>
    <col min="14341" max="14341" width="2.7109375" style="158" customWidth="1"/>
    <col min="14342" max="14343" width="10.7109375" style="158" customWidth="1"/>
    <col min="14344" max="14345" width="9.140625" style="158"/>
    <col min="14346" max="14347" width="10.7109375" style="158" customWidth="1"/>
    <col min="14348" max="14593" width="9.140625" style="158"/>
    <col min="14594" max="14594" width="20.7109375" style="158" customWidth="1"/>
    <col min="14595" max="14596" width="10.7109375" style="158" customWidth="1"/>
    <col min="14597" max="14597" width="2.7109375" style="158" customWidth="1"/>
    <col min="14598" max="14599" width="10.7109375" style="158" customWidth="1"/>
    <col min="14600" max="14601" width="9.140625" style="158"/>
    <col min="14602" max="14603" width="10.7109375" style="158" customWidth="1"/>
    <col min="14604" max="14849" width="9.140625" style="158"/>
    <col min="14850" max="14850" width="20.7109375" style="158" customWidth="1"/>
    <col min="14851" max="14852" width="10.7109375" style="158" customWidth="1"/>
    <col min="14853" max="14853" width="2.7109375" style="158" customWidth="1"/>
    <col min="14854" max="14855" width="10.7109375" style="158" customWidth="1"/>
    <col min="14856" max="14857" width="9.140625" style="158"/>
    <col min="14858" max="14859" width="10.7109375" style="158" customWidth="1"/>
    <col min="14860" max="15105" width="9.140625" style="158"/>
    <col min="15106" max="15106" width="20.7109375" style="158" customWidth="1"/>
    <col min="15107" max="15108" width="10.7109375" style="158" customWidth="1"/>
    <col min="15109" max="15109" width="2.7109375" style="158" customWidth="1"/>
    <col min="15110" max="15111" width="10.7109375" style="158" customWidth="1"/>
    <col min="15112" max="15113" width="9.140625" style="158"/>
    <col min="15114" max="15115" width="10.7109375" style="158" customWidth="1"/>
    <col min="15116" max="15361" width="9.140625" style="158"/>
    <col min="15362" max="15362" width="20.7109375" style="158" customWidth="1"/>
    <col min="15363" max="15364" width="10.7109375" style="158" customWidth="1"/>
    <col min="15365" max="15365" width="2.7109375" style="158" customWidth="1"/>
    <col min="15366" max="15367" width="10.7109375" style="158" customWidth="1"/>
    <col min="15368" max="15369" width="9.140625" style="158"/>
    <col min="15370" max="15371" width="10.7109375" style="158" customWidth="1"/>
    <col min="15372" max="15617" width="9.140625" style="158"/>
    <col min="15618" max="15618" width="20.7109375" style="158" customWidth="1"/>
    <col min="15619" max="15620" width="10.7109375" style="158" customWidth="1"/>
    <col min="15621" max="15621" width="2.7109375" style="158" customWidth="1"/>
    <col min="15622" max="15623" width="10.7109375" style="158" customWidth="1"/>
    <col min="15624" max="15625" width="9.140625" style="158"/>
    <col min="15626" max="15627" width="10.7109375" style="158" customWidth="1"/>
    <col min="15628" max="15873" width="9.140625" style="158"/>
    <col min="15874" max="15874" width="20.7109375" style="158" customWidth="1"/>
    <col min="15875" max="15876" width="10.7109375" style="158" customWidth="1"/>
    <col min="15877" max="15877" width="2.7109375" style="158" customWidth="1"/>
    <col min="15878" max="15879" width="10.7109375" style="158" customWidth="1"/>
    <col min="15880" max="15881" width="9.140625" style="158"/>
    <col min="15882" max="15883" width="10.7109375" style="158" customWidth="1"/>
    <col min="15884" max="16129" width="9.140625" style="158"/>
    <col min="16130" max="16130" width="20.7109375" style="158" customWidth="1"/>
    <col min="16131" max="16132" width="10.7109375" style="158" customWidth="1"/>
    <col min="16133" max="16133" width="2.7109375" style="158" customWidth="1"/>
    <col min="16134" max="16135" width="10.7109375" style="158" customWidth="1"/>
    <col min="16136" max="16137" width="9.140625" style="158"/>
    <col min="16138" max="16139" width="10.7109375" style="158" customWidth="1"/>
    <col min="16140" max="16384" width="9.140625" style="158"/>
  </cols>
  <sheetData>
    <row r="2" spans="2:12" ht="20.25" x14ac:dyDescent="0.3">
      <c r="B2" s="164" t="s">
        <v>501</v>
      </c>
    </row>
    <row r="3" spans="2:12" ht="13.5" thickBot="1" x14ac:dyDescent="0.25"/>
    <row r="4" spans="2:12" ht="15.75" x14ac:dyDescent="0.25">
      <c r="B4" s="292" t="s">
        <v>497</v>
      </c>
      <c r="C4" s="293" t="s">
        <v>473</v>
      </c>
      <c r="D4" s="294" t="s">
        <v>15</v>
      </c>
      <c r="E4" s="295"/>
      <c r="F4" s="293" t="s">
        <v>473</v>
      </c>
      <c r="G4" s="296" t="s">
        <v>15</v>
      </c>
      <c r="J4" s="297" t="s">
        <v>498</v>
      </c>
      <c r="K4" s="344"/>
    </row>
    <row r="5" spans="2:12" ht="15.75" x14ac:dyDescent="0.25">
      <c r="B5" s="300" t="s">
        <v>495</v>
      </c>
      <c r="C5" s="301" t="s">
        <v>328</v>
      </c>
      <c r="D5" s="302" t="s">
        <v>328</v>
      </c>
      <c r="E5" s="303"/>
      <c r="F5" s="301" t="s">
        <v>3</v>
      </c>
      <c r="G5" s="304" t="s">
        <v>3</v>
      </c>
      <c r="J5" s="305" t="s">
        <v>476</v>
      </c>
      <c r="K5" s="307" t="s">
        <v>477</v>
      </c>
    </row>
    <row r="6" spans="2:12" ht="15.75" x14ac:dyDescent="0.3">
      <c r="B6" s="345" t="s">
        <v>499</v>
      </c>
      <c r="C6" s="309" t="s">
        <v>479</v>
      </c>
      <c r="D6" s="310" t="s">
        <v>480</v>
      </c>
      <c r="E6" s="311"/>
      <c r="F6" s="309" t="s">
        <v>481</v>
      </c>
      <c r="G6" s="312" t="s">
        <v>482</v>
      </c>
      <c r="J6" s="313" t="s">
        <v>483</v>
      </c>
      <c r="K6" s="315" t="s">
        <v>484</v>
      </c>
    </row>
    <row r="7" spans="2:12" x14ac:dyDescent="0.2">
      <c r="B7" s="316"/>
      <c r="C7" s="317"/>
      <c r="D7" s="317"/>
      <c r="E7" s="317"/>
      <c r="F7" s="318"/>
      <c r="G7" s="319"/>
      <c r="J7" s="320"/>
      <c r="K7" s="322"/>
    </row>
    <row r="8" spans="2:12" x14ac:dyDescent="0.2">
      <c r="B8" s="316"/>
      <c r="C8" s="317"/>
      <c r="D8" s="317"/>
      <c r="E8" s="317"/>
      <c r="F8" s="318"/>
      <c r="G8" s="319"/>
      <c r="J8" s="320"/>
      <c r="K8" s="322"/>
    </row>
    <row r="9" spans="2:12" x14ac:dyDescent="0.2">
      <c r="B9" s="316" t="s">
        <v>485</v>
      </c>
      <c r="C9" s="323">
        <v>0.4</v>
      </c>
      <c r="D9" s="323">
        <v>0.4</v>
      </c>
      <c r="E9" s="317"/>
      <c r="F9" s="324">
        <v>20</v>
      </c>
      <c r="G9" s="325">
        <v>10</v>
      </c>
      <c r="J9" s="326">
        <f>+(C9-D9)*(G9-G$18)/100</f>
        <v>0</v>
      </c>
      <c r="K9" s="328">
        <f>+C9*(F9-G9)/100</f>
        <v>0.04</v>
      </c>
    </row>
    <row r="10" spans="2:12" x14ac:dyDescent="0.2">
      <c r="B10" s="316"/>
      <c r="C10" s="323"/>
      <c r="D10" s="323"/>
      <c r="E10" s="317"/>
      <c r="F10" s="324"/>
      <c r="G10" s="325"/>
      <c r="J10" s="320"/>
      <c r="K10" s="322"/>
    </row>
    <row r="11" spans="2:12" x14ac:dyDescent="0.2">
      <c r="B11" s="316" t="s">
        <v>486</v>
      </c>
      <c r="C11" s="323">
        <v>0.3</v>
      </c>
      <c r="D11" s="323">
        <v>0.2</v>
      </c>
      <c r="E11" s="317"/>
      <c r="F11" s="324">
        <v>-5</v>
      </c>
      <c r="G11" s="325">
        <v>-4</v>
      </c>
      <c r="J11" s="326">
        <f>+(C11-D11)*(G11-G$18)/100</f>
        <v>-3.9999999999999992E-3</v>
      </c>
      <c r="K11" s="328">
        <f>+C11*(F11-G11)/100</f>
        <v>-3.0000000000000001E-3</v>
      </c>
    </row>
    <row r="12" spans="2:12" x14ac:dyDescent="0.2">
      <c r="B12" s="316"/>
      <c r="C12" s="323"/>
      <c r="D12" s="323"/>
      <c r="E12" s="317"/>
      <c r="F12" s="324"/>
      <c r="G12" s="325"/>
      <c r="J12" s="320"/>
      <c r="K12" s="322"/>
    </row>
    <row r="13" spans="2:12" x14ac:dyDescent="0.2">
      <c r="B13" s="316" t="s">
        <v>487</v>
      </c>
      <c r="C13" s="323">
        <v>0.3</v>
      </c>
      <c r="D13" s="323">
        <v>0.4</v>
      </c>
      <c r="E13" s="317"/>
      <c r="F13" s="324">
        <v>6</v>
      </c>
      <c r="G13" s="325">
        <v>8</v>
      </c>
      <c r="J13" s="326">
        <f>+(C13-D13)*(G13-G$18)/100</f>
        <v>-8.0000000000000019E-3</v>
      </c>
      <c r="K13" s="328">
        <f>+C13*(F13-G13)/100</f>
        <v>-6.0000000000000001E-3</v>
      </c>
    </row>
    <row r="14" spans="2:12" x14ac:dyDescent="0.2">
      <c r="B14" s="316"/>
      <c r="C14" s="323"/>
      <c r="D14" s="323"/>
      <c r="E14" s="317"/>
      <c r="F14" s="318"/>
      <c r="G14" s="319"/>
      <c r="J14" s="320"/>
      <c r="K14" s="322"/>
    </row>
    <row r="15" spans="2:12" x14ac:dyDescent="0.2">
      <c r="B15" s="316"/>
      <c r="C15" s="323"/>
      <c r="D15" s="323"/>
      <c r="E15" s="317"/>
      <c r="F15" s="318"/>
      <c r="G15" s="319"/>
      <c r="J15" s="320"/>
      <c r="K15" s="322"/>
    </row>
    <row r="16" spans="2:12" ht="13.5" thickBot="1" x14ac:dyDescent="0.25">
      <c r="B16" s="329" t="s">
        <v>16</v>
      </c>
      <c r="C16" s="330">
        <f>SUM(C9:C13)</f>
        <v>1</v>
      </c>
      <c r="D16" s="330">
        <f>SUM(D9:D13)</f>
        <v>1</v>
      </c>
      <c r="E16" s="331"/>
      <c r="F16" s="332">
        <v>8.3000000000000007</v>
      </c>
      <c r="G16" s="333">
        <v>6.4</v>
      </c>
      <c r="H16" s="171"/>
      <c r="I16" s="171"/>
      <c r="J16" s="334">
        <f>SUM(J9:J13)</f>
        <v>-1.2E-2</v>
      </c>
      <c r="K16" s="336">
        <f>SUM(K9:K13)</f>
        <v>3.1E-2</v>
      </c>
      <c r="L16" s="171"/>
    </row>
    <row r="19" spans="10:12" ht="13.5" thickBot="1" x14ac:dyDescent="0.25"/>
    <row r="20" spans="10:12" ht="15.75" x14ac:dyDescent="0.25">
      <c r="J20" s="337" t="s">
        <v>488</v>
      </c>
      <c r="K20" s="338"/>
      <c r="L20" s="339">
        <f>+(F16-G16)/100</f>
        <v>1.9000000000000003E-2</v>
      </c>
    </row>
    <row r="21" spans="10:12" x14ac:dyDescent="0.2">
      <c r="J21" s="320"/>
      <c r="K21" s="321"/>
      <c r="L21" s="322"/>
    </row>
    <row r="22" spans="10:12" x14ac:dyDescent="0.2">
      <c r="J22" s="320" t="s">
        <v>489</v>
      </c>
      <c r="K22" s="321"/>
      <c r="L22" s="340">
        <f>+J16</f>
        <v>-1.2E-2</v>
      </c>
    </row>
    <row r="23" spans="10:12" x14ac:dyDescent="0.2">
      <c r="J23" s="320" t="s">
        <v>490</v>
      </c>
      <c r="K23" s="321"/>
      <c r="L23" s="340">
        <f>+K16</f>
        <v>3.1E-2</v>
      </c>
    </row>
    <row r="24" spans="10:12" x14ac:dyDescent="0.2">
      <c r="J24" s="320" t="s">
        <v>0</v>
      </c>
      <c r="K24" s="321"/>
      <c r="L24" s="340" t="s">
        <v>0</v>
      </c>
    </row>
    <row r="25" spans="10:12" ht="13.5" thickBot="1" x14ac:dyDescent="0.25">
      <c r="J25" s="341" t="s">
        <v>141</v>
      </c>
      <c r="K25" s="342"/>
      <c r="L25" s="343">
        <f>+L20-L22-L23</f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14C-CB90-4BFF-9D80-0780B00FDC15}">
  <dimension ref="B2:O26"/>
  <sheetViews>
    <sheetView topLeftCell="B2" workbookViewId="0">
      <selection activeCell="H34" sqref="H34"/>
    </sheetView>
  </sheetViews>
  <sheetFormatPr defaultRowHeight="12.75" x14ac:dyDescent="0.2"/>
  <cols>
    <col min="1" max="1" width="9.140625" style="158"/>
    <col min="2" max="2" width="15.7109375" style="158" customWidth="1"/>
    <col min="3" max="4" width="10.7109375" style="158" customWidth="1"/>
    <col min="5" max="5" width="2.7109375" style="158" customWidth="1"/>
    <col min="6" max="7" width="10.7109375" style="158" customWidth="1"/>
    <col min="8" max="12" width="9.140625" style="158"/>
    <col min="13" max="14" width="10.7109375" style="158" customWidth="1"/>
    <col min="15" max="257" width="9.140625" style="158"/>
    <col min="258" max="258" width="15.7109375" style="158" customWidth="1"/>
    <col min="259" max="260" width="10.7109375" style="158" customWidth="1"/>
    <col min="261" max="261" width="2.7109375" style="158" customWidth="1"/>
    <col min="262" max="263" width="10.7109375" style="158" customWidth="1"/>
    <col min="264" max="268" width="9.140625" style="158"/>
    <col min="269" max="270" width="10.7109375" style="158" customWidth="1"/>
    <col min="271" max="513" width="9.140625" style="158"/>
    <col min="514" max="514" width="15.7109375" style="158" customWidth="1"/>
    <col min="515" max="516" width="10.7109375" style="158" customWidth="1"/>
    <col min="517" max="517" width="2.7109375" style="158" customWidth="1"/>
    <col min="518" max="519" width="10.7109375" style="158" customWidth="1"/>
    <col min="520" max="524" width="9.140625" style="158"/>
    <col min="525" max="526" width="10.7109375" style="158" customWidth="1"/>
    <col min="527" max="769" width="9.140625" style="158"/>
    <col min="770" max="770" width="15.7109375" style="158" customWidth="1"/>
    <col min="771" max="772" width="10.7109375" style="158" customWidth="1"/>
    <col min="773" max="773" width="2.7109375" style="158" customWidth="1"/>
    <col min="774" max="775" width="10.7109375" style="158" customWidth="1"/>
    <col min="776" max="780" width="9.140625" style="158"/>
    <col min="781" max="782" width="10.7109375" style="158" customWidth="1"/>
    <col min="783" max="1025" width="9.140625" style="158"/>
    <col min="1026" max="1026" width="15.7109375" style="158" customWidth="1"/>
    <col min="1027" max="1028" width="10.7109375" style="158" customWidth="1"/>
    <col min="1029" max="1029" width="2.7109375" style="158" customWidth="1"/>
    <col min="1030" max="1031" width="10.7109375" style="158" customWidth="1"/>
    <col min="1032" max="1036" width="9.140625" style="158"/>
    <col min="1037" max="1038" width="10.7109375" style="158" customWidth="1"/>
    <col min="1039" max="1281" width="9.140625" style="158"/>
    <col min="1282" max="1282" width="15.7109375" style="158" customWidth="1"/>
    <col min="1283" max="1284" width="10.7109375" style="158" customWidth="1"/>
    <col min="1285" max="1285" width="2.7109375" style="158" customWidth="1"/>
    <col min="1286" max="1287" width="10.7109375" style="158" customWidth="1"/>
    <col min="1288" max="1292" width="9.140625" style="158"/>
    <col min="1293" max="1294" width="10.7109375" style="158" customWidth="1"/>
    <col min="1295" max="1537" width="9.140625" style="158"/>
    <col min="1538" max="1538" width="15.7109375" style="158" customWidth="1"/>
    <col min="1539" max="1540" width="10.7109375" style="158" customWidth="1"/>
    <col min="1541" max="1541" width="2.7109375" style="158" customWidth="1"/>
    <col min="1542" max="1543" width="10.7109375" style="158" customWidth="1"/>
    <col min="1544" max="1548" width="9.140625" style="158"/>
    <col min="1549" max="1550" width="10.7109375" style="158" customWidth="1"/>
    <col min="1551" max="1793" width="9.140625" style="158"/>
    <col min="1794" max="1794" width="15.7109375" style="158" customWidth="1"/>
    <col min="1795" max="1796" width="10.7109375" style="158" customWidth="1"/>
    <col min="1797" max="1797" width="2.7109375" style="158" customWidth="1"/>
    <col min="1798" max="1799" width="10.7109375" style="158" customWidth="1"/>
    <col min="1800" max="1804" width="9.140625" style="158"/>
    <col min="1805" max="1806" width="10.7109375" style="158" customWidth="1"/>
    <col min="1807" max="2049" width="9.140625" style="158"/>
    <col min="2050" max="2050" width="15.7109375" style="158" customWidth="1"/>
    <col min="2051" max="2052" width="10.7109375" style="158" customWidth="1"/>
    <col min="2053" max="2053" width="2.7109375" style="158" customWidth="1"/>
    <col min="2054" max="2055" width="10.7109375" style="158" customWidth="1"/>
    <col min="2056" max="2060" width="9.140625" style="158"/>
    <col min="2061" max="2062" width="10.7109375" style="158" customWidth="1"/>
    <col min="2063" max="2305" width="9.140625" style="158"/>
    <col min="2306" max="2306" width="15.7109375" style="158" customWidth="1"/>
    <col min="2307" max="2308" width="10.7109375" style="158" customWidth="1"/>
    <col min="2309" max="2309" width="2.7109375" style="158" customWidth="1"/>
    <col min="2310" max="2311" width="10.7109375" style="158" customWidth="1"/>
    <col min="2312" max="2316" width="9.140625" style="158"/>
    <col min="2317" max="2318" width="10.7109375" style="158" customWidth="1"/>
    <col min="2319" max="2561" width="9.140625" style="158"/>
    <col min="2562" max="2562" width="15.7109375" style="158" customWidth="1"/>
    <col min="2563" max="2564" width="10.7109375" style="158" customWidth="1"/>
    <col min="2565" max="2565" width="2.7109375" style="158" customWidth="1"/>
    <col min="2566" max="2567" width="10.7109375" style="158" customWidth="1"/>
    <col min="2568" max="2572" width="9.140625" style="158"/>
    <col min="2573" max="2574" width="10.7109375" style="158" customWidth="1"/>
    <col min="2575" max="2817" width="9.140625" style="158"/>
    <col min="2818" max="2818" width="15.7109375" style="158" customWidth="1"/>
    <col min="2819" max="2820" width="10.7109375" style="158" customWidth="1"/>
    <col min="2821" max="2821" width="2.7109375" style="158" customWidth="1"/>
    <col min="2822" max="2823" width="10.7109375" style="158" customWidth="1"/>
    <col min="2824" max="2828" width="9.140625" style="158"/>
    <col min="2829" max="2830" width="10.7109375" style="158" customWidth="1"/>
    <col min="2831" max="3073" width="9.140625" style="158"/>
    <col min="3074" max="3074" width="15.7109375" style="158" customWidth="1"/>
    <col min="3075" max="3076" width="10.7109375" style="158" customWidth="1"/>
    <col min="3077" max="3077" width="2.7109375" style="158" customWidth="1"/>
    <col min="3078" max="3079" width="10.7109375" style="158" customWidth="1"/>
    <col min="3080" max="3084" width="9.140625" style="158"/>
    <col min="3085" max="3086" width="10.7109375" style="158" customWidth="1"/>
    <col min="3087" max="3329" width="9.140625" style="158"/>
    <col min="3330" max="3330" width="15.7109375" style="158" customWidth="1"/>
    <col min="3331" max="3332" width="10.7109375" style="158" customWidth="1"/>
    <col min="3333" max="3333" width="2.7109375" style="158" customWidth="1"/>
    <col min="3334" max="3335" width="10.7109375" style="158" customWidth="1"/>
    <col min="3336" max="3340" width="9.140625" style="158"/>
    <col min="3341" max="3342" width="10.7109375" style="158" customWidth="1"/>
    <col min="3343" max="3585" width="9.140625" style="158"/>
    <col min="3586" max="3586" width="15.7109375" style="158" customWidth="1"/>
    <col min="3587" max="3588" width="10.7109375" style="158" customWidth="1"/>
    <col min="3589" max="3589" width="2.7109375" style="158" customWidth="1"/>
    <col min="3590" max="3591" width="10.7109375" style="158" customWidth="1"/>
    <col min="3592" max="3596" width="9.140625" style="158"/>
    <col min="3597" max="3598" width="10.7109375" style="158" customWidth="1"/>
    <col min="3599" max="3841" width="9.140625" style="158"/>
    <col min="3842" max="3842" width="15.7109375" style="158" customWidth="1"/>
    <col min="3843" max="3844" width="10.7109375" style="158" customWidth="1"/>
    <col min="3845" max="3845" width="2.7109375" style="158" customWidth="1"/>
    <col min="3846" max="3847" width="10.7109375" style="158" customWidth="1"/>
    <col min="3848" max="3852" width="9.140625" style="158"/>
    <col min="3853" max="3854" width="10.7109375" style="158" customWidth="1"/>
    <col min="3855" max="4097" width="9.140625" style="158"/>
    <col min="4098" max="4098" width="15.7109375" style="158" customWidth="1"/>
    <col min="4099" max="4100" width="10.7109375" style="158" customWidth="1"/>
    <col min="4101" max="4101" width="2.7109375" style="158" customWidth="1"/>
    <col min="4102" max="4103" width="10.7109375" style="158" customWidth="1"/>
    <col min="4104" max="4108" width="9.140625" style="158"/>
    <col min="4109" max="4110" width="10.7109375" style="158" customWidth="1"/>
    <col min="4111" max="4353" width="9.140625" style="158"/>
    <col min="4354" max="4354" width="15.7109375" style="158" customWidth="1"/>
    <col min="4355" max="4356" width="10.7109375" style="158" customWidth="1"/>
    <col min="4357" max="4357" width="2.7109375" style="158" customWidth="1"/>
    <col min="4358" max="4359" width="10.7109375" style="158" customWidth="1"/>
    <col min="4360" max="4364" width="9.140625" style="158"/>
    <col min="4365" max="4366" width="10.7109375" style="158" customWidth="1"/>
    <col min="4367" max="4609" width="9.140625" style="158"/>
    <col min="4610" max="4610" width="15.7109375" style="158" customWidth="1"/>
    <col min="4611" max="4612" width="10.7109375" style="158" customWidth="1"/>
    <col min="4613" max="4613" width="2.7109375" style="158" customWidth="1"/>
    <col min="4614" max="4615" width="10.7109375" style="158" customWidth="1"/>
    <col min="4616" max="4620" width="9.140625" style="158"/>
    <col min="4621" max="4622" width="10.7109375" style="158" customWidth="1"/>
    <col min="4623" max="4865" width="9.140625" style="158"/>
    <col min="4866" max="4866" width="15.7109375" style="158" customWidth="1"/>
    <col min="4867" max="4868" width="10.7109375" style="158" customWidth="1"/>
    <col min="4869" max="4869" width="2.7109375" style="158" customWidth="1"/>
    <col min="4870" max="4871" width="10.7109375" style="158" customWidth="1"/>
    <col min="4872" max="4876" width="9.140625" style="158"/>
    <col min="4877" max="4878" width="10.7109375" style="158" customWidth="1"/>
    <col min="4879" max="5121" width="9.140625" style="158"/>
    <col min="5122" max="5122" width="15.7109375" style="158" customWidth="1"/>
    <col min="5123" max="5124" width="10.7109375" style="158" customWidth="1"/>
    <col min="5125" max="5125" width="2.7109375" style="158" customWidth="1"/>
    <col min="5126" max="5127" width="10.7109375" style="158" customWidth="1"/>
    <col min="5128" max="5132" width="9.140625" style="158"/>
    <col min="5133" max="5134" width="10.7109375" style="158" customWidth="1"/>
    <col min="5135" max="5377" width="9.140625" style="158"/>
    <col min="5378" max="5378" width="15.7109375" style="158" customWidth="1"/>
    <col min="5379" max="5380" width="10.7109375" style="158" customWidth="1"/>
    <col min="5381" max="5381" width="2.7109375" style="158" customWidth="1"/>
    <col min="5382" max="5383" width="10.7109375" style="158" customWidth="1"/>
    <col min="5384" max="5388" width="9.140625" style="158"/>
    <col min="5389" max="5390" width="10.7109375" style="158" customWidth="1"/>
    <col min="5391" max="5633" width="9.140625" style="158"/>
    <col min="5634" max="5634" width="15.7109375" style="158" customWidth="1"/>
    <col min="5635" max="5636" width="10.7109375" style="158" customWidth="1"/>
    <col min="5637" max="5637" width="2.7109375" style="158" customWidth="1"/>
    <col min="5638" max="5639" width="10.7109375" style="158" customWidth="1"/>
    <col min="5640" max="5644" width="9.140625" style="158"/>
    <col min="5645" max="5646" width="10.7109375" style="158" customWidth="1"/>
    <col min="5647" max="5889" width="9.140625" style="158"/>
    <col min="5890" max="5890" width="15.7109375" style="158" customWidth="1"/>
    <col min="5891" max="5892" width="10.7109375" style="158" customWidth="1"/>
    <col min="5893" max="5893" width="2.7109375" style="158" customWidth="1"/>
    <col min="5894" max="5895" width="10.7109375" style="158" customWidth="1"/>
    <col min="5896" max="5900" width="9.140625" style="158"/>
    <col min="5901" max="5902" width="10.7109375" style="158" customWidth="1"/>
    <col min="5903" max="6145" width="9.140625" style="158"/>
    <col min="6146" max="6146" width="15.7109375" style="158" customWidth="1"/>
    <col min="6147" max="6148" width="10.7109375" style="158" customWidth="1"/>
    <col min="6149" max="6149" width="2.7109375" style="158" customWidth="1"/>
    <col min="6150" max="6151" width="10.7109375" style="158" customWidth="1"/>
    <col min="6152" max="6156" width="9.140625" style="158"/>
    <col min="6157" max="6158" width="10.7109375" style="158" customWidth="1"/>
    <col min="6159" max="6401" width="9.140625" style="158"/>
    <col min="6402" max="6402" width="15.7109375" style="158" customWidth="1"/>
    <col min="6403" max="6404" width="10.7109375" style="158" customWidth="1"/>
    <col min="6405" max="6405" width="2.7109375" style="158" customWidth="1"/>
    <col min="6406" max="6407" width="10.7109375" style="158" customWidth="1"/>
    <col min="6408" max="6412" width="9.140625" style="158"/>
    <col min="6413" max="6414" width="10.7109375" style="158" customWidth="1"/>
    <col min="6415" max="6657" width="9.140625" style="158"/>
    <col min="6658" max="6658" width="15.7109375" style="158" customWidth="1"/>
    <col min="6659" max="6660" width="10.7109375" style="158" customWidth="1"/>
    <col min="6661" max="6661" width="2.7109375" style="158" customWidth="1"/>
    <col min="6662" max="6663" width="10.7109375" style="158" customWidth="1"/>
    <col min="6664" max="6668" width="9.140625" style="158"/>
    <col min="6669" max="6670" width="10.7109375" style="158" customWidth="1"/>
    <col min="6671" max="6913" width="9.140625" style="158"/>
    <col min="6914" max="6914" width="15.7109375" style="158" customWidth="1"/>
    <col min="6915" max="6916" width="10.7109375" style="158" customWidth="1"/>
    <col min="6917" max="6917" width="2.7109375" style="158" customWidth="1"/>
    <col min="6918" max="6919" width="10.7109375" style="158" customWidth="1"/>
    <col min="6920" max="6924" width="9.140625" style="158"/>
    <col min="6925" max="6926" width="10.7109375" style="158" customWidth="1"/>
    <col min="6927" max="7169" width="9.140625" style="158"/>
    <col min="7170" max="7170" width="15.7109375" style="158" customWidth="1"/>
    <col min="7171" max="7172" width="10.7109375" style="158" customWidth="1"/>
    <col min="7173" max="7173" width="2.7109375" style="158" customWidth="1"/>
    <col min="7174" max="7175" width="10.7109375" style="158" customWidth="1"/>
    <col min="7176" max="7180" width="9.140625" style="158"/>
    <col min="7181" max="7182" width="10.7109375" style="158" customWidth="1"/>
    <col min="7183" max="7425" width="9.140625" style="158"/>
    <col min="7426" max="7426" width="15.7109375" style="158" customWidth="1"/>
    <col min="7427" max="7428" width="10.7109375" style="158" customWidth="1"/>
    <col min="7429" max="7429" width="2.7109375" style="158" customWidth="1"/>
    <col min="7430" max="7431" width="10.7109375" style="158" customWidth="1"/>
    <col min="7432" max="7436" width="9.140625" style="158"/>
    <col min="7437" max="7438" width="10.7109375" style="158" customWidth="1"/>
    <col min="7439" max="7681" width="9.140625" style="158"/>
    <col min="7682" max="7682" width="15.7109375" style="158" customWidth="1"/>
    <col min="7683" max="7684" width="10.7109375" style="158" customWidth="1"/>
    <col min="7685" max="7685" width="2.7109375" style="158" customWidth="1"/>
    <col min="7686" max="7687" width="10.7109375" style="158" customWidth="1"/>
    <col min="7688" max="7692" width="9.140625" style="158"/>
    <col min="7693" max="7694" width="10.7109375" style="158" customWidth="1"/>
    <col min="7695" max="7937" width="9.140625" style="158"/>
    <col min="7938" max="7938" width="15.7109375" style="158" customWidth="1"/>
    <col min="7939" max="7940" width="10.7109375" style="158" customWidth="1"/>
    <col min="7941" max="7941" width="2.7109375" style="158" customWidth="1"/>
    <col min="7942" max="7943" width="10.7109375" style="158" customWidth="1"/>
    <col min="7944" max="7948" width="9.140625" style="158"/>
    <col min="7949" max="7950" width="10.7109375" style="158" customWidth="1"/>
    <col min="7951" max="8193" width="9.140625" style="158"/>
    <col min="8194" max="8194" width="15.7109375" style="158" customWidth="1"/>
    <col min="8195" max="8196" width="10.7109375" style="158" customWidth="1"/>
    <col min="8197" max="8197" width="2.7109375" style="158" customWidth="1"/>
    <col min="8198" max="8199" width="10.7109375" style="158" customWidth="1"/>
    <col min="8200" max="8204" width="9.140625" style="158"/>
    <col min="8205" max="8206" width="10.7109375" style="158" customWidth="1"/>
    <col min="8207" max="8449" width="9.140625" style="158"/>
    <col min="8450" max="8450" width="15.7109375" style="158" customWidth="1"/>
    <col min="8451" max="8452" width="10.7109375" style="158" customWidth="1"/>
    <col min="8453" max="8453" width="2.7109375" style="158" customWidth="1"/>
    <col min="8454" max="8455" width="10.7109375" style="158" customWidth="1"/>
    <col min="8456" max="8460" width="9.140625" style="158"/>
    <col min="8461" max="8462" width="10.7109375" style="158" customWidth="1"/>
    <col min="8463" max="8705" width="9.140625" style="158"/>
    <col min="8706" max="8706" width="15.7109375" style="158" customWidth="1"/>
    <col min="8707" max="8708" width="10.7109375" style="158" customWidth="1"/>
    <col min="8709" max="8709" width="2.7109375" style="158" customWidth="1"/>
    <col min="8710" max="8711" width="10.7109375" style="158" customWidth="1"/>
    <col min="8712" max="8716" width="9.140625" style="158"/>
    <col min="8717" max="8718" width="10.7109375" style="158" customWidth="1"/>
    <col min="8719" max="8961" width="9.140625" style="158"/>
    <col min="8962" max="8962" width="15.7109375" style="158" customWidth="1"/>
    <col min="8963" max="8964" width="10.7109375" style="158" customWidth="1"/>
    <col min="8965" max="8965" width="2.7109375" style="158" customWidth="1"/>
    <col min="8966" max="8967" width="10.7109375" style="158" customWidth="1"/>
    <col min="8968" max="8972" width="9.140625" style="158"/>
    <col min="8973" max="8974" width="10.7109375" style="158" customWidth="1"/>
    <col min="8975" max="9217" width="9.140625" style="158"/>
    <col min="9218" max="9218" width="15.7109375" style="158" customWidth="1"/>
    <col min="9219" max="9220" width="10.7109375" style="158" customWidth="1"/>
    <col min="9221" max="9221" width="2.7109375" style="158" customWidth="1"/>
    <col min="9222" max="9223" width="10.7109375" style="158" customWidth="1"/>
    <col min="9224" max="9228" width="9.140625" style="158"/>
    <col min="9229" max="9230" width="10.7109375" style="158" customWidth="1"/>
    <col min="9231" max="9473" width="9.140625" style="158"/>
    <col min="9474" max="9474" width="15.7109375" style="158" customWidth="1"/>
    <col min="9475" max="9476" width="10.7109375" style="158" customWidth="1"/>
    <col min="9477" max="9477" width="2.7109375" style="158" customWidth="1"/>
    <col min="9478" max="9479" width="10.7109375" style="158" customWidth="1"/>
    <col min="9480" max="9484" width="9.140625" style="158"/>
    <col min="9485" max="9486" width="10.7109375" style="158" customWidth="1"/>
    <col min="9487" max="9729" width="9.140625" style="158"/>
    <col min="9730" max="9730" width="15.7109375" style="158" customWidth="1"/>
    <col min="9731" max="9732" width="10.7109375" style="158" customWidth="1"/>
    <col min="9733" max="9733" width="2.7109375" style="158" customWidth="1"/>
    <col min="9734" max="9735" width="10.7109375" style="158" customWidth="1"/>
    <col min="9736" max="9740" width="9.140625" style="158"/>
    <col min="9741" max="9742" width="10.7109375" style="158" customWidth="1"/>
    <col min="9743" max="9985" width="9.140625" style="158"/>
    <col min="9986" max="9986" width="15.7109375" style="158" customWidth="1"/>
    <col min="9987" max="9988" width="10.7109375" style="158" customWidth="1"/>
    <col min="9989" max="9989" width="2.7109375" style="158" customWidth="1"/>
    <col min="9990" max="9991" width="10.7109375" style="158" customWidth="1"/>
    <col min="9992" max="9996" width="9.140625" style="158"/>
    <col min="9997" max="9998" width="10.7109375" style="158" customWidth="1"/>
    <col min="9999" max="10241" width="9.140625" style="158"/>
    <col min="10242" max="10242" width="15.7109375" style="158" customWidth="1"/>
    <col min="10243" max="10244" width="10.7109375" style="158" customWidth="1"/>
    <col min="10245" max="10245" width="2.7109375" style="158" customWidth="1"/>
    <col min="10246" max="10247" width="10.7109375" style="158" customWidth="1"/>
    <col min="10248" max="10252" width="9.140625" style="158"/>
    <col min="10253" max="10254" width="10.7109375" style="158" customWidth="1"/>
    <col min="10255" max="10497" width="9.140625" style="158"/>
    <col min="10498" max="10498" width="15.7109375" style="158" customWidth="1"/>
    <col min="10499" max="10500" width="10.7109375" style="158" customWidth="1"/>
    <col min="10501" max="10501" width="2.7109375" style="158" customWidth="1"/>
    <col min="10502" max="10503" width="10.7109375" style="158" customWidth="1"/>
    <col min="10504" max="10508" width="9.140625" style="158"/>
    <col min="10509" max="10510" width="10.7109375" style="158" customWidth="1"/>
    <col min="10511" max="10753" width="9.140625" style="158"/>
    <col min="10754" max="10754" width="15.7109375" style="158" customWidth="1"/>
    <col min="10755" max="10756" width="10.7109375" style="158" customWidth="1"/>
    <col min="10757" max="10757" width="2.7109375" style="158" customWidth="1"/>
    <col min="10758" max="10759" width="10.7109375" style="158" customWidth="1"/>
    <col min="10760" max="10764" width="9.140625" style="158"/>
    <col min="10765" max="10766" width="10.7109375" style="158" customWidth="1"/>
    <col min="10767" max="11009" width="9.140625" style="158"/>
    <col min="11010" max="11010" width="15.7109375" style="158" customWidth="1"/>
    <col min="11011" max="11012" width="10.7109375" style="158" customWidth="1"/>
    <col min="11013" max="11013" width="2.7109375" style="158" customWidth="1"/>
    <col min="11014" max="11015" width="10.7109375" style="158" customWidth="1"/>
    <col min="11016" max="11020" width="9.140625" style="158"/>
    <col min="11021" max="11022" width="10.7109375" style="158" customWidth="1"/>
    <col min="11023" max="11265" width="9.140625" style="158"/>
    <col min="11266" max="11266" width="15.7109375" style="158" customWidth="1"/>
    <col min="11267" max="11268" width="10.7109375" style="158" customWidth="1"/>
    <col min="11269" max="11269" width="2.7109375" style="158" customWidth="1"/>
    <col min="11270" max="11271" width="10.7109375" style="158" customWidth="1"/>
    <col min="11272" max="11276" width="9.140625" style="158"/>
    <col min="11277" max="11278" width="10.7109375" style="158" customWidth="1"/>
    <col min="11279" max="11521" width="9.140625" style="158"/>
    <col min="11522" max="11522" width="15.7109375" style="158" customWidth="1"/>
    <col min="11523" max="11524" width="10.7109375" style="158" customWidth="1"/>
    <col min="11525" max="11525" width="2.7109375" style="158" customWidth="1"/>
    <col min="11526" max="11527" width="10.7109375" style="158" customWidth="1"/>
    <col min="11528" max="11532" width="9.140625" style="158"/>
    <col min="11533" max="11534" width="10.7109375" style="158" customWidth="1"/>
    <col min="11535" max="11777" width="9.140625" style="158"/>
    <col min="11778" max="11778" width="15.7109375" style="158" customWidth="1"/>
    <col min="11779" max="11780" width="10.7109375" style="158" customWidth="1"/>
    <col min="11781" max="11781" width="2.7109375" style="158" customWidth="1"/>
    <col min="11782" max="11783" width="10.7109375" style="158" customWidth="1"/>
    <col min="11784" max="11788" width="9.140625" style="158"/>
    <col min="11789" max="11790" width="10.7109375" style="158" customWidth="1"/>
    <col min="11791" max="12033" width="9.140625" style="158"/>
    <col min="12034" max="12034" width="15.7109375" style="158" customWidth="1"/>
    <col min="12035" max="12036" width="10.7109375" style="158" customWidth="1"/>
    <col min="12037" max="12037" width="2.7109375" style="158" customWidth="1"/>
    <col min="12038" max="12039" width="10.7109375" style="158" customWidth="1"/>
    <col min="12040" max="12044" width="9.140625" style="158"/>
    <col min="12045" max="12046" width="10.7109375" style="158" customWidth="1"/>
    <col min="12047" max="12289" width="9.140625" style="158"/>
    <col min="12290" max="12290" width="15.7109375" style="158" customWidth="1"/>
    <col min="12291" max="12292" width="10.7109375" style="158" customWidth="1"/>
    <col min="12293" max="12293" width="2.7109375" style="158" customWidth="1"/>
    <col min="12294" max="12295" width="10.7109375" style="158" customWidth="1"/>
    <col min="12296" max="12300" width="9.140625" style="158"/>
    <col min="12301" max="12302" width="10.7109375" style="158" customWidth="1"/>
    <col min="12303" max="12545" width="9.140625" style="158"/>
    <col min="12546" max="12546" width="15.7109375" style="158" customWidth="1"/>
    <col min="12547" max="12548" width="10.7109375" style="158" customWidth="1"/>
    <col min="12549" max="12549" width="2.7109375" style="158" customWidth="1"/>
    <col min="12550" max="12551" width="10.7109375" style="158" customWidth="1"/>
    <col min="12552" max="12556" width="9.140625" style="158"/>
    <col min="12557" max="12558" width="10.7109375" style="158" customWidth="1"/>
    <col min="12559" max="12801" width="9.140625" style="158"/>
    <col min="12802" max="12802" width="15.7109375" style="158" customWidth="1"/>
    <col min="12803" max="12804" width="10.7109375" style="158" customWidth="1"/>
    <col min="12805" max="12805" width="2.7109375" style="158" customWidth="1"/>
    <col min="12806" max="12807" width="10.7109375" style="158" customWidth="1"/>
    <col min="12808" max="12812" width="9.140625" style="158"/>
    <col min="12813" max="12814" width="10.7109375" style="158" customWidth="1"/>
    <col min="12815" max="13057" width="9.140625" style="158"/>
    <col min="13058" max="13058" width="15.7109375" style="158" customWidth="1"/>
    <col min="13059" max="13060" width="10.7109375" style="158" customWidth="1"/>
    <col min="13061" max="13061" width="2.7109375" style="158" customWidth="1"/>
    <col min="13062" max="13063" width="10.7109375" style="158" customWidth="1"/>
    <col min="13064" max="13068" width="9.140625" style="158"/>
    <col min="13069" max="13070" width="10.7109375" style="158" customWidth="1"/>
    <col min="13071" max="13313" width="9.140625" style="158"/>
    <col min="13314" max="13314" width="15.7109375" style="158" customWidth="1"/>
    <col min="13315" max="13316" width="10.7109375" style="158" customWidth="1"/>
    <col min="13317" max="13317" width="2.7109375" style="158" customWidth="1"/>
    <col min="13318" max="13319" width="10.7109375" style="158" customWidth="1"/>
    <col min="13320" max="13324" width="9.140625" style="158"/>
    <col min="13325" max="13326" width="10.7109375" style="158" customWidth="1"/>
    <col min="13327" max="13569" width="9.140625" style="158"/>
    <col min="13570" max="13570" width="15.7109375" style="158" customWidth="1"/>
    <col min="13571" max="13572" width="10.7109375" style="158" customWidth="1"/>
    <col min="13573" max="13573" width="2.7109375" style="158" customWidth="1"/>
    <col min="13574" max="13575" width="10.7109375" style="158" customWidth="1"/>
    <col min="13576" max="13580" width="9.140625" style="158"/>
    <col min="13581" max="13582" width="10.7109375" style="158" customWidth="1"/>
    <col min="13583" max="13825" width="9.140625" style="158"/>
    <col min="13826" max="13826" width="15.7109375" style="158" customWidth="1"/>
    <col min="13827" max="13828" width="10.7109375" style="158" customWidth="1"/>
    <col min="13829" max="13829" width="2.7109375" style="158" customWidth="1"/>
    <col min="13830" max="13831" width="10.7109375" style="158" customWidth="1"/>
    <col min="13832" max="13836" width="9.140625" style="158"/>
    <col min="13837" max="13838" width="10.7109375" style="158" customWidth="1"/>
    <col min="13839" max="14081" width="9.140625" style="158"/>
    <col min="14082" max="14082" width="15.7109375" style="158" customWidth="1"/>
    <col min="14083" max="14084" width="10.7109375" style="158" customWidth="1"/>
    <col min="14085" max="14085" width="2.7109375" style="158" customWidth="1"/>
    <col min="14086" max="14087" width="10.7109375" style="158" customWidth="1"/>
    <col min="14088" max="14092" width="9.140625" style="158"/>
    <col min="14093" max="14094" width="10.7109375" style="158" customWidth="1"/>
    <col min="14095" max="14337" width="9.140625" style="158"/>
    <col min="14338" max="14338" width="15.7109375" style="158" customWidth="1"/>
    <col min="14339" max="14340" width="10.7109375" style="158" customWidth="1"/>
    <col min="14341" max="14341" width="2.7109375" style="158" customWidth="1"/>
    <col min="14342" max="14343" width="10.7109375" style="158" customWidth="1"/>
    <col min="14344" max="14348" width="9.140625" style="158"/>
    <col min="14349" max="14350" width="10.7109375" style="158" customWidth="1"/>
    <col min="14351" max="14593" width="9.140625" style="158"/>
    <col min="14594" max="14594" width="15.7109375" style="158" customWidth="1"/>
    <col min="14595" max="14596" width="10.7109375" style="158" customWidth="1"/>
    <col min="14597" max="14597" width="2.7109375" style="158" customWidth="1"/>
    <col min="14598" max="14599" width="10.7109375" style="158" customWidth="1"/>
    <col min="14600" max="14604" width="9.140625" style="158"/>
    <col min="14605" max="14606" width="10.7109375" style="158" customWidth="1"/>
    <col min="14607" max="14849" width="9.140625" style="158"/>
    <col min="14850" max="14850" width="15.7109375" style="158" customWidth="1"/>
    <col min="14851" max="14852" width="10.7109375" style="158" customWidth="1"/>
    <col min="14853" max="14853" width="2.7109375" style="158" customWidth="1"/>
    <col min="14854" max="14855" width="10.7109375" style="158" customWidth="1"/>
    <col min="14856" max="14860" width="9.140625" style="158"/>
    <col min="14861" max="14862" width="10.7109375" style="158" customWidth="1"/>
    <col min="14863" max="15105" width="9.140625" style="158"/>
    <col min="15106" max="15106" width="15.7109375" style="158" customWidth="1"/>
    <col min="15107" max="15108" width="10.7109375" style="158" customWidth="1"/>
    <col min="15109" max="15109" width="2.7109375" style="158" customWidth="1"/>
    <col min="15110" max="15111" width="10.7109375" style="158" customWidth="1"/>
    <col min="15112" max="15116" width="9.140625" style="158"/>
    <col min="15117" max="15118" width="10.7109375" style="158" customWidth="1"/>
    <col min="15119" max="15361" width="9.140625" style="158"/>
    <col min="15362" max="15362" width="15.7109375" style="158" customWidth="1"/>
    <col min="15363" max="15364" width="10.7109375" style="158" customWidth="1"/>
    <col min="15365" max="15365" width="2.7109375" style="158" customWidth="1"/>
    <col min="15366" max="15367" width="10.7109375" style="158" customWidth="1"/>
    <col min="15368" max="15372" width="9.140625" style="158"/>
    <col min="15373" max="15374" width="10.7109375" style="158" customWidth="1"/>
    <col min="15375" max="15617" width="9.140625" style="158"/>
    <col min="15618" max="15618" width="15.7109375" style="158" customWidth="1"/>
    <col min="15619" max="15620" width="10.7109375" style="158" customWidth="1"/>
    <col min="15621" max="15621" width="2.7109375" style="158" customWidth="1"/>
    <col min="15622" max="15623" width="10.7109375" style="158" customWidth="1"/>
    <col min="15624" max="15628" width="9.140625" style="158"/>
    <col min="15629" max="15630" width="10.7109375" style="158" customWidth="1"/>
    <col min="15631" max="15873" width="9.140625" style="158"/>
    <col min="15874" max="15874" width="15.7109375" style="158" customWidth="1"/>
    <col min="15875" max="15876" width="10.7109375" style="158" customWidth="1"/>
    <col min="15877" max="15877" width="2.7109375" style="158" customWidth="1"/>
    <col min="15878" max="15879" width="10.7109375" style="158" customWidth="1"/>
    <col min="15880" max="15884" width="9.140625" style="158"/>
    <col min="15885" max="15886" width="10.7109375" style="158" customWidth="1"/>
    <col min="15887" max="16129" width="9.140625" style="158"/>
    <col min="16130" max="16130" width="15.7109375" style="158" customWidth="1"/>
    <col min="16131" max="16132" width="10.7109375" style="158" customWidth="1"/>
    <col min="16133" max="16133" width="2.7109375" style="158" customWidth="1"/>
    <col min="16134" max="16135" width="10.7109375" style="158" customWidth="1"/>
    <col min="16136" max="16140" width="9.140625" style="158"/>
    <col min="16141" max="16142" width="10.7109375" style="158" customWidth="1"/>
    <col min="16143" max="16384" width="9.140625" style="158"/>
  </cols>
  <sheetData>
    <row r="2" spans="2:15" ht="20.25" x14ac:dyDescent="0.3">
      <c r="B2" s="164" t="s">
        <v>502</v>
      </c>
    </row>
    <row r="3" spans="2:15" ht="13.5" thickBot="1" x14ac:dyDescent="0.25"/>
    <row r="4" spans="2:15" ht="15.75" x14ac:dyDescent="0.25">
      <c r="B4" s="346" t="s">
        <v>76</v>
      </c>
      <c r="C4" s="293" t="s">
        <v>473</v>
      </c>
      <c r="D4" s="294" t="s">
        <v>15</v>
      </c>
      <c r="E4" s="295"/>
      <c r="F4" s="293" t="s">
        <v>473</v>
      </c>
      <c r="G4" s="296" t="s">
        <v>15</v>
      </c>
      <c r="I4" s="337" t="s">
        <v>503</v>
      </c>
      <c r="J4" s="347"/>
      <c r="M4" s="348" t="s">
        <v>1</v>
      </c>
      <c r="N4" s="349" t="s">
        <v>15</v>
      </c>
      <c r="O4" s="350" t="s">
        <v>504</v>
      </c>
    </row>
    <row r="5" spans="2:15" x14ac:dyDescent="0.2">
      <c r="B5" s="316"/>
      <c r="C5" s="301" t="s">
        <v>328</v>
      </c>
      <c r="D5" s="302" t="s">
        <v>328</v>
      </c>
      <c r="E5" s="303"/>
      <c r="F5" s="301" t="s">
        <v>3</v>
      </c>
      <c r="G5" s="304" t="s">
        <v>3</v>
      </c>
      <c r="I5" s="305" t="s">
        <v>505</v>
      </c>
      <c r="J5" s="307" t="s">
        <v>477</v>
      </c>
      <c r="M5" s="351" t="s">
        <v>3</v>
      </c>
      <c r="N5" s="352" t="s">
        <v>3</v>
      </c>
      <c r="O5" s="353" t="s">
        <v>506</v>
      </c>
    </row>
    <row r="6" spans="2:15" ht="15.75" x14ac:dyDescent="0.3">
      <c r="B6" s="354" t="s">
        <v>0</v>
      </c>
      <c r="C6" s="355" t="s">
        <v>479</v>
      </c>
      <c r="D6" s="356" t="s">
        <v>480</v>
      </c>
      <c r="E6" s="317"/>
      <c r="F6" s="355" t="s">
        <v>481</v>
      </c>
      <c r="G6" s="357" t="s">
        <v>482</v>
      </c>
      <c r="I6" s="305" t="s">
        <v>483</v>
      </c>
      <c r="J6" s="307" t="s">
        <v>484</v>
      </c>
      <c r="M6" s="351" t="s">
        <v>223</v>
      </c>
      <c r="N6" s="352" t="s">
        <v>223</v>
      </c>
      <c r="O6" s="353" t="s">
        <v>3</v>
      </c>
    </row>
    <row r="7" spans="2:15" x14ac:dyDescent="0.2">
      <c r="B7" s="354"/>
      <c r="C7" s="355"/>
      <c r="D7" s="356"/>
      <c r="E7" s="317"/>
      <c r="F7" s="355"/>
      <c r="G7" s="357"/>
      <c r="I7" s="305"/>
      <c r="J7" s="307"/>
      <c r="M7" s="351"/>
      <c r="N7" s="352"/>
      <c r="O7" s="353"/>
    </row>
    <row r="8" spans="2:15" x14ac:dyDescent="0.2">
      <c r="B8" s="308"/>
      <c r="C8" s="310"/>
      <c r="D8" s="310"/>
      <c r="E8" s="358"/>
      <c r="F8" s="309"/>
      <c r="G8" s="312"/>
      <c r="I8" s="313"/>
      <c r="J8" s="315"/>
      <c r="M8" s="359"/>
      <c r="N8" s="360"/>
      <c r="O8" s="361"/>
    </row>
    <row r="9" spans="2:15" x14ac:dyDescent="0.2">
      <c r="B9" s="316"/>
      <c r="C9" s="317"/>
      <c r="D9" s="317"/>
      <c r="E9" s="317"/>
      <c r="F9" s="318"/>
      <c r="G9" s="319"/>
      <c r="I9" s="320"/>
      <c r="J9" s="322"/>
      <c r="M9" s="167"/>
      <c r="N9" s="191"/>
      <c r="O9" s="362"/>
    </row>
    <row r="10" spans="2:15" x14ac:dyDescent="0.2">
      <c r="B10" s="316"/>
      <c r="C10" s="317"/>
      <c r="D10" s="317"/>
      <c r="E10" s="317"/>
      <c r="F10" s="318"/>
      <c r="G10" s="319"/>
      <c r="I10" s="320"/>
      <c r="J10" s="322"/>
      <c r="M10" s="167"/>
      <c r="N10" s="191"/>
      <c r="O10" s="362"/>
    </row>
    <row r="11" spans="2:15" x14ac:dyDescent="0.2">
      <c r="B11" s="316" t="s">
        <v>485</v>
      </c>
      <c r="C11" s="323">
        <v>0.4</v>
      </c>
      <c r="D11" s="323">
        <v>0.4</v>
      </c>
      <c r="E11" s="317"/>
      <c r="F11" s="324">
        <v>20</v>
      </c>
      <c r="G11" s="325">
        <v>10</v>
      </c>
      <c r="I11" s="326">
        <f>(C11-D11)*((1+G11/100)/(1+G$18/100)-1)</f>
        <v>0</v>
      </c>
      <c r="J11" s="328">
        <f>C11*((1+F11/100)/(1+G11/100)-1)*(1+G11/100)/(1+O$18/100)</f>
        <v>3.8022813688212899E-2</v>
      </c>
      <c r="M11" s="167">
        <f>+C11*F11</f>
        <v>8</v>
      </c>
      <c r="N11" s="191">
        <f>+D11*G11</f>
        <v>4</v>
      </c>
      <c r="O11" s="362">
        <f>+C11*G11</f>
        <v>4</v>
      </c>
    </row>
    <row r="12" spans="2:15" x14ac:dyDescent="0.2">
      <c r="B12" s="316"/>
      <c r="C12" s="323"/>
      <c r="D12" s="323"/>
      <c r="E12" s="317"/>
      <c r="F12" s="324"/>
      <c r="G12" s="325"/>
      <c r="I12" s="320"/>
      <c r="J12" s="328"/>
      <c r="M12" s="167"/>
      <c r="N12" s="191"/>
      <c r="O12" s="362"/>
    </row>
    <row r="13" spans="2:15" x14ac:dyDescent="0.2">
      <c r="B13" s="316" t="s">
        <v>486</v>
      </c>
      <c r="C13" s="323">
        <v>0.3</v>
      </c>
      <c r="D13" s="323">
        <v>0.2</v>
      </c>
      <c r="E13" s="317"/>
      <c r="F13" s="324">
        <v>-5</v>
      </c>
      <c r="G13" s="325">
        <v>-4</v>
      </c>
      <c r="I13" s="326">
        <f>(C13-D13)*((1+G13/100)/(1+G$18/100)-1)</f>
        <v>-9.7744360902255675E-3</v>
      </c>
      <c r="J13" s="328">
        <f>C13*((1+F13/100)/(1+G13/100)-1)*(1+G13/100)/(1+O$18/100)</f>
        <v>-2.8517110266159593E-3</v>
      </c>
      <c r="M13" s="167">
        <f>+C13*F13</f>
        <v>-1.5</v>
      </c>
      <c r="N13" s="191">
        <f>+D13*G13</f>
        <v>-0.8</v>
      </c>
      <c r="O13" s="362">
        <f>+C13*G13</f>
        <v>-1.2</v>
      </c>
    </row>
    <row r="14" spans="2:15" x14ac:dyDescent="0.2">
      <c r="B14" s="316"/>
      <c r="C14" s="323"/>
      <c r="D14" s="323"/>
      <c r="E14" s="317"/>
      <c r="F14" s="324"/>
      <c r="G14" s="325"/>
      <c r="I14" s="320"/>
      <c r="J14" s="328"/>
      <c r="M14" s="167"/>
      <c r="N14" s="191"/>
      <c r="O14" s="362"/>
    </row>
    <row r="15" spans="2:15" x14ac:dyDescent="0.2">
      <c r="B15" s="316" t="s">
        <v>487</v>
      </c>
      <c r="C15" s="323">
        <v>0.3</v>
      </c>
      <c r="D15" s="323">
        <v>0.4</v>
      </c>
      <c r="E15" s="317"/>
      <c r="F15" s="324">
        <v>6</v>
      </c>
      <c r="G15" s="325">
        <v>8</v>
      </c>
      <c r="I15" s="326">
        <f>(C15-D15)*((1+G15/100)/(1+G$18/100)-1)</f>
        <v>-1.5037593984962522E-3</v>
      </c>
      <c r="J15" s="328">
        <f>C15*((1+F15/100)/(1+G15/100)-1)*(1+G15/100)/(1+O$18/100)</f>
        <v>-5.7034220532319307E-3</v>
      </c>
      <c r="M15" s="167">
        <f>+C15*F15</f>
        <v>1.7999999999999998</v>
      </c>
      <c r="N15" s="191">
        <f>+D15*G15</f>
        <v>3.2</v>
      </c>
      <c r="O15" s="362">
        <f>+C15*G15</f>
        <v>2.4</v>
      </c>
    </row>
    <row r="16" spans="2:15" x14ac:dyDescent="0.2">
      <c r="B16" s="316"/>
      <c r="C16" s="323"/>
      <c r="D16" s="323"/>
      <c r="E16" s="317"/>
      <c r="F16" s="318"/>
      <c r="G16" s="319"/>
      <c r="I16" s="320"/>
      <c r="J16" s="328"/>
      <c r="M16" s="167"/>
      <c r="N16" s="191"/>
      <c r="O16" s="362"/>
    </row>
    <row r="17" spans="2:15" x14ac:dyDescent="0.2">
      <c r="B17" s="316"/>
      <c r="C17" s="323"/>
      <c r="D17" s="323"/>
      <c r="E17" s="317"/>
      <c r="F17" s="318"/>
      <c r="G17" s="319"/>
      <c r="I17" s="320"/>
      <c r="J17" s="328"/>
      <c r="M17" s="167"/>
      <c r="N17" s="191"/>
      <c r="O17" s="362"/>
    </row>
    <row r="18" spans="2:15" ht="13.5" thickBot="1" x14ac:dyDescent="0.25">
      <c r="B18" s="329" t="s">
        <v>16</v>
      </c>
      <c r="C18" s="330">
        <f>SUM(C11:C15)</f>
        <v>1</v>
      </c>
      <c r="D18" s="330">
        <f>SUM(D11:D15)</f>
        <v>1</v>
      </c>
      <c r="E18" s="331"/>
      <c r="F18" s="332">
        <f>+M18</f>
        <v>8.3000000000000007</v>
      </c>
      <c r="G18" s="333">
        <f>+N18</f>
        <v>6.4</v>
      </c>
      <c r="H18" s="171"/>
      <c r="I18" s="334">
        <f>SUM(I11:I15)</f>
        <v>-1.1278195488721819E-2</v>
      </c>
      <c r="J18" s="336">
        <f>SUM(J11:J15)</f>
        <v>2.9467680608365007E-2</v>
      </c>
      <c r="M18" s="363">
        <f>SUM(M11:M15)</f>
        <v>8.3000000000000007</v>
      </c>
      <c r="N18" s="364">
        <f>SUM(N11:N15)</f>
        <v>6.4</v>
      </c>
      <c r="O18" s="365">
        <f>SUM(O11:O15)</f>
        <v>5.1999999999999993</v>
      </c>
    </row>
    <row r="20" spans="2:15" ht="13.5" thickBot="1" x14ac:dyDescent="0.25">
      <c r="M20" s="158" t="s">
        <v>0</v>
      </c>
    </row>
    <row r="21" spans="2:15" ht="15.75" x14ac:dyDescent="0.25">
      <c r="I21" s="337" t="s">
        <v>507</v>
      </c>
      <c r="J21" s="366"/>
      <c r="K21" s="339">
        <f>(1+F18/100)/(1+G18/100)-1</f>
        <v>1.7857142857142794E-2</v>
      </c>
    </row>
    <row r="22" spans="2:15" ht="13.5" thickBot="1" x14ac:dyDescent="0.25">
      <c r="I22" s="320"/>
      <c r="J22" s="321"/>
      <c r="K22" s="367"/>
      <c r="M22" s="158" t="s">
        <v>223</v>
      </c>
    </row>
    <row r="23" spans="2:15" x14ac:dyDescent="0.2">
      <c r="I23" s="320" t="s">
        <v>508</v>
      </c>
      <c r="J23" s="321"/>
      <c r="K23" s="340">
        <f>+I18</f>
        <v>-1.1278195488721819E-2</v>
      </c>
      <c r="M23" s="368">
        <f>+(1+O18/100)/(1+G18/100)-1</f>
        <v>-1.1278195488721776E-2</v>
      </c>
    </row>
    <row r="24" spans="2:15" ht="13.5" thickBot="1" x14ac:dyDescent="0.25">
      <c r="I24" s="320" t="s">
        <v>509</v>
      </c>
      <c r="J24" s="321"/>
      <c r="K24" s="340">
        <f>+J18</f>
        <v>2.9467680608365007E-2</v>
      </c>
      <c r="M24" s="369">
        <f>+(1+F18/100)/(1+O18/100)-1</f>
        <v>2.946768060836491E-2</v>
      </c>
    </row>
    <row r="25" spans="2:15" x14ac:dyDescent="0.2">
      <c r="I25" s="320" t="s">
        <v>0</v>
      </c>
      <c r="J25" s="321"/>
      <c r="K25" s="340" t="s">
        <v>0</v>
      </c>
    </row>
    <row r="26" spans="2:15" ht="13.5" thickBot="1" x14ac:dyDescent="0.25">
      <c r="I26" s="341" t="s">
        <v>141</v>
      </c>
      <c r="J26" s="342"/>
      <c r="K26" s="343">
        <f>(1+K21)/((1+K23)*(1+K24))-1</f>
        <v>0</v>
      </c>
    </row>
  </sheetData>
  <pageMargins left="0.75" right="0.75" top="1" bottom="1" header="0.5" footer="0.5"/>
  <pageSetup paperSize="9"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1505" r:id="rId4">
          <objectPr defaultSize="0" autoPict="0" r:id="rId5">
            <anchor moveWithCells="1" sizeWithCells="1">
              <from>
                <xdr:col>14</xdr:col>
                <xdr:colOff>219075</xdr:colOff>
                <xdr:row>6</xdr:row>
                <xdr:rowOff>38100</xdr:rowOff>
              </from>
              <to>
                <xdr:col>14</xdr:col>
                <xdr:colOff>400050</xdr:colOff>
                <xdr:row>7</xdr:row>
                <xdr:rowOff>104775</xdr:rowOff>
              </to>
            </anchor>
          </objectPr>
        </oleObject>
      </mc:Choice>
      <mc:Fallback>
        <oleObject progId="Equation.3" shapeId="21505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E1FE-DD75-4DE8-8F88-B96DF0166A94}">
  <dimension ref="B1:O97"/>
  <sheetViews>
    <sheetView topLeftCell="A45" workbookViewId="0">
      <selection activeCell="F84" sqref="F84"/>
    </sheetView>
  </sheetViews>
  <sheetFormatPr defaultRowHeight="12.75" x14ac:dyDescent="0.2"/>
  <cols>
    <col min="1" max="1" width="9.140625" style="158"/>
    <col min="2" max="2" width="15.7109375" style="158" customWidth="1"/>
    <col min="3" max="4" width="10.7109375" style="158" customWidth="1"/>
    <col min="5" max="5" width="2.7109375" style="158" customWidth="1"/>
    <col min="6" max="7" width="10.7109375" style="158" customWidth="1"/>
    <col min="8" max="8" width="9.140625" style="158"/>
    <col min="9" max="10" width="10.7109375" style="158" customWidth="1"/>
    <col min="11" max="12" width="9.140625" style="158"/>
    <col min="13" max="15" width="10.7109375" style="158" customWidth="1"/>
    <col min="16" max="257" width="9.140625" style="158"/>
    <col min="258" max="258" width="15.7109375" style="158" customWidth="1"/>
    <col min="259" max="260" width="10.7109375" style="158" customWidth="1"/>
    <col min="261" max="261" width="2.7109375" style="158" customWidth="1"/>
    <col min="262" max="263" width="10.7109375" style="158" customWidth="1"/>
    <col min="264" max="264" width="9.140625" style="158"/>
    <col min="265" max="266" width="10.7109375" style="158" customWidth="1"/>
    <col min="267" max="268" width="9.140625" style="158"/>
    <col min="269" max="271" width="10.7109375" style="158" customWidth="1"/>
    <col min="272" max="513" width="9.140625" style="158"/>
    <col min="514" max="514" width="15.7109375" style="158" customWidth="1"/>
    <col min="515" max="516" width="10.7109375" style="158" customWidth="1"/>
    <col min="517" max="517" width="2.7109375" style="158" customWidth="1"/>
    <col min="518" max="519" width="10.7109375" style="158" customWidth="1"/>
    <col min="520" max="520" width="9.140625" style="158"/>
    <col min="521" max="522" width="10.7109375" style="158" customWidth="1"/>
    <col min="523" max="524" width="9.140625" style="158"/>
    <col min="525" max="527" width="10.7109375" style="158" customWidth="1"/>
    <col min="528" max="769" width="9.140625" style="158"/>
    <col min="770" max="770" width="15.7109375" style="158" customWidth="1"/>
    <col min="771" max="772" width="10.7109375" style="158" customWidth="1"/>
    <col min="773" max="773" width="2.7109375" style="158" customWidth="1"/>
    <col min="774" max="775" width="10.7109375" style="158" customWidth="1"/>
    <col min="776" max="776" width="9.140625" style="158"/>
    <col min="777" max="778" width="10.7109375" style="158" customWidth="1"/>
    <col min="779" max="780" width="9.140625" style="158"/>
    <col min="781" max="783" width="10.7109375" style="158" customWidth="1"/>
    <col min="784" max="1025" width="9.140625" style="158"/>
    <col min="1026" max="1026" width="15.7109375" style="158" customWidth="1"/>
    <col min="1027" max="1028" width="10.7109375" style="158" customWidth="1"/>
    <col min="1029" max="1029" width="2.7109375" style="158" customWidth="1"/>
    <col min="1030" max="1031" width="10.7109375" style="158" customWidth="1"/>
    <col min="1032" max="1032" width="9.140625" style="158"/>
    <col min="1033" max="1034" width="10.7109375" style="158" customWidth="1"/>
    <col min="1035" max="1036" width="9.140625" style="158"/>
    <col min="1037" max="1039" width="10.7109375" style="158" customWidth="1"/>
    <col min="1040" max="1281" width="9.140625" style="158"/>
    <col min="1282" max="1282" width="15.7109375" style="158" customWidth="1"/>
    <col min="1283" max="1284" width="10.7109375" style="158" customWidth="1"/>
    <col min="1285" max="1285" width="2.7109375" style="158" customWidth="1"/>
    <col min="1286" max="1287" width="10.7109375" style="158" customWidth="1"/>
    <col min="1288" max="1288" width="9.140625" style="158"/>
    <col min="1289" max="1290" width="10.7109375" style="158" customWidth="1"/>
    <col min="1291" max="1292" width="9.140625" style="158"/>
    <col min="1293" max="1295" width="10.7109375" style="158" customWidth="1"/>
    <col min="1296" max="1537" width="9.140625" style="158"/>
    <col min="1538" max="1538" width="15.7109375" style="158" customWidth="1"/>
    <col min="1539" max="1540" width="10.7109375" style="158" customWidth="1"/>
    <col min="1541" max="1541" width="2.7109375" style="158" customWidth="1"/>
    <col min="1542" max="1543" width="10.7109375" style="158" customWidth="1"/>
    <col min="1544" max="1544" width="9.140625" style="158"/>
    <col min="1545" max="1546" width="10.7109375" style="158" customWidth="1"/>
    <col min="1547" max="1548" width="9.140625" style="158"/>
    <col min="1549" max="1551" width="10.7109375" style="158" customWidth="1"/>
    <col min="1552" max="1793" width="9.140625" style="158"/>
    <col min="1794" max="1794" width="15.7109375" style="158" customWidth="1"/>
    <col min="1795" max="1796" width="10.7109375" style="158" customWidth="1"/>
    <col min="1797" max="1797" width="2.7109375" style="158" customWidth="1"/>
    <col min="1798" max="1799" width="10.7109375" style="158" customWidth="1"/>
    <col min="1800" max="1800" width="9.140625" style="158"/>
    <col min="1801" max="1802" width="10.7109375" style="158" customWidth="1"/>
    <col min="1803" max="1804" width="9.140625" style="158"/>
    <col min="1805" max="1807" width="10.7109375" style="158" customWidth="1"/>
    <col min="1808" max="2049" width="9.140625" style="158"/>
    <col min="2050" max="2050" width="15.7109375" style="158" customWidth="1"/>
    <col min="2051" max="2052" width="10.7109375" style="158" customWidth="1"/>
    <col min="2053" max="2053" width="2.7109375" style="158" customWidth="1"/>
    <col min="2054" max="2055" width="10.7109375" style="158" customWidth="1"/>
    <col min="2056" max="2056" width="9.140625" style="158"/>
    <col min="2057" max="2058" width="10.7109375" style="158" customWidth="1"/>
    <col min="2059" max="2060" width="9.140625" style="158"/>
    <col min="2061" max="2063" width="10.7109375" style="158" customWidth="1"/>
    <col min="2064" max="2305" width="9.140625" style="158"/>
    <col min="2306" max="2306" width="15.7109375" style="158" customWidth="1"/>
    <col min="2307" max="2308" width="10.7109375" style="158" customWidth="1"/>
    <col min="2309" max="2309" width="2.7109375" style="158" customWidth="1"/>
    <col min="2310" max="2311" width="10.7109375" style="158" customWidth="1"/>
    <col min="2312" max="2312" width="9.140625" style="158"/>
    <col min="2313" max="2314" width="10.7109375" style="158" customWidth="1"/>
    <col min="2315" max="2316" width="9.140625" style="158"/>
    <col min="2317" max="2319" width="10.7109375" style="158" customWidth="1"/>
    <col min="2320" max="2561" width="9.140625" style="158"/>
    <col min="2562" max="2562" width="15.7109375" style="158" customWidth="1"/>
    <col min="2563" max="2564" width="10.7109375" style="158" customWidth="1"/>
    <col min="2565" max="2565" width="2.7109375" style="158" customWidth="1"/>
    <col min="2566" max="2567" width="10.7109375" style="158" customWidth="1"/>
    <col min="2568" max="2568" width="9.140625" style="158"/>
    <col min="2569" max="2570" width="10.7109375" style="158" customWidth="1"/>
    <col min="2571" max="2572" width="9.140625" style="158"/>
    <col min="2573" max="2575" width="10.7109375" style="158" customWidth="1"/>
    <col min="2576" max="2817" width="9.140625" style="158"/>
    <col min="2818" max="2818" width="15.7109375" style="158" customWidth="1"/>
    <col min="2819" max="2820" width="10.7109375" style="158" customWidth="1"/>
    <col min="2821" max="2821" width="2.7109375" style="158" customWidth="1"/>
    <col min="2822" max="2823" width="10.7109375" style="158" customWidth="1"/>
    <col min="2824" max="2824" width="9.140625" style="158"/>
    <col min="2825" max="2826" width="10.7109375" style="158" customWidth="1"/>
    <col min="2827" max="2828" width="9.140625" style="158"/>
    <col min="2829" max="2831" width="10.7109375" style="158" customWidth="1"/>
    <col min="2832" max="3073" width="9.140625" style="158"/>
    <col min="3074" max="3074" width="15.7109375" style="158" customWidth="1"/>
    <col min="3075" max="3076" width="10.7109375" style="158" customWidth="1"/>
    <col min="3077" max="3077" width="2.7109375" style="158" customWidth="1"/>
    <col min="3078" max="3079" width="10.7109375" style="158" customWidth="1"/>
    <col min="3080" max="3080" width="9.140625" style="158"/>
    <col min="3081" max="3082" width="10.7109375" style="158" customWidth="1"/>
    <col min="3083" max="3084" width="9.140625" style="158"/>
    <col min="3085" max="3087" width="10.7109375" style="158" customWidth="1"/>
    <col min="3088" max="3329" width="9.140625" style="158"/>
    <col min="3330" max="3330" width="15.7109375" style="158" customWidth="1"/>
    <col min="3331" max="3332" width="10.7109375" style="158" customWidth="1"/>
    <col min="3333" max="3333" width="2.7109375" style="158" customWidth="1"/>
    <col min="3334" max="3335" width="10.7109375" style="158" customWidth="1"/>
    <col min="3336" max="3336" width="9.140625" style="158"/>
    <col min="3337" max="3338" width="10.7109375" style="158" customWidth="1"/>
    <col min="3339" max="3340" width="9.140625" style="158"/>
    <col min="3341" max="3343" width="10.7109375" style="158" customWidth="1"/>
    <col min="3344" max="3585" width="9.140625" style="158"/>
    <col min="3586" max="3586" width="15.7109375" style="158" customWidth="1"/>
    <col min="3587" max="3588" width="10.7109375" style="158" customWidth="1"/>
    <col min="3589" max="3589" width="2.7109375" style="158" customWidth="1"/>
    <col min="3590" max="3591" width="10.7109375" style="158" customWidth="1"/>
    <col min="3592" max="3592" width="9.140625" style="158"/>
    <col min="3593" max="3594" width="10.7109375" style="158" customWidth="1"/>
    <col min="3595" max="3596" width="9.140625" style="158"/>
    <col min="3597" max="3599" width="10.7109375" style="158" customWidth="1"/>
    <col min="3600" max="3841" width="9.140625" style="158"/>
    <col min="3842" max="3842" width="15.7109375" style="158" customWidth="1"/>
    <col min="3843" max="3844" width="10.7109375" style="158" customWidth="1"/>
    <col min="3845" max="3845" width="2.7109375" style="158" customWidth="1"/>
    <col min="3846" max="3847" width="10.7109375" style="158" customWidth="1"/>
    <col min="3848" max="3848" width="9.140625" style="158"/>
    <col min="3849" max="3850" width="10.7109375" style="158" customWidth="1"/>
    <col min="3851" max="3852" width="9.140625" style="158"/>
    <col min="3853" max="3855" width="10.7109375" style="158" customWidth="1"/>
    <col min="3856" max="4097" width="9.140625" style="158"/>
    <col min="4098" max="4098" width="15.7109375" style="158" customWidth="1"/>
    <col min="4099" max="4100" width="10.7109375" style="158" customWidth="1"/>
    <col min="4101" max="4101" width="2.7109375" style="158" customWidth="1"/>
    <col min="4102" max="4103" width="10.7109375" style="158" customWidth="1"/>
    <col min="4104" max="4104" width="9.140625" style="158"/>
    <col min="4105" max="4106" width="10.7109375" style="158" customWidth="1"/>
    <col min="4107" max="4108" width="9.140625" style="158"/>
    <col min="4109" max="4111" width="10.7109375" style="158" customWidth="1"/>
    <col min="4112" max="4353" width="9.140625" style="158"/>
    <col min="4354" max="4354" width="15.7109375" style="158" customWidth="1"/>
    <col min="4355" max="4356" width="10.7109375" style="158" customWidth="1"/>
    <col min="4357" max="4357" width="2.7109375" style="158" customWidth="1"/>
    <col min="4358" max="4359" width="10.7109375" style="158" customWidth="1"/>
    <col min="4360" max="4360" width="9.140625" style="158"/>
    <col min="4361" max="4362" width="10.7109375" style="158" customWidth="1"/>
    <col min="4363" max="4364" width="9.140625" style="158"/>
    <col min="4365" max="4367" width="10.7109375" style="158" customWidth="1"/>
    <col min="4368" max="4609" width="9.140625" style="158"/>
    <col min="4610" max="4610" width="15.7109375" style="158" customWidth="1"/>
    <col min="4611" max="4612" width="10.7109375" style="158" customWidth="1"/>
    <col min="4613" max="4613" width="2.7109375" style="158" customWidth="1"/>
    <col min="4614" max="4615" width="10.7109375" style="158" customWidth="1"/>
    <col min="4616" max="4616" width="9.140625" style="158"/>
    <col min="4617" max="4618" width="10.7109375" style="158" customWidth="1"/>
    <col min="4619" max="4620" width="9.140625" style="158"/>
    <col min="4621" max="4623" width="10.7109375" style="158" customWidth="1"/>
    <col min="4624" max="4865" width="9.140625" style="158"/>
    <col min="4866" max="4866" width="15.7109375" style="158" customWidth="1"/>
    <col min="4867" max="4868" width="10.7109375" style="158" customWidth="1"/>
    <col min="4869" max="4869" width="2.7109375" style="158" customWidth="1"/>
    <col min="4870" max="4871" width="10.7109375" style="158" customWidth="1"/>
    <col min="4872" max="4872" width="9.140625" style="158"/>
    <col min="4873" max="4874" width="10.7109375" style="158" customWidth="1"/>
    <col min="4875" max="4876" width="9.140625" style="158"/>
    <col min="4877" max="4879" width="10.7109375" style="158" customWidth="1"/>
    <col min="4880" max="5121" width="9.140625" style="158"/>
    <col min="5122" max="5122" width="15.7109375" style="158" customWidth="1"/>
    <col min="5123" max="5124" width="10.7109375" style="158" customWidth="1"/>
    <col min="5125" max="5125" width="2.7109375" style="158" customWidth="1"/>
    <col min="5126" max="5127" width="10.7109375" style="158" customWidth="1"/>
    <col min="5128" max="5128" width="9.140625" style="158"/>
    <col min="5129" max="5130" width="10.7109375" style="158" customWidth="1"/>
    <col min="5131" max="5132" width="9.140625" style="158"/>
    <col min="5133" max="5135" width="10.7109375" style="158" customWidth="1"/>
    <col min="5136" max="5377" width="9.140625" style="158"/>
    <col min="5378" max="5378" width="15.7109375" style="158" customWidth="1"/>
    <col min="5379" max="5380" width="10.7109375" style="158" customWidth="1"/>
    <col min="5381" max="5381" width="2.7109375" style="158" customWidth="1"/>
    <col min="5382" max="5383" width="10.7109375" style="158" customWidth="1"/>
    <col min="5384" max="5384" width="9.140625" style="158"/>
    <col min="5385" max="5386" width="10.7109375" style="158" customWidth="1"/>
    <col min="5387" max="5388" width="9.140625" style="158"/>
    <col min="5389" max="5391" width="10.7109375" style="158" customWidth="1"/>
    <col min="5392" max="5633" width="9.140625" style="158"/>
    <col min="5634" max="5634" width="15.7109375" style="158" customWidth="1"/>
    <col min="5635" max="5636" width="10.7109375" style="158" customWidth="1"/>
    <col min="5637" max="5637" width="2.7109375" style="158" customWidth="1"/>
    <col min="5638" max="5639" width="10.7109375" style="158" customWidth="1"/>
    <col min="5640" max="5640" width="9.140625" style="158"/>
    <col min="5641" max="5642" width="10.7109375" style="158" customWidth="1"/>
    <col min="5643" max="5644" width="9.140625" style="158"/>
    <col min="5645" max="5647" width="10.7109375" style="158" customWidth="1"/>
    <col min="5648" max="5889" width="9.140625" style="158"/>
    <col min="5890" max="5890" width="15.7109375" style="158" customWidth="1"/>
    <col min="5891" max="5892" width="10.7109375" style="158" customWidth="1"/>
    <col min="5893" max="5893" width="2.7109375" style="158" customWidth="1"/>
    <col min="5894" max="5895" width="10.7109375" style="158" customWidth="1"/>
    <col min="5896" max="5896" width="9.140625" style="158"/>
    <col min="5897" max="5898" width="10.7109375" style="158" customWidth="1"/>
    <col min="5899" max="5900" width="9.140625" style="158"/>
    <col min="5901" max="5903" width="10.7109375" style="158" customWidth="1"/>
    <col min="5904" max="6145" width="9.140625" style="158"/>
    <col min="6146" max="6146" width="15.7109375" style="158" customWidth="1"/>
    <col min="6147" max="6148" width="10.7109375" style="158" customWidth="1"/>
    <col min="6149" max="6149" width="2.7109375" style="158" customWidth="1"/>
    <col min="6150" max="6151" width="10.7109375" style="158" customWidth="1"/>
    <col min="6152" max="6152" width="9.140625" style="158"/>
    <col min="6153" max="6154" width="10.7109375" style="158" customWidth="1"/>
    <col min="6155" max="6156" width="9.140625" style="158"/>
    <col min="6157" max="6159" width="10.7109375" style="158" customWidth="1"/>
    <col min="6160" max="6401" width="9.140625" style="158"/>
    <col min="6402" max="6402" width="15.7109375" style="158" customWidth="1"/>
    <col min="6403" max="6404" width="10.7109375" style="158" customWidth="1"/>
    <col min="6405" max="6405" width="2.7109375" style="158" customWidth="1"/>
    <col min="6406" max="6407" width="10.7109375" style="158" customWidth="1"/>
    <col min="6408" max="6408" width="9.140625" style="158"/>
    <col min="6409" max="6410" width="10.7109375" style="158" customWidth="1"/>
    <col min="6411" max="6412" width="9.140625" style="158"/>
    <col min="6413" max="6415" width="10.7109375" style="158" customWidth="1"/>
    <col min="6416" max="6657" width="9.140625" style="158"/>
    <col min="6658" max="6658" width="15.7109375" style="158" customWidth="1"/>
    <col min="6659" max="6660" width="10.7109375" style="158" customWidth="1"/>
    <col min="6661" max="6661" width="2.7109375" style="158" customWidth="1"/>
    <col min="6662" max="6663" width="10.7109375" style="158" customWidth="1"/>
    <col min="6664" max="6664" width="9.140625" style="158"/>
    <col min="6665" max="6666" width="10.7109375" style="158" customWidth="1"/>
    <col min="6667" max="6668" width="9.140625" style="158"/>
    <col min="6669" max="6671" width="10.7109375" style="158" customWidth="1"/>
    <col min="6672" max="6913" width="9.140625" style="158"/>
    <col min="6914" max="6914" width="15.7109375" style="158" customWidth="1"/>
    <col min="6915" max="6916" width="10.7109375" style="158" customWidth="1"/>
    <col min="6917" max="6917" width="2.7109375" style="158" customWidth="1"/>
    <col min="6918" max="6919" width="10.7109375" style="158" customWidth="1"/>
    <col min="6920" max="6920" width="9.140625" style="158"/>
    <col min="6921" max="6922" width="10.7109375" style="158" customWidth="1"/>
    <col min="6923" max="6924" width="9.140625" style="158"/>
    <col min="6925" max="6927" width="10.7109375" style="158" customWidth="1"/>
    <col min="6928" max="7169" width="9.140625" style="158"/>
    <col min="7170" max="7170" width="15.7109375" style="158" customWidth="1"/>
    <col min="7171" max="7172" width="10.7109375" style="158" customWidth="1"/>
    <col min="7173" max="7173" width="2.7109375" style="158" customWidth="1"/>
    <col min="7174" max="7175" width="10.7109375" style="158" customWidth="1"/>
    <col min="7176" max="7176" width="9.140625" style="158"/>
    <col min="7177" max="7178" width="10.7109375" style="158" customWidth="1"/>
    <col min="7179" max="7180" width="9.140625" style="158"/>
    <col min="7181" max="7183" width="10.7109375" style="158" customWidth="1"/>
    <col min="7184" max="7425" width="9.140625" style="158"/>
    <col min="7426" max="7426" width="15.7109375" style="158" customWidth="1"/>
    <col min="7427" max="7428" width="10.7109375" style="158" customWidth="1"/>
    <col min="7429" max="7429" width="2.7109375" style="158" customWidth="1"/>
    <col min="7430" max="7431" width="10.7109375" style="158" customWidth="1"/>
    <col min="7432" max="7432" width="9.140625" style="158"/>
    <col min="7433" max="7434" width="10.7109375" style="158" customWidth="1"/>
    <col min="7435" max="7436" width="9.140625" style="158"/>
    <col min="7437" max="7439" width="10.7109375" style="158" customWidth="1"/>
    <col min="7440" max="7681" width="9.140625" style="158"/>
    <col min="7682" max="7682" width="15.7109375" style="158" customWidth="1"/>
    <col min="7683" max="7684" width="10.7109375" style="158" customWidth="1"/>
    <col min="7685" max="7685" width="2.7109375" style="158" customWidth="1"/>
    <col min="7686" max="7687" width="10.7109375" style="158" customWidth="1"/>
    <col min="7688" max="7688" width="9.140625" style="158"/>
    <col min="7689" max="7690" width="10.7109375" style="158" customWidth="1"/>
    <col min="7691" max="7692" width="9.140625" style="158"/>
    <col min="7693" max="7695" width="10.7109375" style="158" customWidth="1"/>
    <col min="7696" max="7937" width="9.140625" style="158"/>
    <col min="7938" max="7938" width="15.7109375" style="158" customWidth="1"/>
    <col min="7939" max="7940" width="10.7109375" style="158" customWidth="1"/>
    <col min="7941" max="7941" width="2.7109375" style="158" customWidth="1"/>
    <col min="7942" max="7943" width="10.7109375" style="158" customWidth="1"/>
    <col min="7944" max="7944" width="9.140625" style="158"/>
    <col min="7945" max="7946" width="10.7109375" style="158" customWidth="1"/>
    <col min="7947" max="7948" width="9.140625" style="158"/>
    <col min="7949" max="7951" width="10.7109375" style="158" customWidth="1"/>
    <col min="7952" max="8193" width="9.140625" style="158"/>
    <col min="8194" max="8194" width="15.7109375" style="158" customWidth="1"/>
    <col min="8195" max="8196" width="10.7109375" style="158" customWidth="1"/>
    <col min="8197" max="8197" width="2.7109375" style="158" customWidth="1"/>
    <col min="8198" max="8199" width="10.7109375" style="158" customWidth="1"/>
    <col min="8200" max="8200" width="9.140625" style="158"/>
    <col min="8201" max="8202" width="10.7109375" style="158" customWidth="1"/>
    <col min="8203" max="8204" width="9.140625" style="158"/>
    <col min="8205" max="8207" width="10.7109375" style="158" customWidth="1"/>
    <col min="8208" max="8449" width="9.140625" style="158"/>
    <col min="8450" max="8450" width="15.7109375" style="158" customWidth="1"/>
    <col min="8451" max="8452" width="10.7109375" style="158" customWidth="1"/>
    <col min="8453" max="8453" width="2.7109375" style="158" customWidth="1"/>
    <col min="8454" max="8455" width="10.7109375" style="158" customWidth="1"/>
    <col min="8456" max="8456" width="9.140625" style="158"/>
    <col min="8457" max="8458" width="10.7109375" style="158" customWidth="1"/>
    <col min="8459" max="8460" width="9.140625" style="158"/>
    <col min="8461" max="8463" width="10.7109375" style="158" customWidth="1"/>
    <col min="8464" max="8705" width="9.140625" style="158"/>
    <col min="8706" max="8706" width="15.7109375" style="158" customWidth="1"/>
    <col min="8707" max="8708" width="10.7109375" style="158" customWidth="1"/>
    <col min="8709" max="8709" width="2.7109375" style="158" customWidth="1"/>
    <col min="8710" max="8711" width="10.7109375" style="158" customWidth="1"/>
    <col min="8712" max="8712" width="9.140625" style="158"/>
    <col min="8713" max="8714" width="10.7109375" style="158" customWidth="1"/>
    <col min="8715" max="8716" width="9.140625" style="158"/>
    <col min="8717" max="8719" width="10.7109375" style="158" customWidth="1"/>
    <col min="8720" max="8961" width="9.140625" style="158"/>
    <col min="8962" max="8962" width="15.7109375" style="158" customWidth="1"/>
    <col min="8963" max="8964" width="10.7109375" style="158" customWidth="1"/>
    <col min="8965" max="8965" width="2.7109375" style="158" customWidth="1"/>
    <col min="8966" max="8967" width="10.7109375" style="158" customWidth="1"/>
    <col min="8968" max="8968" width="9.140625" style="158"/>
    <col min="8969" max="8970" width="10.7109375" style="158" customWidth="1"/>
    <col min="8971" max="8972" width="9.140625" style="158"/>
    <col min="8973" max="8975" width="10.7109375" style="158" customWidth="1"/>
    <col min="8976" max="9217" width="9.140625" style="158"/>
    <col min="9218" max="9218" width="15.7109375" style="158" customWidth="1"/>
    <col min="9219" max="9220" width="10.7109375" style="158" customWidth="1"/>
    <col min="9221" max="9221" width="2.7109375" style="158" customWidth="1"/>
    <col min="9222" max="9223" width="10.7109375" style="158" customWidth="1"/>
    <col min="9224" max="9224" width="9.140625" style="158"/>
    <col min="9225" max="9226" width="10.7109375" style="158" customWidth="1"/>
    <col min="9227" max="9228" width="9.140625" style="158"/>
    <col min="9229" max="9231" width="10.7109375" style="158" customWidth="1"/>
    <col min="9232" max="9473" width="9.140625" style="158"/>
    <col min="9474" max="9474" width="15.7109375" style="158" customWidth="1"/>
    <col min="9475" max="9476" width="10.7109375" style="158" customWidth="1"/>
    <col min="9477" max="9477" width="2.7109375" style="158" customWidth="1"/>
    <col min="9478" max="9479" width="10.7109375" style="158" customWidth="1"/>
    <col min="9480" max="9480" width="9.140625" style="158"/>
    <col min="9481" max="9482" width="10.7109375" style="158" customWidth="1"/>
    <col min="9483" max="9484" width="9.140625" style="158"/>
    <col min="9485" max="9487" width="10.7109375" style="158" customWidth="1"/>
    <col min="9488" max="9729" width="9.140625" style="158"/>
    <col min="9730" max="9730" width="15.7109375" style="158" customWidth="1"/>
    <col min="9731" max="9732" width="10.7109375" style="158" customWidth="1"/>
    <col min="9733" max="9733" width="2.7109375" style="158" customWidth="1"/>
    <col min="9734" max="9735" width="10.7109375" style="158" customWidth="1"/>
    <col min="9736" max="9736" width="9.140625" style="158"/>
    <col min="9737" max="9738" width="10.7109375" style="158" customWidth="1"/>
    <col min="9739" max="9740" width="9.140625" style="158"/>
    <col min="9741" max="9743" width="10.7109375" style="158" customWidth="1"/>
    <col min="9744" max="9985" width="9.140625" style="158"/>
    <col min="9986" max="9986" width="15.7109375" style="158" customWidth="1"/>
    <col min="9987" max="9988" width="10.7109375" style="158" customWidth="1"/>
    <col min="9989" max="9989" width="2.7109375" style="158" customWidth="1"/>
    <col min="9990" max="9991" width="10.7109375" style="158" customWidth="1"/>
    <col min="9992" max="9992" width="9.140625" style="158"/>
    <col min="9993" max="9994" width="10.7109375" style="158" customWidth="1"/>
    <col min="9995" max="9996" width="9.140625" style="158"/>
    <col min="9997" max="9999" width="10.7109375" style="158" customWidth="1"/>
    <col min="10000" max="10241" width="9.140625" style="158"/>
    <col min="10242" max="10242" width="15.7109375" style="158" customWidth="1"/>
    <col min="10243" max="10244" width="10.7109375" style="158" customWidth="1"/>
    <col min="10245" max="10245" width="2.7109375" style="158" customWidth="1"/>
    <col min="10246" max="10247" width="10.7109375" style="158" customWidth="1"/>
    <col min="10248" max="10248" width="9.140625" style="158"/>
    <col min="10249" max="10250" width="10.7109375" style="158" customWidth="1"/>
    <col min="10251" max="10252" width="9.140625" style="158"/>
    <col min="10253" max="10255" width="10.7109375" style="158" customWidth="1"/>
    <col min="10256" max="10497" width="9.140625" style="158"/>
    <col min="10498" max="10498" width="15.7109375" style="158" customWidth="1"/>
    <col min="10499" max="10500" width="10.7109375" style="158" customWidth="1"/>
    <col min="10501" max="10501" width="2.7109375" style="158" customWidth="1"/>
    <col min="10502" max="10503" width="10.7109375" style="158" customWidth="1"/>
    <col min="10504" max="10504" width="9.140625" style="158"/>
    <col min="10505" max="10506" width="10.7109375" style="158" customWidth="1"/>
    <col min="10507" max="10508" width="9.140625" style="158"/>
    <col min="10509" max="10511" width="10.7109375" style="158" customWidth="1"/>
    <col min="10512" max="10753" width="9.140625" style="158"/>
    <col min="10754" max="10754" width="15.7109375" style="158" customWidth="1"/>
    <col min="10755" max="10756" width="10.7109375" style="158" customWidth="1"/>
    <col min="10757" max="10757" width="2.7109375" style="158" customWidth="1"/>
    <col min="10758" max="10759" width="10.7109375" style="158" customWidth="1"/>
    <col min="10760" max="10760" width="9.140625" style="158"/>
    <col min="10761" max="10762" width="10.7109375" style="158" customWidth="1"/>
    <col min="10763" max="10764" width="9.140625" style="158"/>
    <col min="10765" max="10767" width="10.7109375" style="158" customWidth="1"/>
    <col min="10768" max="11009" width="9.140625" style="158"/>
    <col min="11010" max="11010" width="15.7109375" style="158" customWidth="1"/>
    <col min="11011" max="11012" width="10.7109375" style="158" customWidth="1"/>
    <col min="11013" max="11013" width="2.7109375" style="158" customWidth="1"/>
    <col min="11014" max="11015" width="10.7109375" style="158" customWidth="1"/>
    <col min="11016" max="11016" width="9.140625" style="158"/>
    <col min="11017" max="11018" width="10.7109375" style="158" customWidth="1"/>
    <col min="11019" max="11020" width="9.140625" style="158"/>
    <col min="11021" max="11023" width="10.7109375" style="158" customWidth="1"/>
    <col min="11024" max="11265" width="9.140625" style="158"/>
    <col min="11266" max="11266" width="15.7109375" style="158" customWidth="1"/>
    <col min="11267" max="11268" width="10.7109375" style="158" customWidth="1"/>
    <col min="11269" max="11269" width="2.7109375" style="158" customWidth="1"/>
    <col min="11270" max="11271" width="10.7109375" style="158" customWidth="1"/>
    <col min="11272" max="11272" width="9.140625" style="158"/>
    <col min="11273" max="11274" width="10.7109375" style="158" customWidth="1"/>
    <col min="11275" max="11276" width="9.140625" style="158"/>
    <col min="11277" max="11279" width="10.7109375" style="158" customWidth="1"/>
    <col min="11280" max="11521" width="9.140625" style="158"/>
    <col min="11522" max="11522" width="15.7109375" style="158" customWidth="1"/>
    <col min="11523" max="11524" width="10.7109375" style="158" customWidth="1"/>
    <col min="11525" max="11525" width="2.7109375" style="158" customWidth="1"/>
    <col min="11526" max="11527" width="10.7109375" style="158" customWidth="1"/>
    <col min="11528" max="11528" width="9.140625" style="158"/>
    <col min="11529" max="11530" width="10.7109375" style="158" customWidth="1"/>
    <col min="11531" max="11532" width="9.140625" style="158"/>
    <col min="11533" max="11535" width="10.7109375" style="158" customWidth="1"/>
    <col min="11536" max="11777" width="9.140625" style="158"/>
    <col min="11778" max="11778" width="15.7109375" style="158" customWidth="1"/>
    <col min="11779" max="11780" width="10.7109375" style="158" customWidth="1"/>
    <col min="11781" max="11781" width="2.7109375" style="158" customWidth="1"/>
    <col min="11782" max="11783" width="10.7109375" style="158" customWidth="1"/>
    <col min="11784" max="11784" width="9.140625" style="158"/>
    <col min="11785" max="11786" width="10.7109375" style="158" customWidth="1"/>
    <col min="11787" max="11788" width="9.140625" style="158"/>
    <col min="11789" max="11791" width="10.7109375" style="158" customWidth="1"/>
    <col min="11792" max="12033" width="9.140625" style="158"/>
    <col min="12034" max="12034" width="15.7109375" style="158" customWidth="1"/>
    <col min="12035" max="12036" width="10.7109375" style="158" customWidth="1"/>
    <col min="12037" max="12037" width="2.7109375" style="158" customWidth="1"/>
    <col min="12038" max="12039" width="10.7109375" style="158" customWidth="1"/>
    <col min="12040" max="12040" width="9.140625" style="158"/>
    <col min="12041" max="12042" width="10.7109375" style="158" customWidth="1"/>
    <col min="12043" max="12044" width="9.140625" style="158"/>
    <col min="12045" max="12047" width="10.7109375" style="158" customWidth="1"/>
    <col min="12048" max="12289" width="9.140625" style="158"/>
    <col min="12290" max="12290" width="15.7109375" style="158" customWidth="1"/>
    <col min="12291" max="12292" width="10.7109375" style="158" customWidth="1"/>
    <col min="12293" max="12293" width="2.7109375" style="158" customWidth="1"/>
    <col min="12294" max="12295" width="10.7109375" style="158" customWidth="1"/>
    <col min="12296" max="12296" width="9.140625" style="158"/>
    <col min="12297" max="12298" width="10.7109375" style="158" customWidth="1"/>
    <col min="12299" max="12300" width="9.140625" style="158"/>
    <col min="12301" max="12303" width="10.7109375" style="158" customWidth="1"/>
    <col min="12304" max="12545" width="9.140625" style="158"/>
    <col min="12546" max="12546" width="15.7109375" style="158" customWidth="1"/>
    <col min="12547" max="12548" width="10.7109375" style="158" customWidth="1"/>
    <col min="12549" max="12549" width="2.7109375" style="158" customWidth="1"/>
    <col min="12550" max="12551" width="10.7109375" style="158" customWidth="1"/>
    <col min="12552" max="12552" width="9.140625" style="158"/>
    <col min="12553" max="12554" width="10.7109375" style="158" customWidth="1"/>
    <col min="12555" max="12556" width="9.140625" style="158"/>
    <col min="12557" max="12559" width="10.7109375" style="158" customWidth="1"/>
    <col min="12560" max="12801" width="9.140625" style="158"/>
    <col min="12802" max="12802" width="15.7109375" style="158" customWidth="1"/>
    <col min="12803" max="12804" width="10.7109375" style="158" customWidth="1"/>
    <col min="12805" max="12805" width="2.7109375" style="158" customWidth="1"/>
    <col min="12806" max="12807" width="10.7109375" style="158" customWidth="1"/>
    <col min="12808" max="12808" width="9.140625" style="158"/>
    <col min="12809" max="12810" width="10.7109375" style="158" customWidth="1"/>
    <col min="12811" max="12812" width="9.140625" style="158"/>
    <col min="12813" max="12815" width="10.7109375" style="158" customWidth="1"/>
    <col min="12816" max="13057" width="9.140625" style="158"/>
    <col min="13058" max="13058" width="15.7109375" style="158" customWidth="1"/>
    <col min="13059" max="13060" width="10.7109375" style="158" customWidth="1"/>
    <col min="13061" max="13061" width="2.7109375" style="158" customWidth="1"/>
    <col min="13062" max="13063" width="10.7109375" style="158" customWidth="1"/>
    <col min="13064" max="13064" width="9.140625" style="158"/>
    <col min="13065" max="13066" width="10.7109375" style="158" customWidth="1"/>
    <col min="13067" max="13068" width="9.140625" style="158"/>
    <col min="13069" max="13071" width="10.7109375" style="158" customWidth="1"/>
    <col min="13072" max="13313" width="9.140625" style="158"/>
    <col min="13314" max="13314" width="15.7109375" style="158" customWidth="1"/>
    <col min="13315" max="13316" width="10.7109375" style="158" customWidth="1"/>
    <col min="13317" max="13317" width="2.7109375" style="158" customWidth="1"/>
    <col min="13318" max="13319" width="10.7109375" style="158" customWidth="1"/>
    <col min="13320" max="13320" width="9.140625" style="158"/>
    <col min="13321" max="13322" width="10.7109375" style="158" customWidth="1"/>
    <col min="13323" max="13324" width="9.140625" style="158"/>
    <col min="13325" max="13327" width="10.7109375" style="158" customWidth="1"/>
    <col min="13328" max="13569" width="9.140625" style="158"/>
    <col min="13570" max="13570" width="15.7109375" style="158" customWidth="1"/>
    <col min="13571" max="13572" width="10.7109375" style="158" customWidth="1"/>
    <col min="13573" max="13573" width="2.7109375" style="158" customWidth="1"/>
    <col min="13574" max="13575" width="10.7109375" style="158" customWidth="1"/>
    <col min="13576" max="13576" width="9.140625" style="158"/>
    <col min="13577" max="13578" width="10.7109375" style="158" customWidth="1"/>
    <col min="13579" max="13580" width="9.140625" style="158"/>
    <col min="13581" max="13583" width="10.7109375" style="158" customWidth="1"/>
    <col min="13584" max="13825" width="9.140625" style="158"/>
    <col min="13826" max="13826" width="15.7109375" style="158" customWidth="1"/>
    <col min="13827" max="13828" width="10.7109375" style="158" customWidth="1"/>
    <col min="13829" max="13829" width="2.7109375" style="158" customWidth="1"/>
    <col min="13830" max="13831" width="10.7109375" style="158" customWidth="1"/>
    <col min="13832" max="13832" width="9.140625" style="158"/>
    <col min="13833" max="13834" width="10.7109375" style="158" customWidth="1"/>
    <col min="13835" max="13836" width="9.140625" style="158"/>
    <col min="13837" max="13839" width="10.7109375" style="158" customWidth="1"/>
    <col min="13840" max="14081" width="9.140625" style="158"/>
    <col min="14082" max="14082" width="15.7109375" style="158" customWidth="1"/>
    <col min="14083" max="14084" width="10.7109375" style="158" customWidth="1"/>
    <col min="14085" max="14085" width="2.7109375" style="158" customWidth="1"/>
    <col min="14086" max="14087" width="10.7109375" style="158" customWidth="1"/>
    <col min="14088" max="14088" width="9.140625" style="158"/>
    <col min="14089" max="14090" width="10.7109375" style="158" customWidth="1"/>
    <col min="14091" max="14092" width="9.140625" style="158"/>
    <col min="14093" max="14095" width="10.7109375" style="158" customWidth="1"/>
    <col min="14096" max="14337" width="9.140625" style="158"/>
    <col min="14338" max="14338" width="15.7109375" style="158" customWidth="1"/>
    <col min="14339" max="14340" width="10.7109375" style="158" customWidth="1"/>
    <col min="14341" max="14341" width="2.7109375" style="158" customWidth="1"/>
    <col min="14342" max="14343" width="10.7109375" style="158" customWidth="1"/>
    <col min="14344" max="14344" width="9.140625" style="158"/>
    <col min="14345" max="14346" width="10.7109375" style="158" customWidth="1"/>
    <col min="14347" max="14348" width="9.140625" style="158"/>
    <col min="14349" max="14351" width="10.7109375" style="158" customWidth="1"/>
    <col min="14352" max="14593" width="9.140625" style="158"/>
    <col min="14594" max="14594" width="15.7109375" style="158" customWidth="1"/>
    <col min="14595" max="14596" width="10.7109375" style="158" customWidth="1"/>
    <col min="14597" max="14597" width="2.7109375" style="158" customWidth="1"/>
    <col min="14598" max="14599" width="10.7109375" style="158" customWidth="1"/>
    <col min="14600" max="14600" width="9.140625" style="158"/>
    <col min="14601" max="14602" width="10.7109375" style="158" customWidth="1"/>
    <col min="14603" max="14604" width="9.140625" style="158"/>
    <col min="14605" max="14607" width="10.7109375" style="158" customWidth="1"/>
    <col min="14608" max="14849" width="9.140625" style="158"/>
    <col min="14850" max="14850" width="15.7109375" style="158" customWidth="1"/>
    <col min="14851" max="14852" width="10.7109375" style="158" customWidth="1"/>
    <col min="14853" max="14853" width="2.7109375" style="158" customWidth="1"/>
    <col min="14854" max="14855" width="10.7109375" style="158" customWidth="1"/>
    <col min="14856" max="14856" width="9.140625" style="158"/>
    <col min="14857" max="14858" width="10.7109375" style="158" customWidth="1"/>
    <col min="14859" max="14860" width="9.140625" style="158"/>
    <col min="14861" max="14863" width="10.7109375" style="158" customWidth="1"/>
    <col min="14864" max="15105" width="9.140625" style="158"/>
    <col min="15106" max="15106" width="15.7109375" style="158" customWidth="1"/>
    <col min="15107" max="15108" width="10.7109375" style="158" customWidth="1"/>
    <col min="15109" max="15109" width="2.7109375" style="158" customWidth="1"/>
    <col min="15110" max="15111" width="10.7109375" style="158" customWidth="1"/>
    <col min="15112" max="15112" width="9.140625" style="158"/>
    <col min="15113" max="15114" width="10.7109375" style="158" customWidth="1"/>
    <col min="15115" max="15116" width="9.140625" style="158"/>
    <col min="15117" max="15119" width="10.7109375" style="158" customWidth="1"/>
    <col min="15120" max="15361" width="9.140625" style="158"/>
    <col min="15362" max="15362" width="15.7109375" style="158" customWidth="1"/>
    <col min="15363" max="15364" width="10.7109375" style="158" customWidth="1"/>
    <col min="15365" max="15365" width="2.7109375" style="158" customWidth="1"/>
    <col min="15366" max="15367" width="10.7109375" style="158" customWidth="1"/>
    <col min="15368" max="15368" width="9.140625" style="158"/>
    <col min="15369" max="15370" width="10.7109375" style="158" customWidth="1"/>
    <col min="15371" max="15372" width="9.140625" style="158"/>
    <col min="15373" max="15375" width="10.7109375" style="158" customWidth="1"/>
    <col min="15376" max="15617" width="9.140625" style="158"/>
    <col min="15618" max="15618" width="15.7109375" style="158" customWidth="1"/>
    <col min="15619" max="15620" width="10.7109375" style="158" customWidth="1"/>
    <col min="15621" max="15621" width="2.7109375" style="158" customWidth="1"/>
    <col min="15622" max="15623" width="10.7109375" style="158" customWidth="1"/>
    <col min="15624" max="15624" width="9.140625" style="158"/>
    <col min="15625" max="15626" width="10.7109375" style="158" customWidth="1"/>
    <col min="15627" max="15628" width="9.140625" style="158"/>
    <col min="15629" max="15631" width="10.7109375" style="158" customWidth="1"/>
    <col min="15632" max="15873" width="9.140625" style="158"/>
    <col min="15874" max="15874" width="15.7109375" style="158" customWidth="1"/>
    <col min="15875" max="15876" width="10.7109375" style="158" customWidth="1"/>
    <col min="15877" max="15877" width="2.7109375" style="158" customWidth="1"/>
    <col min="15878" max="15879" width="10.7109375" style="158" customWidth="1"/>
    <col min="15880" max="15880" width="9.140625" style="158"/>
    <col min="15881" max="15882" width="10.7109375" style="158" customWidth="1"/>
    <col min="15883" max="15884" width="9.140625" style="158"/>
    <col min="15885" max="15887" width="10.7109375" style="158" customWidth="1"/>
    <col min="15888" max="16129" width="9.140625" style="158"/>
    <col min="16130" max="16130" width="15.7109375" style="158" customWidth="1"/>
    <col min="16131" max="16132" width="10.7109375" style="158" customWidth="1"/>
    <col min="16133" max="16133" width="2.7109375" style="158" customWidth="1"/>
    <col min="16134" max="16135" width="10.7109375" style="158" customWidth="1"/>
    <col min="16136" max="16136" width="9.140625" style="158"/>
    <col min="16137" max="16138" width="10.7109375" style="158" customWidth="1"/>
    <col min="16139" max="16140" width="9.140625" style="158"/>
    <col min="16141" max="16143" width="10.7109375" style="158" customWidth="1"/>
    <col min="16144" max="16384" width="9.140625" style="158"/>
  </cols>
  <sheetData>
    <row r="1" spans="2:15" ht="20.25" x14ac:dyDescent="0.3">
      <c r="B1" s="164" t="s">
        <v>510</v>
      </c>
    </row>
    <row r="3" spans="2:15" ht="13.5" thickBot="1" x14ac:dyDescent="0.25"/>
    <row r="4" spans="2:15" ht="15.75" x14ac:dyDescent="0.25">
      <c r="B4" s="370" t="s">
        <v>76</v>
      </c>
      <c r="C4" s="293" t="s">
        <v>473</v>
      </c>
      <c r="D4" s="294" t="s">
        <v>15</v>
      </c>
      <c r="E4" s="295"/>
      <c r="F4" s="293" t="s">
        <v>473</v>
      </c>
      <c r="G4" s="296" t="s">
        <v>15</v>
      </c>
      <c r="I4" s="337" t="s">
        <v>503</v>
      </c>
      <c r="J4" s="347"/>
      <c r="M4" s="348" t="s">
        <v>1</v>
      </c>
      <c r="N4" s="349" t="s">
        <v>15</v>
      </c>
      <c r="O4" s="350" t="s">
        <v>504</v>
      </c>
    </row>
    <row r="5" spans="2:15" ht="15.75" x14ac:dyDescent="0.25">
      <c r="B5" s="371" t="s">
        <v>0</v>
      </c>
      <c r="C5" s="301" t="s">
        <v>328</v>
      </c>
      <c r="D5" s="302" t="s">
        <v>328</v>
      </c>
      <c r="E5" s="303"/>
      <c r="F5" s="301" t="s">
        <v>3</v>
      </c>
      <c r="G5" s="304" t="s">
        <v>3</v>
      </c>
      <c r="I5" s="305" t="s">
        <v>505</v>
      </c>
      <c r="J5" s="307" t="s">
        <v>477</v>
      </c>
      <c r="M5" s="351" t="s">
        <v>3</v>
      </c>
      <c r="N5" s="352" t="s">
        <v>3</v>
      </c>
      <c r="O5" s="353" t="s">
        <v>506</v>
      </c>
    </row>
    <row r="6" spans="2:15" ht="15.75" x14ac:dyDescent="0.3">
      <c r="B6" s="372" t="s">
        <v>511</v>
      </c>
      <c r="C6" s="355" t="s">
        <v>479</v>
      </c>
      <c r="D6" s="356" t="s">
        <v>480</v>
      </c>
      <c r="E6" s="317"/>
      <c r="F6" s="355" t="s">
        <v>481</v>
      </c>
      <c r="G6" s="357" t="s">
        <v>482</v>
      </c>
      <c r="I6" s="305" t="s">
        <v>483</v>
      </c>
      <c r="J6" s="307" t="s">
        <v>484</v>
      </c>
      <c r="M6" s="351" t="s">
        <v>223</v>
      </c>
      <c r="N6" s="352" t="s">
        <v>223</v>
      </c>
      <c r="O6" s="353" t="s">
        <v>3</v>
      </c>
    </row>
    <row r="7" spans="2:15" x14ac:dyDescent="0.2">
      <c r="B7" s="372"/>
      <c r="C7" s="355"/>
      <c r="D7" s="356"/>
      <c r="E7" s="317"/>
      <c r="F7" s="355"/>
      <c r="G7" s="357"/>
      <c r="I7" s="305"/>
      <c r="J7" s="307"/>
      <c r="M7" s="351"/>
      <c r="N7" s="352"/>
      <c r="O7" s="353"/>
    </row>
    <row r="8" spans="2:15" x14ac:dyDescent="0.2">
      <c r="B8" s="345"/>
      <c r="C8" s="310"/>
      <c r="D8" s="310"/>
      <c r="E8" s="358"/>
      <c r="F8" s="309"/>
      <c r="G8" s="312"/>
      <c r="I8" s="313"/>
      <c r="J8" s="315"/>
      <c r="M8" s="359"/>
      <c r="N8" s="360"/>
      <c r="O8" s="361"/>
    </row>
    <row r="9" spans="2:15" x14ac:dyDescent="0.2">
      <c r="B9" s="316"/>
      <c r="C9" s="317"/>
      <c r="D9" s="317"/>
      <c r="E9" s="317"/>
      <c r="F9" s="318"/>
      <c r="G9" s="319"/>
      <c r="I9" s="320"/>
      <c r="J9" s="322"/>
      <c r="M9" s="167"/>
      <c r="N9" s="191"/>
      <c r="O9" s="362"/>
    </row>
    <row r="10" spans="2:15" x14ac:dyDescent="0.2">
      <c r="B10" s="316"/>
      <c r="C10" s="317"/>
      <c r="D10" s="317"/>
      <c r="E10" s="317"/>
      <c r="F10" s="318"/>
      <c r="G10" s="319"/>
      <c r="I10" s="373"/>
      <c r="J10" s="374"/>
      <c r="K10" s="375"/>
      <c r="M10" s="167"/>
      <c r="N10" s="191"/>
      <c r="O10" s="362"/>
    </row>
    <row r="11" spans="2:15" x14ac:dyDescent="0.2">
      <c r="B11" s="316" t="s">
        <v>485</v>
      </c>
      <c r="C11" s="323">
        <v>0.4</v>
      </c>
      <c r="D11" s="323">
        <v>0.4</v>
      </c>
      <c r="E11" s="317"/>
      <c r="F11" s="324">
        <v>10</v>
      </c>
      <c r="G11" s="325">
        <v>10</v>
      </c>
      <c r="I11" s="373">
        <f>(C11-D11)*((1+G11/100)/(1+G$18/100)-1)</f>
        <v>0</v>
      </c>
      <c r="J11" s="374">
        <f>C11*((1+F11/100)/(1+G11/100)-1)*(1+G11/100)/(1+O$18/100)</f>
        <v>0</v>
      </c>
      <c r="K11" s="375"/>
      <c r="M11" s="167">
        <f>+C11*F11</f>
        <v>4</v>
      </c>
      <c r="N11" s="191">
        <f>+D11*G11</f>
        <v>4</v>
      </c>
      <c r="O11" s="362">
        <f>+C11*G11</f>
        <v>4</v>
      </c>
    </row>
    <row r="12" spans="2:15" x14ac:dyDescent="0.2">
      <c r="B12" s="316"/>
      <c r="C12" s="323"/>
      <c r="D12" s="323"/>
      <c r="E12" s="317"/>
      <c r="F12" s="324"/>
      <c r="G12" s="325"/>
      <c r="I12" s="373"/>
      <c r="J12" s="374"/>
      <c r="K12" s="375"/>
      <c r="M12" s="167"/>
      <c r="N12" s="191"/>
      <c r="O12" s="362"/>
    </row>
    <row r="13" spans="2:15" x14ac:dyDescent="0.2">
      <c r="B13" s="316" t="s">
        <v>486</v>
      </c>
      <c r="C13" s="323">
        <v>0.4</v>
      </c>
      <c r="D13" s="323">
        <v>0.2</v>
      </c>
      <c r="E13" s="317"/>
      <c r="F13" s="324">
        <v>5</v>
      </c>
      <c r="G13" s="325">
        <v>10</v>
      </c>
      <c r="I13" s="373">
        <f>(C13-D13)*((1+G13/100)/(1+G$18/100)-1)</f>
        <v>0</v>
      </c>
      <c r="J13" s="374">
        <f>C13*((1+F13/100)/(1+G13/100)-1)*(1+G13/100)/(1+O$18/100)</f>
        <v>-1.8181818181818212E-2</v>
      </c>
      <c r="K13" s="375"/>
      <c r="M13" s="167">
        <f>+C13*F13</f>
        <v>2</v>
      </c>
      <c r="N13" s="191">
        <f>+D13*G13</f>
        <v>2</v>
      </c>
      <c r="O13" s="362">
        <f>+C13*G13</f>
        <v>4</v>
      </c>
    </row>
    <row r="14" spans="2:15" x14ac:dyDescent="0.2">
      <c r="B14" s="316"/>
      <c r="C14" s="323"/>
      <c r="D14" s="323"/>
      <c r="E14" s="317"/>
      <c r="F14" s="324"/>
      <c r="G14" s="325"/>
      <c r="I14" s="373"/>
      <c r="J14" s="374"/>
      <c r="K14" s="375"/>
      <c r="M14" s="167"/>
      <c r="N14" s="191"/>
      <c r="O14" s="362"/>
    </row>
    <row r="15" spans="2:15" x14ac:dyDescent="0.2">
      <c r="B15" s="316" t="s">
        <v>487</v>
      </c>
      <c r="C15" s="323">
        <v>0.2</v>
      </c>
      <c r="D15" s="323">
        <v>0.4</v>
      </c>
      <c r="E15" s="317"/>
      <c r="F15" s="324">
        <v>10</v>
      </c>
      <c r="G15" s="325">
        <v>10</v>
      </c>
      <c r="I15" s="373">
        <f>(C15-D15)*((1+G15/100)/(1+G$18/100)-1)</f>
        <v>0</v>
      </c>
      <c r="J15" s="374">
        <f>C15*((1+F15/100)/(1+G15/100)-1)*(1+G15/100)/(1+O$18/100)</f>
        <v>0</v>
      </c>
      <c r="K15" s="375"/>
      <c r="M15" s="167">
        <f>+C15*F15</f>
        <v>2</v>
      </c>
      <c r="N15" s="191">
        <f>+D15*G15</f>
        <v>4</v>
      </c>
      <c r="O15" s="362">
        <f>+C15*G15</f>
        <v>2</v>
      </c>
    </row>
    <row r="16" spans="2:15" x14ac:dyDescent="0.2">
      <c r="B16" s="316"/>
      <c r="C16" s="323"/>
      <c r="D16" s="323"/>
      <c r="E16" s="317"/>
      <c r="F16" s="318"/>
      <c r="G16" s="319"/>
      <c r="I16" s="373"/>
      <c r="J16" s="374"/>
      <c r="K16" s="375"/>
      <c r="M16" s="167"/>
      <c r="N16" s="191"/>
      <c r="O16" s="362"/>
    </row>
    <row r="17" spans="2:15" x14ac:dyDescent="0.2">
      <c r="B17" s="316"/>
      <c r="C17" s="323"/>
      <c r="D17" s="323"/>
      <c r="E17" s="317"/>
      <c r="F17" s="318"/>
      <c r="G17" s="319"/>
      <c r="I17" s="373"/>
      <c r="J17" s="374"/>
      <c r="K17" s="375"/>
      <c r="M17" s="167"/>
      <c r="N17" s="191"/>
      <c r="O17" s="362"/>
    </row>
    <row r="18" spans="2:15" ht="13.5" thickBot="1" x14ac:dyDescent="0.25">
      <c r="B18" s="329" t="s">
        <v>16</v>
      </c>
      <c r="C18" s="330">
        <f>SUM(C11:C15)</f>
        <v>1</v>
      </c>
      <c r="D18" s="330">
        <f>SUM(D11:D15)</f>
        <v>1</v>
      </c>
      <c r="E18" s="331"/>
      <c r="F18" s="376">
        <f>+M18</f>
        <v>8</v>
      </c>
      <c r="G18" s="377">
        <f>+N18</f>
        <v>10</v>
      </c>
      <c r="I18" s="378">
        <f>SUM(I11:I15)</f>
        <v>0</v>
      </c>
      <c r="J18" s="379">
        <f>SUM(J11:J15)</f>
        <v>-1.8181818181818212E-2</v>
      </c>
      <c r="K18" s="375"/>
      <c r="M18" s="363">
        <f>SUM(M11:M15)</f>
        <v>8</v>
      </c>
      <c r="N18" s="364">
        <f>SUM(N11:N15)</f>
        <v>10</v>
      </c>
      <c r="O18" s="365">
        <f>SUM(O11:O15)</f>
        <v>10</v>
      </c>
    </row>
    <row r="19" spans="2:15" x14ac:dyDescent="0.2">
      <c r="I19" s="375"/>
      <c r="J19" s="375"/>
      <c r="K19" s="375"/>
    </row>
    <row r="20" spans="2:15" ht="13.5" thickBot="1" x14ac:dyDescent="0.25">
      <c r="I20" s="375"/>
      <c r="J20" s="375"/>
      <c r="K20" s="375"/>
      <c r="M20" s="158" t="s">
        <v>0</v>
      </c>
    </row>
    <row r="21" spans="2:15" ht="15.75" x14ac:dyDescent="0.25">
      <c r="I21" s="380" t="s">
        <v>507</v>
      </c>
      <c r="J21" s="381"/>
      <c r="K21" s="382">
        <f>(1+F18/100)/(1+G18/100)-1</f>
        <v>-1.8181818181818188E-2</v>
      </c>
    </row>
    <row r="22" spans="2:15" ht="13.5" thickBot="1" x14ac:dyDescent="0.25">
      <c r="I22" s="373"/>
      <c r="J22" s="383"/>
      <c r="K22" s="384"/>
      <c r="M22" s="158" t="s">
        <v>223</v>
      </c>
    </row>
    <row r="23" spans="2:15" x14ac:dyDescent="0.2">
      <c r="I23" s="373" t="s">
        <v>508</v>
      </c>
      <c r="J23" s="383"/>
      <c r="K23" s="384">
        <f>+I18</f>
        <v>0</v>
      </c>
      <c r="M23" s="385">
        <f>+(1+O18/100)/(1+G18/100)-1</f>
        <v>0</v>
      </c>
    </row>
    <row r="24" spans="2:15" ht="13.5" thickBot="1" x14ac:dyDescent="0.25">
      <c r="I24" s="373" t="s">
        <v>509</v>
      </c>
      <c r="J24" s="383"/>
      <c r="K24" s="384">
        <f>+J18</f>
        <v>-1.8181818181818212E-2</v>
      </c>
      <c r="M24" s="386">
        <f>+(1+F18/100)/(1+O18/100)-1</f>
        <v>-1.8181818181818188E-2</v>
      </c>
    </row>
    <row r="25" spans="2:15" x14ac:dyDescent="0.2">
      <c r="I25" s="373" t="s">
        <v>0</v>
      </c>
      <c r="J25" s="383"/>
      <c r="K25" s="384" t="s">
        <v>0</v>
      </c>
    </row>
    <row r="26" spans="2:15" ht="13.5" thickBot="1" x14ac:dyDescent="0.25">
      <c r="I26" s="387" t="s">
        <v>141</v>
      </c>
      <c r="J26" s="388"/>
      <c r="K26" s="389">
        <f>(1+K21)/((1+K23)*(1+K24))-1</f>
        <v>0</v>
      </c>
    </row>
    <row r="37" spans="2:15" ht="13.5" thickBot="1" x14ac:dyDescent="0.25"/>
    <row r="38" spans="2:15" ht="15.75" x14ac:dyDescent="0.25">
      <c r="B38" s="370" t="s">
        <v>76</v>
      </c>
      <c r="C38" s="293" t="s">
        <v>473</v>
      </c>
      <c r="D38" s="294" t="s">
        <v>15</v>
      </c>
      <c r="E38" s="295"/>
      <c r="F38" s="293" t="s">
        <v>473</v>
      </c>
      <c r="G38" s="296" t="s">
        <v>15</v>
      </c>
      <c r="I38" s="337" t="s">
        <v>503</v>
      </c>
      <c r="J38" s="347"/>
      <c r="M38" s="348" t="s">
        <v>1</v>
      </c>
      <c r="N38" s="349" t="s">
        <v>15</v>
      </c>
      <c r="O38" s="350" t="s">
        <v>504</v>
      </c>
    </row>
    <row r="39" spans="2:15" ht="15.75" x14ac:dyDescent="0.25">
      <c r="B39" s="371" t="s">
        <v>0</v>
      </c>
      <c r="C39" s="301" t="s">
        <v>328</v>
      </c>
      <c r="D39" s="302" t="s">
        <v>328</v>
      </c>
      <c r="E39" s="303"/>
      <c r="F39" s="301" t="s">
        <v>3</v>
      </c>
      <c r="G39" s="304" t="s">
        <v>3</v>
      </c>
      <c r="I39" s="305" t="s">
        <v>505</v>
      </c>
      <c r="J39" s="307" t="s">
        <v>477</v>
      </c>
      <c r="M39" s="351" t="s">
        <v>3</v>
      </c>
      <c r="N39" s="352" t="s">
        <v>3</v>
      </c>
      <c r="O39" s="353" t="s">
        <v>506</v>
      </c>
    </row>
    <row r="40" spans="2:15" ht="15.75" x14ac:dyDescent="0.3">
      <c r="B40" s="372" t="s">
        <v>512</v>
      </c>
      <c r="C40" s="355" t="s">
        <v>479</v>
      </c>
      <c r="D40" s="356" t="s">
        <v>480</v>
      </c>
      <c r="E40" s="317"/>
      <c r="F40" s="355" t="s">
        <v>481</v>
      </c>
      <c r="G40" s="357" t="s">
        <v>482</v>
      </c>
      <c r="I40" s="305" t="s">
        <v>483</v>
      </c>
      <c r="J40" s="307" t="s">
        <v>484</v>
      </c>
      <c r="M40" s="351" t="s">
        <v>223</v>
      </c>
      <c r="N40" s="352" t="s">
        <v>223</v>
      </c>
      <c r="O40" s="353" t="s">
        <v>3</v>
      </c>
    </row>
    <row r="41" spans="2:15" x14ac:dyDescent="0.2">
      <c r="B41" s="372"/>
      <c r="C41" s="355"/>
      <c r="D41" s="356"/>
      <c r="E41" s="317"/>
      <c r="F41" s="355"/>
      <c r="G41" s="357"/>
      <c r="I41" s="305"/>
      <c r="J41" s="307"/>
      <c r="M41" s="351"/>
      <c r="N41" s="352"/>
      <c r="O41" s="353"/>
    </row>
    <row r="42" spans="2:15" x14ac:dyDescent="0.2">
      <c r="B42" s="345"/>
      <c r="C42" s="310"/>
      <c r="D42" s="310"/>
      <c r="E42" s="358"/>
      <c r="F42" s="309"/>
      <c r="G42" s="312"/>
      <c r="I42" s="313"/>
      <c r="J42" s="315"/>
      <c r="M42" s="359"/>
      <c r="N42" s="360"/>
      <c r="O42" s="361"/>
    </row>
    <row r="43" spans="2:15" x14ac:dyDescent="0.2">
      <c r="B43" s="316"/>
      <c r="C43" s="317"/>
      <c r="D43" s="317"/>
      <c r="E43" s="317"/>
      <c r="F43" s="318"/>
      <c r="G43" s="319"/>
      <c r="I43" s="320"/>
      <c r="J43" s="322"/>
      <c r="M43" s="167"/>
      <c r="N43" s="191"/>
      <c r="O43" s="362"/>
    </row>
    <row r="44" spans="2:15" x14ac:dyDescent="0.2">
      <c r="B44" s="316"/>
      <c r="C44" s="317"/>
      <c r="D44" s="317"/>
      <c r="E44" s="317"/>
      <c r="F44" s="318"/>
      <c r="G44" s="319"/>
      <c r="I44" s="320"/>
      <c r="J44" s="322"/>
      <c r="M44" s="167"/>
      <c r="N44" s="191"/>
      <c r="O44" s="362"/>
    </row>
    <row r="45" spans="2:15" x14ac:dyDescent="0.2">
      <c r="B45" s="316" t="s">
        <v>485</v>
      </c>
      <c r="C45" s="323">
        <v>0.40739999999999998</v>
      </c>
      <c r="D45" s="323">
        <v>0.4</v>
      </c>
      <c r="E45" s="317"/>
      <c r="F45" s="324">
        <v>9.1</v>
      </c>
      <c r="G45" s="325">
        <v>0</v>
      </c>
      <c r="I45" s="326">
        <f>(C45-D45)*((1+G45/100)/(1+G$52/100)-1)</f>
        <v>2.4980119820696708E-4</v>
      </c>
      <c r="J45" s="328">
        <f>C45*((1+F45/100)/(1+G45/100)-1)*(1+G45/100)/(1+O$52/100)</f>
        <v>3.8335627766335874E-2</v>
      </c>
      <c r="M45" s="390">
        <f>+C45*F45</f>
        <v>3.7073399999999999</v>
      </c>
      <c r="N45" s="391">
        <f>+D45*G45</f>
        <v>0</v>
      </c>
      <c r="O45" s="392">
        <f>+C45*G45</f>
        <v>0</v>
      </c>
    </row>
    <row r="46" spans="2:15" x14ac:dyDescent="0.2">
      <c r="B46" s="316"/>
      <c r="C46" s="323"/>
      <c r="D46" s="323"/>
      <c r="E46" s="317"/>
      <c r="F46" s="324"/>
      <c r="G46" s="325"/>
      <c r="I46" s="320"/>
      <c r="J46" s="328"/>
      <c r="M46" s="390"/>
      <c r="N46" s="391"/>
      <c r="O46" s="392"/>
    </row>
    <row r="47" spans="2:15" x14ac:dyDescent="0.2">
      <c r="B47" s="316" t="s">
        <v>486</v>
      </c>
      <c r="C47" s="323">
        <v>0.20369999999999999</v>
      </c>
      <c r="D47" s="323">
        <v>0.2</v>
      </c>
      <c r="E47" s="317"/>
      <c r="F47" s="324">
        <v>-15.9</v>
      </c>
      <c r="G47" s="325">
        <v>-12.7273</v>
      </c>
      <c r="I47" s="326">
        <f>(C47-D47)*((1+G47/100)/(1+G$52/100)-1)</f>
        <v>-3.6190597484621117E-4</v>
      </c>
      <c r="J47" s="328">
        <f>C47*((1+F47/100)/(1+G47/100)-1)*(1+G47/100)/(1+O$52/100)</f>
        <v>-6.6828267150689097E-3</v>
      </c>
      <c r="M47" s="390">
        <f>+C47*F47</f>
        <v>-3.2388300000000001</v>
      </c>
      <c r="N47" s="391">
        <f>+D47*G47</f>
        <v>-2.5454600000000003</v>
      </c>
      <c r="O47" s="392">
        <f>+C47*G47</f>
        <v>-2.5925510099999998</v>
      </c>
    </row>
    <row r="48" spans="2:15" x14ac:dyDescent="0.2">
      <c r="B48" s="316"/>
      <c r="C48" s="323"/>
      <c r="D48" s="323"/>
      <c r="E48" s="317"/>
      <c r="F48" s="324"/>
      <c r="G48" s="325"/>
      <c r="I48" s="320"/>
      <c r="J48" s="328"/>
      <c r="M48" s="390"/>
      <c r="N48" s="391"/>
      <c r="O48" s="392"/>
    </row>
    <row r="49" spans="2:15" x14ac:dyDescent="0.2">
      <c r="B49" s="316" t="s">
        <v>487</v>
      </c>
      <c r="C49" s="323">
        <v>0.38890000000000002</v>
      </c>
      <c r="D49" s="323">
        <v>0.4</v>
      </c>
      <c r="E49" s="317"/>
      <c r="F49" s="324">
        <v>-0.48</v>
      </c>
      <c r="G49" s="325">
        <v>-1.8</v>
      </c>
      <c r="I49" s="326">
        <f>(C49-D49)*((1+G49/100)/(1+G$52/100)-1)</f>
        <v>-1.6815716495886519E-4</v>
      </c>
      <c r="J49" s="328">
        <f>C49*((1+F49/100)/(1+G49/100)-1)*(1+G49/100)/(1+O$52/100)</f>
        <v>5.3082581696291195E-3</v>
      </c>
      <c r="M49" s="390">
        <f>+C49*F49</f>
        <v>-0.186672</v>
      </c>
      <c r="N49" s="391">
        <f>+D49*G49</f>
        <v>-0.72000000000000008</v>
      </c>
      <c r="O49" s="392">
        <f>+C49*G49</f>
        <v>-0.70002000000000009</v>
      </c>
    </row>
    <row r="50" spans="2:15" x14ac:dyDescent="0.2">
      <c r="B50" s="316"/>
      <c r="C50" s="323"/>
      <c r="D50" s="323"/>
      <c r="E50" s="317"/>
      <c r="F50" s="318"/>
      <c r="G50" s="319"/>
      <c r="I50" s="320"/>
      <c r="J50" s="328"/>
      <c r="M50" s="390"/>
      <c r="N50" s="391"/>
      <c r="O50" s="392"/>
    </row>
    <row r="51" spans="2:15" x14ac:dyDescent="0.2">
      <c r="B51" s="316"/>
      <c r="C51" s="323"/>
      <c r="D51" s="323"/>
      <c r="E51" s="317"/>
      <c r="F51" s="393"/>
      <c r="G51" s="394"/>
      <c r="H51" s="375"/>
      <c r="I51" s="373"/>
      <c r="J51" s="374"/>
      <c r="M51" s="390"/>
      <c r="N51" s="391"/>
      <c r="O51" s="392"/>
    </row>
    <row r="52" spans="2:15" ht="13.5" thickBot="1" x14ac:dyDescent="0.25">
      <c r="B52" s="329" t="s">
        <v>16</v>
      </c>
      <c r="C52" s="330">
        <f>SUM(C45:C49)</f>
        <v>1</v>
      </c>
      <c r="D52" s="330">
        <f>SUM(D45:D49)</f>
        <v>1</v>
      </c>
      <c r="E52" s="331"/>
      <c r="F52" s="376">
        <f>+M52</f>
        <v>0.28183799999999976</v>
      </c>
      <c r="G52" s="377">
        <f>+N52</f>
        <v>-3.2654600000000005</v>
      </c>
      <c r="H52" s="375"/>
      <c r="I52" s="378">
        <f>SUM(I45:I49)</f>
        <v>-2.8026194159810929E-4</v>
      </c>
      <c r="J52" s="379">
        <f>SUM(J45:J49)</f>
        <v>3.6961059220896084E-2</v>
      </c>
      <c r="M52" s="395">
        <f>SUM(M45:M49)</f>
        <v>0.28183799999999976</v>
      </c>
      <c r="N52" s="396">
        <f>SUM(N45:N49)</f>
        <v>-3.2654600000000005</v>
      </c>
      <c r="O52" s="365">
        <f>SUM(O45:O49)</f>
        <v>-3.2925710099999996</v>
      </c>
    </row>
    <row r="54" spans="2:15" ht="13.5" thickBot="1" x14ac:dyDescent="0.25">
      <c r="M54" s="158" t="s">
        <v>0</v>
      </c>
    </row>
    <row r="55" spans="2:15" ht="15.75" x14ac:dyDescent="0.25">
      <c r="I55" s="337" t="s">
        <v>507</v>
      </c>
      <c r="J55" s="366"/>
      <c r="K55" s="382">
        <f>(1+F52/100)/(1+G52/100)-1</f>
        <v>3.6670438501077207E-2</v>
      </c>
    </row>
    <row r="56" spans="2:15" ht="13.5" thickBot="1" x14ac:dyDescent="0.25">
      <c r="I56" s="320"/>
      <c r="J56" s="321"/>
      <c r="K56" s="384"/>
      <c r="M56" s="158" t="s">
        <v>223</v>
      </c>
    </row>
    <row r="57" spans="2:15" x14ac:dyDescent="0.2">
      <c r="I57" s="320" t="s">
        <v>508</v>
      </c>
      <c r="J57" s="321"/>
      <c r="K57" s="384">
        <f>+I52</f>
        <v>-2.8026194159810929E-4</v>
      </c>
      <c r="M57" s="385">
        <f>+(1+O52/100)/(1+G52/100)-1</f>
        <v>-2.8026194159813667E-4</v>
      </c>
    </row>
    <row r="58" spans="2:15" ht="13.5" thickBot="1" x14ac:dyDescent="0.25">
      <c r="I58" s="320" t="s">
        <v>509</v>
      </c>
      <c r="J58" s="321"/>
      <c r="K58" s="384">
        <f>+J52</f>
        <v>3.6961059220896084E-2</v>
      </c>
      <c r="M58" s="386">
        <f>+(1+F52/100)/(1+O52/100)-1</f>
        <v>3.6961059220895986E-2</v>
      </c>
    </row>
    <row r="59" spans="2:15" x14ac:dyDescent="0.2">
      <c r="I59" s="320" t="s">
        <v>0</v>
      </c>
      <c r="J59" s="321"/>
      <c r="K59" s="384" t="s">
        <v>0</v>
      </c>
    </row>
    <row r="60" spans="2:15" ht="13.5" thickBot="1" x14ac:dyDescent="0.25">
      <c r="I60" s="341" t="s">
        <v>141</v>
      </c>
      <c r="J60" s="342"/>
      <c r="K60" s="389">
        <f>(1+K55)/((1+K57)*(1+K58))-1</f>
        <v>0</v>
      </c>
    </row>
    <row r="76" spans="2:10" ht="13.5" thickBot="1" x14ac:dyDescent="0.25"/>
    <row r="77" spans="2:10" ht="15.75" x14ac:dyDescent="0.25">
      <c r="B77" s="292" t="s">
        <v>76</v>
      </c>
      <c r="C77" s="397"/>
      <c r="D77" s="397"/>
      <c r="E77" s="294"/>
      <c r="F77" s="293" t="s">
        <v>473</v>
      </c>
      <c r="G77" s="296" t="s">
        <v>15</v>
      </c>
      <c r="I77" s="337" t="s">
        <v>503</v>
      </c>
      <c r="J77" s="347"/>
    </row>
    <row r="78" spans="2:10" ht="15.75" x14ac:dyDescent="0.25">
      <c r="B78" s="300" t="s">
        <v>0</v>
      </c>
      <c r="C78" s="302" t="s">
        <v>0</v>
      </c>
      <c r="D78" s="302" t="s">
        <v>0</v>
      </c>
      <c r="E78" s="317"/>
      <c r="F78" s="301" t="s">
        <v>3</v>
      </c>
      <c r="G78" s="304" t="s">
        <v>3</v>
      </c>
      <c r="I78" s="305" t="s">
        <v>505</v>
      </c>
      <c r="J78" s="307" t="s">
        <v>477</v>
      </c>
    </row>
    <row r="79" spans="2:10" x14ac:dyDescent="0.2">
      <c r="B79" s="345" t="s">
        <v>336</v>
      </c>
      <c r="C79" s="398" t="s">
        <v>0</v>
      </c>
      <c r="D79" s="398" t="s">
        <v>0</v>
      </c>
      <c r="E79" s="358"/>
      <c r="F79" s="399" t="s">
        <v>0</v>
      </c>
      <c r="G79" s="400" t="s">
        <v>0</v>
      </c>
      <c r="I79" s="313" t="s">
        <v>483</v>
      </c>
      <c r="J79" s="315" t="s">
        <v>484</v>
      </c>
    </row>
    <row r="80" spans="2:10" x14ac:dyDescent="0.2">
      <c r="B80" s="316"/>
      <c r="C80" s="317"/>
      <c r="D80" s="317"/>
      <c r="E80" s="317"/>
      <c r="F80" s="318"/>
      <c r="G80" s="319"/>
      <c r="I80" s="401"/>
      <c r="J80" s="402"/>
    </row>
    <row r="81" spans="2:11" x14ac:dyDescent="0.2">
      <c r="B81" s="316"/>
      <c r="C81" s="317"/>
      <c r="D81" s="317"/>
      <c r="E81" s="317"/>
      <c r="F81" s="318"/>
      <c r="G81" s="319"/>
      <c r="I81" s="320"/>
      <c r="J81" s="322"/>
    </row>
    <row r="82" spans="2:11" x14ac:dyDescent="0.2">
      <c r="B82" s="316" t="s">
        <v>485</v>
      </c>
      <c r="C82" s="323" t="s">
        <v>0</v>
      </c>
      <c r="D82" s="323" t="s">
        <v>0</v>
      </c>
      <c r="E82" s="317"/>
      <c r="F82" s="324">
        <f>((1+F11/100)*(1+F45/100)-1)*100</f>
        <v>20.010000000000016</v>
      </c>
      <c r="G82" s="325">
        <f>((1+G11/100)*(1+G45/100)-1)*100</f>
        <v>10.000000000000009</v>
      </c>
      <c r="I82" s="373">
        <f>((1+I11/100)*(1+I45/100)-1)*100</f>
        <v>2.4980119821549351E-4</v>
      </c>
      <c r="J82" s="374">
        <f>((1+J11/100)*(1+J45/100)-1)*100</f>
        <v>3.8335627766339364E-2</v>
      </c>
    </row>
    <row r="83" spans="2:11" x14ac:dyDescent="0.2">
      <c r="B83" s="316"/>
      <c r="C83" s="323"/>
      <c r="D83" s="323"/>
      <c r="E83" s="317"/>
      <c r="F83" s="324"/>
      <c r="G83" s="325"/>
      <c r="I83" s="373"/>
      <c r="J83" s="374"/>
    </row>
    <row r="84" spans="2:11" x14ac:dyDescent="0.2">
      <c r="B84" s="316" t="s">
        <v>486</v>
      </c>
      <c r="C84" s="323" t="s">
        <v>0</v>
      </c>
      <c r="D84" s="323" t="s">
        <v>0</v>
      </c>
      <c r="E84" s="317"/>
      <c r="F84" s="324">
        <f>((1+F13/100)*(1+F47/100)-1)*100</f>
        <v>-11.695</v>
      </c>
      <c r="G84" s="403">
        <f>((1+G13/100)*(1+G47/100)-1)*100</f>
        <v>-4.0000299999999882</v>
      </c>
      <c r="I84" s="373">
        <f>((1+I13/100)*(1+I47/100)-1)*100</f>
        <v>-3.6190597484386799E-4</v>
      </c>
      <c r="J84" s="374">
        <f>((1+J13/100)*(1+J47/100)-1)*100</f>
        <v>-2.4863429837485018E-2</v>
      </c>
    </row>
    <row r="85" spans="2:11" x14ac:dyDescent="0.2">
      <c r="B85" s="316"/>
      <c r="C85" s="323"/>
      <c r="D85" s="323"/>
      <c r="E85" s="317"/>
      <c r="F85" s="324"/>
      <c r="G85" s="325"/>
      <c r="I85" s="373"/>
      <c r="J85" s="374"/>
    </row>
    <row r="86" spans="2:11" x14ac:dyDescent="0.2">
      <c r="B86" s="316" t="s">
        <v>487</v>
      </c>
      <c r="C86" s="323" t="s">
        <v>0</v>
      </c>
      <c r="D86" s="323" t="s">
        <v>0</v>
      </c>
      <c r="E86" s="317"/>
      <c r="F86" s="324">
        <f>((1+F15/100)*(1+F49/100)-1)*100</f>
        <v>9.4720000000000137</v>
      </c>
      <c r="G86" s="325">
        <f>((1+G15/100)*(1+G49/100)-1)*100</f>
        <v>8.0200000000000049</v>
      </c>
      <c r="I86" s="373">
        <f>((1+I15/100)*(1+I49/100)-1)*100</f>
        <v>-1.6815716495921507E-4</v>
      </c>
      <c r="J86" s="374">
        <f>((1+J15/100)*(1+J49/100)-1)*100</f>
        <v>5.3082581696228814E-3</v>
      </c>
    </row>
    <row r="87" spans="2:11" x14ac:dyDescent="0.2">
      <c r="B87" s="316"/>
      <c r="C87" s="323"/>
      <c r="D87" s="323" t="s">
        <v>0</v>
      </c>
      <c r="E87" s="317"/>
      <c r="F87" s="318"/>
      <c r="G87" s="319"/>
      <c r="I87" s="373"/>
      <c r="J87" s="374"/>
    </row>
    <row r="88" spans="2:11" x14ac:dyDescent="0.2">
      <c r="B88" s="316"/>
      <c r="C88" s="323"/>
      <c r="D88" s="323"/>
      <c r="E88" s="317"/>
      <c r="F88" s="318"/>
      <c r="G88" s="319"/>
      <c r="I88" s="373"/>
      <c r="J88" s="374"/>
    </row>
    <row r="89" spans="2:11" ht="13.5" thickBot="1" x14ac:dyDescent="0.25">
      <c r="B89" s="329" t="s">
        <v>16</v>
      </c>
      <c r="C89" s="330" t="s">
        <v>0</v>
      </c>
      <c r="D89" s="330" t="s">
        <v>0</v>
      </c>
      <c r="E89" s="404"/>
      <c r="F89" s="332">
        <f>((1+F18/100)*(1+F52/100)-1)*100</f>
        <v>8.3043850399999961</v>
      </c>
      <c r="G89" s="333">
        <f>((1+G18/100)*(1+G52/100)-1)*100</f>
        <v>6.4079940000000057</v>
      </c>
      <c r="I89" s="378">
        <f>(1+I18)*(1+I52)-1</f>
        <v>-2.8026194159813667E-4</v>
      </c>
      <c r="J89" s="379">
        <f>(1+J18)*(1+J52)-1</f>
        <v>1.8107221780516047E-2</v>
      </c>
    </row>
    <row r="91" spans="2:11" ht="13.5" thickBot="1" x14ac:dyDescent="0.25"/>
    <row r="92" spans="2:11" ht="15.75" x14ac:dyDescent="0.25">
      <c r="I92" s="337" t="s">
        <v>507</v>
      </c>
      <c r="J92" s="366"/>
      <c r="K92" s="382">
        <f>(1+F89/100)/(1+G89/100)-1</f>
        <v>1.7821885073784793E-2</v>
      </c>
    </row>
    <row r="93" spans="2:11" x14ac:dyDescent="0.2">
      <c r="I93" s="320"/>
      <c r="J93" s="321"/>
      <c r="K93" s="384"/>
    </row>
    <row r="94" spans="2:11" x14ac:dyDescent="0.2">
      <c r="I94" s="320" t="s">
        <v>508</v>
      </c>
      <c r="J94" s="321"/>
      <c r="K94" s="384">
        <f>+I89</f>
        <v>-2.8026194159813667E-4</v>
      </c>
    </row>
    <row r="95" spans="2:11" x14ac:dyDescent="0.2">
      <c r="I95" s="320" t="s">
        <v>509</v>
      </c>
      <c r="J95" s="321"/>
      <c r="K95" s="384">
        <f>+J89</f>
        <v>1.8107221780516047E-2</v>
      </c>
    </row>
    <row r="96" spans="2:11" x14ac:dyDescent="0.2">
      <c r="I96" s="320" t="s">
        <v>0</v>
      </c>
      <c r="J96" s="321"/>
      <c r="K96" s="384" t="s">
        <v>0</v>
      </c>
    </row>
    <row r="97" spans="9:11" ht="13.5" thickBot="1" x14ac:dyDescent="0.25">
      <c r="I97" s="341" t="s">
        <v>141</v>
      </c>
      <c r="J97" s="342"/>
      <c r="K97" s="389">
        <f>(1+K92)/((1+K94)*(1+K95))-1</f>
        <v>0</v>
      </c>
    </row>
  </sheetData>
  <pageMargins left="0.75" right="0.75" top="1" bottom="1" header="0.5" footer="0.5"/>
  <pageSetup paperSize="9"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2529" r:id="rId4">
          <objectPr defaultSize="0" autoPict="0" r:id="rId5">
            <anchor moveWithCells="1" sizeWithCells="1">
              <from>
                <xdr:col>14</xdr:col>
                <xdr:colOff>219075</xdr:colOff>
                <xdr:row>6</xdr:row>
                <xdr:rowOff>38100</xdr:rowOff>
              </from>
              <to>
                <xdr:col>14</xdr:col>
                <xdr:colOff>400050</xdr:colOff>
                <xdr:row>7</xdr:row>
                <xdr:rowOff>104775</xdr:rowOff>
              </to>
            </anchor>
          </objectPr>
        </oleObject>
      </mc:Choice>
      <mc:Fallback>
        <oleObject progId="Equation.3" shapeId="22529" r:id="rId4"/>
      </mc:Fallback>
    </mc:AlternateContent>
    <mc:AlternateContent xmlns:mc="http://schemas.openxmlformats.org/markup-compatibility/2006">
      <mc:Choice Requires="x14">
        <oleObject progId="Equation.3" shapeId="22530" r:id="rId6">
          <objectPr defaultSize="0" autoPict="0" r:id="rId5">
            <anchor moveWithCells="1" sizeWithCells="1">
              <from>
                <xdr:col>14</xdr:col>
                <xdr:colOff>219075</xdr:colOff>
                <xdr:row>40</xdr:row>
                <xdr:rowOff>38100</xdr:rowOff>
              </from>
              <to>
                <xdr:col>14</xdr:col>
                <xdr:colOff>400050</xdr:colOff>
                <xdr:row>41</xdr:row>
                <xdr:rowOff>104775</xdr:rowOff>
              </to>
            </anchor>
          </objectPr>
        </oleObject>
      </mc:Choice>
      <mc:Fallback>
        <oleObject progId="Equation.3" shapeId="22530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05C-85A7-41B7-B236-2B9F59E513FA}">
  <dimension ref="B2:O25"/>
  <sheetViews>
    <sheetView workbookViewId="0">
      <selection activeCell="H30" sqref="H30"/>
    </sheetView>
  </sheetViews>
  <sheetFormatPr defaultRowHeight="12.75" x14ac:dyDescent="0.2"/>
  <cols>
    <col min="1" max="1" width="9.140625" style="158"/>
    <col min="2" max="2" width="18.7109375" style="158" customWidth="1"/>
    <col min="3" max="4" width="9.140625" style="158"/>
    <col min="5" max="5" width="1.7109375" style="158" customWidth="1"/>
    <col min="6" max="10" width="10.7109375" style="158" customWidth="1"/>
    <col min="11" max="12" width="9.140625" style="158"/>
    <col min="13" max="14" width="10.7109375" style="158" customWidth="1"/>
    <col min="15" max="257" width="9.140625" style="158"/>
    <col min="258" max="258" width="18.7109375" style="158" customWidth="1"/>
    <col min="259" max="260" width="9.140625" style="158"/>
    <col min="261" max="261" width="1.7109375" style="158" customWidth="1"/>
    <col min="262" max="266" width="10.7109375" style="158" customWidth="1"/>
    <col min="267" max="268" width="9.140625" style="158"/>
    <col min="269" max="270" width="10.7109375" style="158" customWidth="1"/>
    <col min="271" max="513" width="9.140625" style="158"/>
    <col min="514" max="514" width="18.7109375" style="158" customWidth="1"/>
    <col min="515" max="516" width="9.140625" style="158"/>
    <col min="517" max="517" width="1.7109375" style="158" customWidth="1"/>
    <col min="518" max="522" width="10.7109375" style="158" customWidth="1"/>
    <col min="523" max="524" width="9.140625" style="158"/>
    <col min="525" max="526" width="10.7109375" style="158" customWidth="1"/>
    <col min="527" max="769" width="9.140625" style="158"/>
    <col min="770" max="770" width="18.7109375" style="158" customWidth="1"/>
    <col min="771" max="772" width="9.140625" style="158"/>
    <col min="773" max="773" width="1.7109375" style="158" customWidth="1"/>
    <col min="774" max="778" width="10.7109375" style="158" customWidth="1"/>
    <col min="779" max="780" width="9.140625" style="158"/>
    <col min="781" max="782" width="10.7109375" style="158" customWidth="1"/>
    <col min="783" max="1025" width="9.140625" style="158"/>
    <col min="1026" max="1026" width="18.7109375" style="158" customWidth="1"/>
    <col min="1027" max="1028" width="9.140625" style="158"/>
    <col min="1029" max="1029" width="1.7109375" style="158" customWidth="1"/>
    <col min="1030" max="1034" width="10.7109375" style="158" customWidth="1"/>
    <col min="1035" max="1036" width="9.140625" style="158"/>
    <col min="1037" max="1038" width="10.7109375" style="158" customWidth="1"/>
    <col min="1039" max="1281" width="9.140625" style="158"/>
    <col min="1282" max="1282" width="18.7109375" style="158" customWidth="1"/>
    <col min="1283" max="1284" width="9.140625" style="158"/>
    <col min="1285" max="1285" width="1.7109375" style="158" customWidth="1"/>
    <col min="1286" max="1290" width="10.7109375" style="158" customWidth="1"/>
    <col min="1291" max="1292" width="9.140625" style="158"/>
    <col min="1293" max="1294" width="10.7109375" style="158" customWidth="1"/>
    <col min="1295" max="1537" width="9.140625" style="158"/>
    <col min="1538" max="1538" width="18.7109375" style="158" customWidth="1"/>
    <col min="1539" max="1540" width="9.140625" style="158"/>
    <col min="1541" max="1541" width="1.7109375" style="158" customWidth="1"/>
    <col min="1542" max="1546" width="10.7109375" style="158" customWidth="1"/>
    <col min="1547" max="1548" width="9.140625" style="158"/>
    <col min="1549" max="1550" width="10.7109375" style="158" customWidth="1"/>
    <col min="1551" max="1793" width="9.140625" style="158"/>
    <col min="1794" max="1794" width="18.7109375" style="158" customWidth="1"/>
    <col min="1795" max="1796" width="9.140625" style="158"/>
    <col min="1797" max="1797" width="1.7109375" style="158" customWidth="1"/>
    <col min="1798" max="1802" width="10.7109375" style="158" customWidth="1"/>
    <col min="1803" max="1804" width="9.140625" style="158"/>
    <col min="1805" max="1806" width="10.7109375" style="158" customWidth="1"/>
    <col min="1807" max="2049" width="9.140625" style="158"/>
    <col min="2050" max="2050" width="18.7109375" style="158" customWidth="1"/>
    <col min="2051" max="2052" width="9.140625" style="158"/>
    <col min="2053" max="2053" width="1.7109375" style="158" customWidth="1"/>
    <col min="2054" max="2058" width="10.7109375" style="158" customWidth="1"/>
    <col min="2059" max="2060" width="9.140625" style="158"/>
    <col min="2061" max="2062" width="10.7109375" style="158" customWidth="1"/>
    <col min="2063" max="2305" width="9.140625" style="158"/>
    <col min="2306" max="2306" width="18.7109375" style="158" customWidth="1"/>
    <col min="2307" max="2308" width="9.140625" style="158"/>
    <col min="2309" max="2309" width="1.7109375" style="158" customWidth="1"/>
    <col min="2310" max="2314" width="10.7109375" style="158" customWidth="1"/>
    <col min="2315" max="2316" width="9.140625" style="158"/>
    <col min="2317" max="2318" width="10.7109375" style="158" customWidth="1"/>
    <col min="2319" max="2561" width="9.140625" style="158"/>
    <col min="2562" max="2562" width="18.7109375" style="158" customWidth="1"/>
    <col min="2563" max="2564" width="9.140625" style="158"/>
    <col min="2565" max="2565" width="1.7109375" style="158" customWidth="1"/>
    <col min="2566" max="2570" width="10.7109375" style="158" customWidth="1"/>
    <col min="2571" max="2572" width="9.140625" style="158"/>
    <col min="2573" max="2574" width="10.7109375" style="158" customWidth="1"/>
    <col min="2575" max="2817" width="9.140625" style="158"/>
    <col min="2818" max="2818" width="18.7109375" style="158" customWidth="1"/>
    <col min="2819" max="2820" width="9.140625" style="158"/>
    <col min="2821" max="2821" width="1.7109375" style="158" customWidth="1"/>
    <col min="2822" max="2826" width="10.7109375" style="158" customWidth="1"/>
    <col min="2827" max="2828" width="9.140625" style="158"/>
    <col min="2829" max="2830" width="10.7109375" style="158" customWidth="1"/>
    <col min="2831" max="3073" width="9.140625" style="158"/>
    <col min="3074" max="3074" width="18.7109375" style="158" customWidth="1"/>
    <col min="3075" max="3076" width="9.140625" style="158"/>
    <col min="3077" max="3077" width="1.7109375" style="158" customWidth="1"/>
    <col min="3078" max="3082" width="10.7109375" style="158" customWidth="1"/>
    <col min="3083" max="3084" width="9.140625" style="158"/>
    <col min="3085" max="3086" width="10.7109375" style="158" customWidth="1"/>
    <col min="3087" max="3329" width="9.140625" style="158"/>
    <col min="3330" max="3330" width="18.7109375" style="158" customWidth="1"/>
    <col min="3331" max="3332" width="9.140625" style="158"/>
    <col min="3333" max="3333" width="1.7109375" style="158" customWidth="1"/>
    <col min="3334" max="3338" width="10.7109375" style="158" customWidth="1"/>
    <col min="3339" max="3340" width="9.140625" style="158"/>
    <col min="3341" max="3342" width="10.7109375" style="158" customWidth="1"/>
    <col min="3343" max="3585" width="9.140625" style="158"/>
    <col min="3586" max="3586" width="18.7109375" style="158" customWidth="1"/>
    <col min="3587" max="3588" width="9.140625" style="158"/>
    <col min="3589" max="3589" width="1.7109375" style="158" customWidth="1"/>
    <col min="3590" max="3594" width="10.7109375" style="158" customWidth="1"/>
    <col min="3595" max="3596" width="9.140625" style="158"/>
    <col min="3597" max="3598" width="10.7109375" style="158" customWidth="1"/>
    <col min="3599" max="3841" width="9.140625" style="158"/>
    <col min="3842" max="3842" width="18.7109375" style="158" customWidth="1"/>
    <col min="3843" max="3844" width="9.140625" style="158"/>
    <col min="3845" max="3845" width="1.7109375" style="158" customWidth="1"/>
    <col min="3846" max="3850" width="10.7109375" style="158" customWidth="1"/>
    <col min="3851" max="3852" width="9.140625" style="158"/>
    <col min="3853" max="3854" width="10.7109375" style="158" customWidth="1"/>
    <col min="3855" max="4097" width="9.140625" style="158"/>
    <col min="4098" max="4098" width="18.7109375" style="158" customWidth="1"/>
    <col min="4099" max="4100" width="9.140625" style="158"/>
    <col min="4101" max="4101" width="1.7109375" style="158" customWidth="1"/>
    <col min="4102" max="4106" width="10.7109375" style="158" customWidth="1"/>
    <col min="4107" max="4108" width="9.140625" style="158"/>
    <col min="4109" max="4110" width="10.7109375" style="158" customWidth="1"/>
    <col min="4111" max="4353" width="9.140625" style="158"/>
    <col min="4354" max="4354" width="18.7109375" style="158" customWidth="1"/>
    <col min="4355" max="4356" width="9.140625" style="158"/>
    <col min="4357" max="4357" width="1.7109375" style="158" customWidth="1"/>
    <col min="4358" max="4362" width="10.7109375" style="158" customWidth="1"/>
    <col min="4363" max="4364" width="9.140625" style="158"/>
    <col min="4365" max="4366" width="10.7109375" style="158" customWidth="1"/>
    <col min="4367" max="4609" width="9.140625" style="158"/>
    <col min="4610" max="4610" width="18.7109375" style="158" customWidth="1"/>
    <col min="4611" max="4612" width="9.140625" style="158"/>
    <col min="4613" max="4613" width="1.7109375" style="158" customWidth="1"/>
    <col min="4614" max="4618" width="10.7109375" style="158" customWidth="1"/>
    <col min="4619" max="4620" width="9.140625" style="158"/>
    <col min="4621" max="4622" width="10.7109375" style="158" customWidth="1"/>
    <col min="4623" max="4865" width="9.140625" style="158"/>
    <col min="4866" max="4866" width="18.7109375" style="158" customWidth="1"/>
    <col min="4867" max="4868" width="9.140625" style="158"/>
    <col min="4869" max="4869" width="1.7109375" style="158" customWidth="1"/>
    <col min="4870" max="4874" width="10.7109375" style="158" customWidth="1"/>
    <col min="4875" max="4876" width="9.140625" style="158"/>
    <col min="4877" max="4878" width="10.7109375" style="158" customWidth="1"/>
    <col min="4879" max="5121" width="9.140625" style="158"/>
    <col min="5122" max="5122" width="18.7109375" style="158" customWidth="1"/>
    <col min="5123" max="5124" width="9.140625" style="158"/>
    <col min="5125" max="5125" width="1.7109375" style="158" customWidth="1"/>
    <col min="5126" max="5130" width="10.7109375" style="158" customWidth="1"/>
    <col min="5131" max="5132" width="9.140625" style="158"/>
    <col min="5133" max="5134" width="10.7109375" style="158" customWidth="1"/>
    <col min="5135" max="5377" width="9.140625" style="158"/>
    <col min="5378" max="5378" width="18.7109375" style="158" customWidth="1"/>
    <col min="5379" max="5380" width="9.140625" style="158"/>
    <col min="5381" max="5381" width="1.7109375" style="158" customWidth="1"/>
    <col min="5382" max="5386" width="10.7109375" style="158" customWidth="1"/>
    <col min="5387" max="5388" width="9.140625" style="158"/>
    <col min="5389" max="5390" width="10.7109375" style="158" customWidth="1"/>
    <col min="5391" max="5633" width="9.140625" style="158"/>
    <col min="5634" max="5634" width="18.7109375" style="158" customWidth="1"/>
    <col min="5635" max="5636" width="9.140625" style="158"/>
    <col min="5637" max="5637" width="1.7109375" style="158" customWidth="1"/>
    <col min="5638" max="5642" width="10.7109375" style="158" customWidth="1"/>
    <col min="5643" max="5644" width="9.140625" style="158"/>
    <col min="5645" max="5646" width="10.7109375" style="158" customWidth="1"/>
    <col min="5647" max="5889" width="9.140625" style="158"/>
    <col min="5890" max="5890" width="18.7109375" style="158" customWidth="1"/>
    <col min="5891" max="5892" width="9.140625" style="158"/>
    <col min="5893" max="5893" width="1.7109375" style="158" customWidth="1"/>
    <col min="5894" max="5898" width="10.7109375" style="158" customWidth="1"/>
    <col min="5899" max="5900" width="9.140625" style="158"/>
    <col min="5901" max="5902" width="10.7109375" style="158" customWidth="1"/>
    <col min="5903" max="6145" width="9.140625" style="158"/>
    <col min="6146" max="6146" width="18.7109375" style="158" customWidth="1"/>
    <col min="6147" max="6148" width="9.140625" style="158"/>
    <col min="6149" max="6149" width="1.7109375" style="158" customWidth="1"/>
    <col min="6150" max="6154" width="10.7109375" style="158" customWidth="1"/>
    <col min="6155" max="6156" width="9.140625" style="158"/>
    <col min="6157" max="6158" width="10.7109375" style="158" customWidth="1"/>
    <col min="6159" max="6401" width="9.140625" style="158"/>
    <col min="6402" max="6402" width="18.7109375" style="158" customWidth="1"/>
    <col min="6403" max="6404" width="9.140625" style="158"/>
    <col min="6405" max="6405" width="1.7109375" style="158" customWidth="1"/>
    <col min="6406" max="6410" width="10.7109375" style="158" customWidth="1"/>
    <col min="6411" max="6412" width="9.140625" style="158"/>
    <col min="6413" max="6414" width="10.7109375" style="158" customWidth="1"/>
    <col min="6415" max="6657" width="9.140625" style="158"/>
    <col min="6658" max="6658" width="18.7109375" style="158" customWidth="1"/>
    <col min="6659" max="6660" width="9.140625" style="158"/>
    <col min="6661" max="6661" width="1.7109375" style="158" customWidth="1"/>
    <col min="6662" max="6666" width="10.7109375" style="158" customWidth="1"/>
    <col min="6667" max="6668" width="9.140625" style="158"/>
    <col min="6669" max="6670" width="10.7109375" style="158" customWidth="1"/>
    <col min="6671" max="6913" width="9.140625" style="158"/>
    <col min="6914" max="6914" width="18.7109375" style="158" customWidth="1"/>
    <col min="6915" max="6916" width="9.140625" style="158"/>
    <col min="6917" max="6917" width="1.7109375" style="158" customWidth="1"/>
    <col min="6918" max="6922" width="10.7109375" style="158" customWidth="1"/>
    <col min="6923" max="6924" width="9.140625" style="158"/>
    <col min="6925" max="6926" width="10.7109375" style="158" customWidth="1"/>
    <col min="6927" max="7169" width="9.140625" style="158"/>
    <col min="7170" max="7170" width="18.7109375" style="158" customWidth="1"/>
    <col min="7171" max="7172" width="9.140625" style="158"/>
    <col min="7173" max="7173" width="1.7109375" style="158" customWidth="1"/>
    <col min="7174" max="7178" width="10.7109375" style="158" customWidth="1"/>
    <col min="7179" max="7180" width="9.140625" style="158"/>
    <col min="7181" max="7182" width="10.7109375" style="158" customWidth="1"/>
    <col min="7183" max="7425" width="9.140625" style="158"/>
    <col min="7426" max="7426" width="18.7109375" style="158" customWidth="1"/>
    <col min="7427" max="7428" width="9.140625" style="158"/>
    <col min="7429" max="7429" width="1.7109375" style="158" customWidth="1"/>
    <col min="7430" max="7434" width="10.7109375" style="158" customWidth="1"/>
    <col min="7435" max="7436" width="9.140625" style="158"/>
    <col min="7437" max="7438" width="10.7109375" style="158" customWidth="1"/>
    <col min="7439" max="7681" width="9.140625" style="158"/>
    <col min="7682" max="7682" width="18.7109375" style="158" customWidth="1"/>
    <col min="7683" max="7684" width="9.140625" style="158"/>
    <col min="7685" max="7685" width="1.7109375" style="158" customWidth="1"/>
    <col min="7686" max="7690" width="10.7109375" style="158" customWidth="1"/>
    <col min="7691" max="7692" width="9.140625" style="158"/>
    <col min="7693" max="7694" width="10.7109375" style="158" customWidth="1"/>
    <col min="7695" max="7937" width="9.140625" style="158"/>
    <col min="7938" max="7938" width="18.7109375" style="158" customWidth="1"/>
    <col min="7939" max="7940" width="9.140625" style="158"/>
    <col min="7941" max="7941" width="1.7109375" style="158" customWidth="1"/>
    <col min="7942" max="7946" width="10.7109375" style="158" customWidth="1"/>
    <col min="7947" max="7948" width="9.140625" style="158"/>
    <col min="7949" max="7950" width="10.7109375" style="158" customWidth="1"/>
    <col min="7951" max="8193" width="9.140625" style="158"/>
    <col min="8194" max="8194" width="18.7109375" style="158" customWidth="1"/>
    <col min="8195" max="8196" width="9.140625" style="158"/>
    <col min="8197" max="8197" width="1.7109375" style="158" customWidth="1"/>
    <col min="8198" max="8202" width="10.7109375" style="158" customWidth="1"/>
    <col min="8203" max="8204" width="9.140625" style="158"/>
    <col min="8205" max="8206" width="10.7109375" style="158" customWidth="1"/>
    <col min="8207" max="8449" width="9.140625" style="158"/>
    <col min="8450" max="8450" width="18.7109375" style="158" customWidth="1"/>
    <col min="8451" max="8452" width="9.140625" style="158"/>
    <col min="8453" max="8453" width="1.7109375" style="158" customWidth="1"/>
    <col min="8454" max="8458" width="10.7109375" style="158" customWidth="1"/>
    <col min="8459" max="8460" width="9.140625" style="158"/>
    <col min="8461" max="8462" width="10.7109375" style="158" customWidth="1"/>
    <col min="8463" max="8705" width="9.140625" style="158"/>
    <col min="8706" max="8706" width="18.7109375" style="158" customWidth="1"/>
    <col min="8707" max="8708" width="9.140625" style="158"/>
    <col min="8709" max="8709" width="1.7109375" style="158" customWidth="1"/>
    <col min="8710" max="8714" width="10.7109375" style="158" customWidth="1"/>
    <col min="8715" max="8716" width="9.140625" style="158"/>
    <col min="8717" max="8718" width="10.7109375" style="158" customWidth="1"/>
    <col min="8719" max="8961" width="9.140625" style="158"/>
    <col min="8962" max="8962" width="18.7109375" style="158" customWidth="1"/>
    <col min="8963" max="8964" width="9.140625" style="158"/>
    <col min="8965" max="8965" width="1.7109375" style="158" customWidth="1"/>
    <col min="8966" max="8970" width="10.7109375" style="158" customWidth="1"/>
    <col min="8971" max="8972" width="9.140625" style="158"/>
    <col min="8973" max="8974" width="10.7109375" style="158" customWidth="1"/>
    <col min="8975" max="9217" width="9.140625" style="158"/>
    <col min="9218" max="9218" width="18.7109375" style="158" customWidth="1"/>
    <col min="9219" max="9220" width="9.140625" style="158"/>
    <col min="9221" max="9221" width="1.7109375" style="158" customWidth="1"/>
    <col min="9222" max="9226" width="10.7109375" style="158" customWidth="1"/>
    <col min="9227" max="9228" width="9.140625" style="158"/>
    <col min="9229" max="9230" width="10.7109375" style="158" customWidth="1"/>
    <col min="9231" max="9473" width="9.140625" style="158"/>
    <col min="9474" max="9474" width="18.7109375" style="158" customWidth="1"/>
    <col min="9475" max="9476" width="9.140625" style="158"/>
    <col min="9477" max="9477" width="1.7109375" style="158" customWidth="1"/>
    <col min="9478" max="9482" width="10.7109375" style="158" customWidth="1"/>
    <col min="9483" max="9484" width="9.140625" style="158"/>
    <col min="9485" max="9486" width="10.7109375" style="158" customWidth="1"/>
    <col min="9487" max="9729" width="9.140625" style="158"/>
    <col min="9730" max="9730" width="18.7109375" style="158" customWidth="1"/>
    <col min="9731" max="9732" width="9.140625" style="158"/>
    <col min="9733" max="9733" width="1.7109375" style="158" customWidth="1"/>
    <col min="9734" max="9738" width="10.7109375" style="158" customWidth="1"/>
    <col min="9739" max="9740" width="9.140625" style="158"/>
    <col min="9741" max="9742" width="10.7109375" style="158" customWidth="1"/>
    <col min="9743" max="9985" width="9.140625" style="158"/>
    <col min="9986" max="9986" width="18.7109375" style="158" customWidth="1"/>
    <col min="9987" max="9988" width="9.140625" style="158"/>
    <col min="9989" max="9989" width="1.7109375" style="158" customWidth="1"/>
    <col min="9990" max="9994" width="10.7109375" style="158" customWidth="1"/>
    <col min="9995" max="9996" width="9.140625" style="158"/>
    <col min="9997" max="9998" width="10.7109375" style="158" customWidth="1"/>
    <col min="9999" max="10241" width="9.140625" style="158"/>
    <col min="10242" max="10242" width="18.7109375" style="158" customWidth="1"/>
    <col min="10243" max="10244" width="9.140625" style="158"/>
    <col min="10245" max="10245" width="1.7109375" style="158" customWidth="1"/>
    <col min="10246" max="10250" width="10.7109375" style="158" customWidth="1"/>
    <col min="10251" max="10252" width="9.140625" style="158"/>
    <col min="10253" max="10254" width="10.7109375" style="158" customWidth="1"/>
    <col min="10255" max="10497" width="9.140625" style="158"/>
    <col min="10498" max="10498" width="18.7109375" style="158" customWidth="1"/>
    <col min="10499" max="10500" width="9.140625" style="158"/>
    <col min="10501" max="10501" width="1.7109375" style="158" customWidth="1"/>
    <col min="10502" max="10506" width="10.7109375" style="158" customWidth="1"/>
    <col min="10507" max="10508" width="9.140625" style="158"/>
    <col min="10509" max="10510" width="10.7109375" style="158" customWidth="1"/>
    <col min="10511" max="10753" width="9.140625" style="158"/>
    <col min="10754" max="10754" width="18.7109375" style="158" customWidth="1"/>
    <col min="10755" max="10756" width="9.140625" style="158"/>
    <col min="10757" max="10757" width="1.7109375" style="158" customWidth="1"/>
    <col min="10758" max="10762" width="10.7109375" style="158" customWidth="1"/>
    <col min="10763" max="10764" width="9.140625" style="158"/>
    <col min="10765" max="10766" width="10.7109375" style="158" customWidth="1"/>
    <col min="10767" max="11009" width="9.140625" style="158"/>
    <col min="11010" max="11010" width="18.7109375" style="158" customWidth="1"/>
    <col min="11011" max="11012" width="9.140625" style="158"/>
    <col min="11013" max="11013" width="1.7109375" style="158" customWidth="1"/>
    <col min="11014" max="11018" width="10.7109375" style="158" customWidth="1"/>
    <col min="11019" max="11020" width="9.140625" style="158"/>
    <col min="11021" max="11022" width="10.7109375" style="158" customWidth="1"/>
    <col min="11023" max="11265" width="9.140625" style="158"/>
    <col min="11266" max="11266" width="18.7109375" style="158" customWidth="1"/>
    <col min="11267" max="11268" width="9.140625" style="158"/>
    <col min="11269" max="11269" width="1.7109375" style="158" customWidth="1"/>
    <col min="11270" max="11274" width="10.7109375" style="158" customWidth="1"/>
    <col min="11275" max="11276" width="9.140625" style="158"/>
    <col min="11277" max="11278" width="10.7109375" style="158" customWidth="1"/>
    <col min="11279" max="11521" width="9.140625" style="158"/>
    <col min="11522" max="11522" width="18.7109375" style="158" customWidth="1"/>
    <col min="11523" max="11524" width="9.140625" style="158"/>
    <col min="11525" max="11525" width="1.7109375" style="158" customWidth="1"/>
    <col min="11526" max="11530" width="10.7109375" style="158" customWidth="1"/>
    <col min="11531" max="11532" width="9.140625" style="158"/>
    <col min="11533" max="11534" width="10.7109375" style="158" customWidth="1"/>
    <col min="11535" max="11777" width="9.140625" style="158"/>
    <col min="11778" max="11778" width="18.7109375" style="158" customWidth="1"/>
    <col min="11779" max="11780" width="9.140625" style="158"/>
    <col min="11781" max="11781" width="1.7109375" style="158" customWidth="1"/>
    <col min="11782" max="11786" width="10.7109375" style="158" customWidth="1"/>
    <col min="11787" max="11788" width="9.140625" style="158"/>
    <col min="11789" max="11790" width="10.7109375" style="158" customWidth="1"/>
    <col min="11791" max="12033" width="9.140625" style="158"/>
    <col min="12034" max="12034" width="18.7109375" style="158" customWidth="1"/>
    <col min="12035" max="12036" width="9.140625" style="158"/>
    <col min="12037" max="12037" width="1.7109375" style="158" customWidth="1"/>
    <col min="12038" max="12042" width="10.7109375" style="158" customWidth="1"/>
    <col min="12043" max="12044" width="9.140625" style="158"/>
    <col min="12045" max="12046" width="10.7109375" style="158" customWidth="1"/>
    <col min="12047" max="12289" width="9.140625" style="158"/>
    <col min="12290" max="12290" width="18.7109375" style="158" customWidth="1"/>
    <col min="12291" max="12292" width="9.140625" style="158"/>
    <col min="12293" max="12293" width="1.7109375" style="158" customWidth="1"/>
    <col min="12294" max="12298" width="10.7109375" style="158" customWidth="1"/>
    <col min="12299" max="12300" width="9.140625" style="158"/>
    <col min="12301" max="12302" width="10.7109375" style="158" customWidth="1"/>
    <col min="12303" max="12545" width="9.140625" style="158"/>
    <col min="12546" max="12546" width="18.7109375" style="158" customWidth="1"/>
    <col min="12547" max="12548" width="9.140625" style="158"/>
    <col min="12549" max="12549" width="1.7109375" style="158" customWidth="1"/>
    <col min="12550" max="12554" width="10.7109375" style="158" customWidth="1"/>
    <col min="12555" max="12556" width="9.140625" style="158"/>
    <col min="12557" max="12558" width="10.7109375" style="158" customWidth="1"/>
    <col min="12559" max="12801" width="9.140625" style="158"/>
    <col min="12802" max="12802" width="18.7109375" style="158" customWidth="1"/>
    <col min="12803" max="12804" width="9.140625" style="158"/>
    <col min="12805" max="12805" width="1.7109375" style="158" customWidth="1"/>
    <col min="12806" max="12810" width="10.7109375" style="158" customWidth="1"/>
    <col min="12811" max="12812" width="9.140625" style="158"/>
    <col min="12813" max="12814" width="10.7109375" style="158" customWidth="1"/>
    <col min="12815" max="13057" width="9.140625" style="158"/>
    <col min="13058" max="13058" width="18.7109375" style="158" customWidth="1"/>
    <col min="13059" max="13060" width="9.140625" style="158"/>
    <col min="13061" max="13061" width="1.7109375" style="158" customWidth="1"/>
    <col min="13062" max="13066" width="10.7109375" style="158" customWidth="1"/>
    <col min="13067" max="13068" width="9.140625" style="158"/>
    <col min="13069" max="13070" width="10.7109375" style="158" customWidth="1"/>
    <col min="13071" max="13313" width="9.140625" style="158"/>
    <col min="13314" max="13314" width="18.7109375" style="158" customWidth="1"/>
    <col min="13315" max="13316" width="9.140625" style="158"/>
    <col min="13317" max="13317" width="1.7109375" style="158" customWidth="1"/>
    <col min="13318" max="13322" width="10.7109375" style="158" customWidth="1"/>
    <col min="13323" max="13324" width="9.140625" style="158"/>
    <col min="13325" max="13326" width="10.7109375" style="158" customWidth="1"/>
    <col min="13327" max="13569" width="9.140625" style="158"/>
    <col min="13570" max="13570" width="18.7109375" style="158" customWidth="1"/>
    <col min="13571" max="13572" width="9.140625" style="158"/>
    <col min="13573" max="13573" width="1.7109375" style="158" customWidth="1"/>
    <col min="13574" max="13578" width="10.7109375" style="158" customWidth="1"/>
    <col min="13579" max="13580" width="9.140625" style="158"/>
    <col min="13581" max="13582" width="10.7109375" style="158" customWidth="1"/>
    <col min="13583" max="13825" width="9.140625" style="158"/>
    <col min="13826" max="13826" width="18.7109375" style="158" customWidth="1"/>
    <col min="13827" max="13828" width="9.140625" style="158"/>
    <col min="13829" max="13829" width="1.7109375" style="158" customWidth="1"/>
    <col min="13830" max="13834" width="10.7109375" style="158" customWidth="1"/>
    <col min="13835" max="13836" width="9.140625" style="158"/>
    <col min="13837" max="13838" width="10.7109375" style="158" customWidth="1"/>
    <col min="13839" max="14081" width="9.140625" style="158"/>
    <col min="14082" max="14082" width="18.7109375" style="158" customWidth="1"/>
    <col min="14083" max="14084" width="9.140625" style="158"/>
    <col min="14085" max="14085" width="1.7109375" style="158" customWidth="1"/>
    <col min="14086" max="14090" width="10.7109375" style="158" customWidth="1"/>
    <col min="14091" max="14092" width="9.140625" style="158"/>
    <col min="14093" max="14094" width="10.7109375" style="158" customWidth="1"/>
    <col min="14095" max="14337" width="9.140625" style="158"/>
    <col min="14338" max="14338" width="18.7109375" style="158" customWidth="1"/>
    <col min="14339" max="14340" width="9.140625" style="158"/>
    <col min="14341" max="14341" width="1.7109375" style="158" customWidth="1"/>
    <col min="14342" max="14346" width="10.7109375" style="158" customWidth="1"/>
    <col min="14347" max="14348" width="9.140625" style="158"/>
    <col min="14349" max="14350" width="10.7109375" style="158" customWidth="1"/>
    <col min="14351" max="14593" width="9.140625" style="158"/>
    <col min="14594" max="14594" width="18.7109375" style="158" customWidth="1"/>
    <col min="14595" max="14596" width="9.140625" style="158"/>
    <col min="14597" max="14597" width="1.7109375" style="158" customWidth="1"/>
    <col min="14598" max="14602" width="10.7109375" style="158" customWidth="1"/>
    <col min="14603" max="14604" width="9.140625" style="158"/>
    <col min="14605" max="14606" width="10.7109375" style="158" customWidth="1"/>
    <col min="14607" max="14849" width="9.140625" style="158"/>
    <col min="14850" max="14850" width="18.7109375" style="158" customWidth="1"/>
    <col min="14851" max="14852" width="9.140625" style="158"/>
    <col min="14853" max="14853" width="1.7109375" style="158" customWidth="1"/>
    <col min="14854" max="14858" width="10.7109375" style="158" customWidth="1"/>
    <col min="14859" max="14860" width="9.140625" style="158"/>
    <col min="14861" max="14862" width="10.7109375" style="158" customWidth="1"/>
    <col min="14863" max="15105" width="9.140625" style="158"/>
    <col min="15106" max="15106" width="18.7109375" style="158" customWidth="1"/>
    <col min="15107" max="15108" width="9.140625" style="158"/>
    <col min="15109" max="15109" width="1.7109375" style="158" customWidth="1"/>
    <col min="15110" max="15114" width="10.7109375" style="158" customWidth="1"/>
    <col min="15115" max="15116" width="9.140625" style="158"/>
    <col min="15117" max="15118" width="10.7109375" style="158" customWidth="1"/>
    <col min="15119" max="15361" width="9.140625" style="158"/>
    <col min="15362" max="15362" width="18.7109375" style="158" customWidth="1"/>
    <col min="15363" max="15364" width="9.140625" style="158"/>
    <col min="15365" max="15365" width="1.7109375" style="158" customWidth="1"/>
    <col min="15366" max="15370" width="10.7109375" style="158" customWidth="1"/>
    <col min="15371" max="15372" width="9.140625" style="158"/>
    <col min="15373" max="15374" width="10.7109375" style="158" customWidth="1"/>
    <col min="15375" max="15617" width="9.140625" style="158"/>
    <col min="15618" max="15618" width="18.7109375" style="158" customWidth="1"/>
    <col min="15619" max="15620" width="9.140625" style="158"/>
    <col min="15621" max="15621" width="1.7109375" style="158" customWidth="1"/>
    <col min="15622" max="15626" width="10.7109375" style="158" customWidth="1"/>
    <col min="15627" max="15628" width="9.140625" style="158"/>
    <col min="15629" max="15630" width="10.7109375" style="158" customWidth="1"/>
    <col min="15631" max="15873" width="9.140625" style="158"/>
    <col min="15874" max="15874" width="18.7109375" style="158" customWidth="1"/>
    <col min="15875" max="15876" width="9.140625" style="158"/>
    <col min="15877" max="15877" width="1.7109375" style="158" customWidth="1"/>
    <col min="15878" max="15882" width="10.7109375" style="158" customWidth="1"/>
    <col min="15883" max="15884" width="9.140625" style="158"/>
    <col min="15885" max="15886" width="10.7109375" style="158" customWidth="1"/>
    <col min="15887" max="16129" width="9.140625" style="158"/>
    <col min="16130" max="16130" width="18.7109375" style="158" customWidth="1"/>
    <col min="16131" max="16132" width="9.140625" style="158"/>
    <col min="16133" max="16133" width="1.7109375" style="158" customWidth="1"/>
    <col min="16134" max="16138" width="10.7109375" style="158" customWidth="1"/>
    <col min="16139" max="16140" width="9.140625" style="158"/>
    <col min="16141" max="16142" width="10.7109375" style="158" customWidth="1"/>
    <col min="16143" max="16384" width="9.140625" style="158"/>
  </cols>
  <sheetData>
    <row r="2" spans="2:15" ht="18" x14ac:dyDescent="0.25">
      <c r="B2" s="159" t="s">
        <v>526</v>
      </c>
    </row>
    <row r="3" spans="2:15" ht="18" x14ac:dyDescent="0.25">
      <c r="B3" s="159"/>
    </row>
    <row r="4" spans="2:15" ht="13.5" thickBot="1" x14ac:dyDescent="0.25"/>
    <row r="5" spans="2:15" ht="15.75" x14ac:dyDescent="0.25">
      <c r="B5" s="405" t="s">
        <v>516</v>
      </c>
      <c r="C5" s="406" t="s">
        <v>1</v>
      </c>
      <c r="D5" s="294" t="s">
        <v>15</v>
      </c>
      <c r="E5" s="294"/>
      <c r="F5" s="406" t="s">
        <v>1</v>
      </c>
      <c r="G5" s="407" t="s">
        <v>15</v>
      </c>
      <c r="I5" s="337" t="s">
        <v>517</v>
      </c>
      <c r="J5" s="299"/>
      <c r="M5" s="165" t="s">
        <v>518</v>
      </c>
      <c r="N5" s="176" t="s">
        <v>15</v>
      </c>
      <c r="O5" s="408" t="s">
        <v>504</v>
      </c>
    </row>
    <row r="6" spans="2:15" x14ac:dyDescent="0.2">
      <c r="B6" s="409"/>
      <c r="C6" s="318" t="s">
        <v>328</v>
      </c>
      <c r="D6" s="317" t="s">
        <v>328</v>
      </c>
      <c r="E6" s="317"/>
      <c r="F6" s="318" t="s">
        <v>3</v>
      </c>
      <c r="G6" s="319" t="s">
        <v>3</v>
      </c>
      <c r="I6" s="305" t="s">
        <v>519</v>
      </c>
      <c r="J6" s="307" t="s">
        <v>520</v>
      </c>
      <c r="M6" s="167" t="s">
        <v>3</v>
      </c>
      <c r="N6" s="191" t="s">
        <v>521</v>
      </c>
      <c r="O6" s="362" t="s">
        <v>506</v>
      </c>
    </row>
    <row r="7" spans="2:15" ht="13.5" thickBot="1" x14ac:dyDescent="0.25">
      <c r="B7" s="410" t="s">
        <v>0</v>
      </c>
      <c r="C7" s="411" t="s">
        <v>0</v>
      </c>
      <c r="D7" s="412" t="s">
        <v>0</v>
      </c>
      <c r="E7" s="412"/>
      <c r="F7" s="411" t="s">
        <v>0</v>
      </c>
      <c r="G7" s="413" t="s">
        <v>0</v>
      </c>
      <c r="I7" s="313" t="s">
        <v>483</v>
      </c>
      <c r="J7" s="315" t="s">
        <v>0</v>
      </c>
      <c r="M7" s="167" t="s">
        <v>223</v>
      </c>
      <c r="N7" s="191" t="s">
        <v>223</v>
      </c>
      <c r="O7" s="362" t="s">
        <v>3</v>
      </c>
    </row>
    <row r="8" spans="2:15" x14ac:dyDescent="0.2">
      <c r="B8" s="316"/>
      <c r="C8" s="317"/>
      <c r="D8" s="317"/>
      <c r="E8" s="317"/>
      <c r="F8" s="318"/>
      <c r="G8" s="319"/>
      <c r="I8" s="320"/>
      <c r="J8" s="322"/>
      <c r="M8" s="167"/>
      <c r="N8" s="191"/>
      <c r="O8" s="362"/>
    </row>
    <row r="9" spans="2:15" x14ac:dyDescent="0.2">
      <c r="B9" s="316"/>
      <c r="C9" s="317"/>
      <c r="D9" s="317"/>
      <c r="E9" s="317"/>
      <c r="F9" s="318"/>
      <c r="G9" s="319"/>
      <c r="I9" s="320"/>
      <c r="J9" s="322"/>
      <c r="M9" s="167"/>
      <c r="N9" s="191"/>
      <c r="O9" s="362"/>
    </row>
    <row r="10" spans="2:15" x14ac:dyDescent="0.2">
      <c r="B10" s="316" t="s">
        <v>340</v>
      </c>
      <c r="C10" s="323">
        <v>0.10199999999999999</v>
      </c>
      <c r="D10" s="323">
        <v>9.3399999999999997E-2</v>
      </c>
      <c r="E10" s="317"/>
      <c r="F10" s="324">
        <v>15</v>
      </c>
      <c r="G10" s="325">
        <v>15</v>
      </c>
      <c r="I10" s="326">
        <f>(C10-D10)*((1+G10/100)/(1+G$17/100)-1)</f>
        <v>7.7830291216692839E-4</v>
      </c>
      <c r="J10" s="328">
        <f>C10*((1+F10/100)/(1+G10/100)-1)*(1+G10/100)/(1+O$17/100)</f>
        <v>0</v>
      </c>
      <c r="M10" s="414">
        <f t="shared" ref="M10:N14" si="0">+C10*F10</f>
        <v>1.5299999999999998</v>
      </c>
      <c r="N10" s="415">
        <f t="shared" si="0"/>
        <v>1.401</v>
      </c>
      <c r="O10" s="416">
        <f>+C10*G10</f>
        <v>1.5299999999999998</v>
      </c>
    </row>
    <row r="11" spans="2:15" x14ac:dyDescent="0.2">
      <c r="B11" s="316" t="s">
        <v>341</v>
      </c>
      <c r="C11" s="323">
        <v>5.1999999999999998E-2</v>
      </c>
      <c r="D11" s="323">
        <v>8.9999999999999998E-4</v>
      </c>
      <c r="E11" s="317"/>
      <c r="F11" s="324">
        <v>-25</v>
      </c>
      <c r="G11" s="325">
        <v>-25</v>
      </c>
      <c r="I11" s="326">
        <f>(C11-D11)*((1+G11/100)/(1+G$17/100)-1)</f>
        <v>-1.4757890888898123E-2</v>
      </c>
      <c r="J11" s="328">
        <f>C11*((1+F11/100)/(1+G11/100)-1)*(1+G11/100)/(1+O$17/100)</f>
        <v>0</v>
      </c>
      <c r="M11" s="414">
        <f t="shared" si="0"/>
        <v>-1.3</v>
      </c>
      <c r="N11" s="415">
        <f t="shared" si="0"/>
        <v>-2.2499999999999999E-2</v>
      </c>
      <c r="O11" s="416">
        <f>+C11*G11</f>
        <v>-1.3</v>
      </c>
    </row>
    <row r="12" spans="2:15" x14ac:dyDescent="0.2">
      <c r="B12" s="316" t="s">
        <v>342</v>
      </c>
      <c r="C12" s="323">
        <v>0.15</v>
      </c>
      <c r="D12" s="323">
        <v>0.20780000000000001</v>
      </c>
      <c r="E12" s="317"/>
      <c r="F12" s="324">
        <v>3.4</v>
      </c>
      <c r="G12" s="325">
        <v>3.4</v>
      </c>
      <c r="I12" s="326">
        <f>(C12-D12)*((1+G12/100)/(1+G$17/100)-1)</f>
        <v>1.1269818800567269E-3</v>
      </c>
      <c r="J12" s="328">
        <f>C12*((1+F12/100)/(1+G12/100)-1)*(1+G12/100)/(1+O$17/100)</f>
        <v>0</v>
      </c>
      <c r="M12" s="414">
        <f t="shared" si="0"/>
        <v>0.51</v>
      </c>
      <c r="N12" s="415">
        <f t="shared" si="0"/>
        <v>0.70652000000000004</v>
      </c>
      <c r="O12" s="416">
        <f>+C12*G12</f>
        <v>0.51</v>
      </c>
    </row>
    <row r="13" spans="2:15" x14ac:dyDescent="0.2">
      <c r="B13" s="316" t="s">
        <v>343</v>
      </c>
      <c r="C13" s="323">
        <v>0.22</v>
      </c>
      <c r="D13" s="323">
        <v>0.1467</v>
      </c>
      <c r="E13" s="317"/>
      <c r="F13" s="324">
        <v>-5.2</v>
      </c>
      <c r="G13" s="325">
        <v>-5.2</v>
      </c>
      <c r="I13" s="326">
        <f>(C13-D13)*((1+G13/100)/(1+G$17/100)-1)</f>
        <v>-7.4068489300484937E-3</v>
      </c>
      <c r="J13" s="328">
        <f>C13*((1+F13/100)/(1+G13/100)-1)*(1+G13/100)/(1+O$17/100)</f>
        <v>0</v>
      </c>
      <c r="M13" s="414">
        <f t="shared" si="0"/>
        <v>-1.1440000000000001</v>
      </c>
      <c r="N13" s="415">
        <f t="shared" si="0"/>
        <v>-0.76283999999999996</v>
      </c>
      <c r="O13" s="416">
        <f>+C13*G13</f>
        <v>-1.1440000000000001</v>
      </c>
    </row>
    <row r="14" spans="2:15" x14ac:dyDescent="0.2">
      <c r="B14" s="316" t="s">
        <v>527</v>
      </c>
      <c r="C14" s="323">
        <v>0.47599999999999998</v>
      </c>
      <c r="D14" s="323">
        <v>0.55120000000000002</v>
      </c>
      <c r="E14" s="317"/>
      <c r="F14" s="324">
        <v>6.9</v>
      </c>
      <c r="G14" s="325">
        <v>7.5</v>
      </c>
      <c r="I14" s="326">
        <f>(C14-D14)*((1+G14/100)/(1+G$17/100)-1)</f>
        <v>-1.457432499451429E-3</v>
      </c>
      <c r="J14" s="328">
        <f>C14*((1+F14/100)/(1+G14/100)-1)*(1+G14/100)/(1+O$17/100)</f>
        <v>-2.7683539150495122E-3</v>
      </c>
      <c r="M14" s="414">
        <f t="shared" si="0"/>
        <v>3.2844000000000002</v>
      </c>
      <c r="N14" s="415">
        <f t="shared" si="0"/>
        <v>4.1340000000000003</v>
      </c>
      <c r="O14" s="416">
        <f>+C14*G14</f>
        <v>3.57</v>
      </c>
    </row>
    <row r="15" spans="2:15" x14ac:dyDescent="0.2">
      <c r="B15" s="316"/>
      <c r="C15" s="323"/>
      <c r="D15" s="323"/>
      <c r="E15" s="317"/>
      <c r="F15" s="318"/>
      <c r="G15" s="319"/>
      <c r="I15" s="320"/>
      <c r="J15" s="322"/>
      <c r="M15" s="414" t="s">
        <v>0</v>
      </c>
      <c r="N15" s="415" t="s">
        <v>0</v>
      </c>
      <c r="O15" s="416" t="s">
        <v>0</v>
      </c>
    </row>
    <row r="16" spans="2:15" x14ac:dyDescent="0.2">
      <c r="B16" s="316"/>
      <c r="C16" s="323"/>
      <c r="D16" s="323"/>
      <c r="E16" s="317"/>
      <c r="F16" s="318"/>
      <c r="G16" s="319"/>
      <c r="I16" s="320"/>
      <c r="J16" s="322"/>
      <c r="M16" s="414"/>
      <c r="N16" s="415"/>
      <c r="O16" s="416"/>
    </row>
    <row r="17" spans="2:15" ht="13.5" thickBot="1" x14ac:dyDescent="0.25">
      <c r="B17" s="329" t="s">
        <v>16</v>
      </c>
      <c r="C17" s="330">
        <f>SUM(C10:C14)</f>
        <v>1</v>
      </c>
      <c r="D17" s="330">
        <f>SUM(D10:D14)</f>
        <v>1</v>
      </c>
      <c r="E17" s="331"/>
      <c r="F17" s="332">
        <f>+M17</f>
        <v>2.8803999999999998</v>
      </c>
      <c r="G17" s="333">
        <f>+N17</f>
        <v>5.4561800000000007</v>
      </c>
      <c r="H17" s="171"/>
      <c r="I17" s="334">
        <f>SUM(I10:I14)</f>
        <v>-2.1716887526174389E-2</v>
      </c>
      <c r="J17" s="336">
        <f>SUM(J10:J14)</f>
        <v>-2.7683539150495122E-3</v>
      </c>
      <c r="M17" s="363">
        <f>SUM(M10:M14)</f>
        <v>2.8803999999999998</v>
      </c>
      <c r="N17" s="364">
        <f>SUM(N10:N14)</f>
        <v>5.4561800000000007</v>
      </c>
      <c r="O17" s="417">
        <f>SUM(O10:O14)</f>
        <v>3.1659999999999995</v>
      </c>
    </row>
    <row r="19" spans="2:15" ht="13.5" thickBot="1" x14ac:dyDescent="0.25">
      <c r="M19" s="158" t="s">
        <v>0</v>
      </c>
    </row>
    <row r="20" spans="2:15" ht="15.75" x14ac:dyDescent="0.25">
      <c r="I20" s="337" t="s">
        <v>507</v>
      </c>
      <c r="J20" s="418"/>
      <c r="K20" s="339">
        <f>(1+F17/100)/(1+G17/100)-1</f>
        <v>-2.4425121410618145E-2</v>
      </c>
    </row>
    <row r="21" spans="2:15" ht="13.5" thickBot="1" x14ac:dyDescent="0.25">
      <c r="I21" s="320"/>
      <c r="J21" s="321"/>
      <c r="K21" s="367"/>
      <c r="M21" s="158" t="s">
        <v>223</v>
      </c>
    </row>
    <row r="22" spans="2:15" x14ac:dyDescent="0.2">
      <c r="I22" s="320" t="s">
        <v>522</v>
      </c>
      <c r="J22" s="321"/>
      <c r="K22" s="340">
        <f>+J17</f>
        <v>-2.7683539150495122E-3</v>
      </c>
      <c r="M22" s="368">
        <f>+(1+F17/100)/(1+O17/100)-1</f>
        <v>-2.7683539150494818E-3</v>
      </c>
    </row>
    <row r="23" spans="2:15" ht="13.5" thickBot="1" x14ac:dyDescent="0.25">
      <c r="I23" s="320" t="s">
        <v>523</v>
      </c>
      <c r="J23" s="321"/>
      <c r="K23" s="340">
        <f>+I17</f>
        <v>-2.1716887526174389E-2</v>
      </c>
      <c r="M23" s="369">
        <f>+(1+O17/100)/(1+G17/100)-1</f>
        <v>-2.1716887526174511E-2</v>
      </c>
    </row>
    <row r="24" spans="2:15" x14ac:dyDescent="0.2">
      <c r="I24" s="320" t="s">
        <v>0</v>
      </c>
      <c r="J24" s="321"/>
      <c r="K24" s="340" t="s">
        <v>0</v>
      </c>
    </row>
    <row r="25" spans="2:15" ht="13.5" thickBot="1" x14ac:dyDescent="0.25">
      <c r="I25" s="341" t="s">
        <v>524</v>
      </c>
      <c r="J25" s="342"/>
      <c r="K25" s="343">
        <f>(1+K20)/((1+K22)*(1+K23))-1</f>
        <v>0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F971-FB3B-4540-9FAD-E57566A7980C}">
  <dimension ref="B2:P114"/>
  <sheetViews>
    <sheetView topLeftCell="A70" workbookViewId="0">
      <selection activeCell="R53" sqref="R53"/>
    </sheetView>
  </sheetViews>
  <sheetFormatPr defaultRowHeight="12.75" x14ac:dyDescent="0.2"/>
  <cols>
    <col min="1" max="1" width="9.140625" style="158"/>
    <col min="2" max="2" width="18.7109375" style="158" customWidth="1"/>
    <col min="3" max="4" width="9.140625" style="158"/>
    <col min="5" max="5" width="2.7109375" style="158" customWidth="1"/>
    <col min="6" max="6" width="9.140625" style="158"/>
    <col min="7" max="7" width="10.7109375" style="158" customWidth="1"/>
    <col min="8" max="8" width="2.7109375" style="158" customWidth="1"/>
    <col min="9" max="12" width="9.140625" style="158"/>
    <col min="13" max="14" width="10.7109375" style="158" customWidth="1"/>
    <col min="15" max="26" width="9.140625" style="158"/>
    <col min="27" max="27" width="15.7109375" style="158" customWidth="1"/>
    <col min="28" max="29" width="9.140625" style="158"/>
    <col min="30" max="30" width="2.7109375" style="158" customWidth="1"/>
    <col min="31" max="31" width="9.140625" style="158"/>
    <col min="32" max="32" width="10.7109375" style="158" customWidth="1"/>
    <col min="33" max="257" width="9.140625" style="158"/>
    <col min="258" max="258" width="18.7109375" style="158" customWidth="1"/>
    <col min="259" max="260" width="9.140625" style="158"/>
    <col min="261" max="261" width="2.7109375" style="158" customWidth="1"/>
    <col min="262" max="262" width="9.140625" style="158"/>
    <col min="263" max="263" width="10.7109375" style="158" customWidth="1"/>
    <col min="264" max="264" width="2.7109375" style="158" customWidth="1"/>
    <col min="265" max="268" width="9.140625" style="158"/>
    <col min="269" max="270" width="10.7109375" style="158" customWidth="1"/>
    <col min="271" max="282" width="9.140625" style="158"/>
    <col min="283" max="283" width="15.7109375" style="158" customWidth="1"/>
    <col min="284" max="285" width="9.140625" style="158"/>
    <col min="286" max="286" width="2.7109375" style="158" customWidth="1"/>
    <col min="287" max="287" width="9.140625" style="158"/>
    <col min="288" max="288" width="10.7109375" style="158" customWidth="1"/>
    <col min="289" max="513" width="9.140625" style="158"/>
    <col min="514" max="514" width="18.7109375" style="158" customWidth="1"/>
    <col min="515" max="516" width="9.140625" style="158"/>
    <col min="517" max="517" width="2.7109375" style="158" customWidth="1"/>
    <col min="518" max="518" width="9.140625" style="158"/>
    <col min="519" max="519" width="10.7109375" style="158" customWidth="1"/>
    <col min="520" max="520" width="2.7109375" style="158" customWidth="1"/>
    <col min="521" max="524" width="9.140625" style="158"/>
    <col min="525" max="526" width="10.7109375" style="158" customWidth="1"/>
    <col min="527" max="538" width="9.140625" style="158"/>
    <col min="539" max="539" width="15.7109375" style="158" customWidth="1"/>
    <col min="540" max="541" width="9.140625" style="158"/>
    <col min="542" max="542" width="2.7109375" style="158" customWidth="1"/>
    <col min="543" max="543" width="9.140625" style="158"/>
    <col min="544" max="544" width="10.7109375" style="158" customWidth="1"/>
    <col min="545" max="769" width="9.140625" style="158"/>
    <col min="770" max="770" width="18.7109375" style="158" customWidth="1"/>
    <col min="771" max="772" width="9.140625" style="158"/>
    <col min="773" max="773" width="2.7109375" style="158" customWidth="1"/>
    <col min="774" max="774" width="9.140625" style="158"/>
    <col min="775" max="775" width="10.7109375" style="158" customWidth="1"/>
    <col min="776" max="776" width="2.7109375" style="158" customWidth="1"/>
    <col min="777" max="780" width="9.140625" style="158"/>
    <col min="781" max="782" width="10.7109375" style="158" customWidth="1"/>
    <col min="783" max="794" width="9.140625" style="158"/>
    <col min="795" max="795" width="15.7109375" style="158" customWidth="1"/>
    <col min="796" max="797" width="9.140625" style="158"/>
    <col min="798" max="798" width="2.7109375" style="158" customWidth="1"/>
    <col min="799" max="799" width="9.140625" style="158"/>
    <col min="800" max="800" width="10.7109375" style="158" customWidth="1"/>
    <col min="801" max="1025" width="9.140625" style="158"/>
    <col min="1026" max="1026" width="18.7109375" style="158" customWidth="1"/>
    <col min="1027" max="1028" width="9.140625" style="158"/>
    <col min="1029" max="1029" width="2.7109375" style="158" customWidth="1"/>
    <col min="1030" max="1030" width="9.140625" style="158"/>
    <col min="1031" max="1031" width="10.7109375" style="158" customWidth="1"/>
    <col min="1032" max="1032" width="2.7109375" style="158" customWidth="1"/>
    <col min="1033" max="1036" width="9.140625" style="158"/>
    <col min="1037" max="1038" width="10.7109375" style="158" customWidth="1"/>
    <col min="1039" max="1050" width="9.140625" style="158"/>
    <col min="1051" max="1051" width="15.7109375" style="158" customWidth="1"/>
    <col min="1052" max="1053" width="9.140625" style="158"/>
    <col min="1054" max="1054" width="2.7109375" style="158" customWidth="1"/>
    <col min="1055" max="1055" width="9.140625" style="158"/>
    <col min="1056" max="1056" width="10.7109375" style="158" customWidth="1"/>
    <col min="1057" max="1281" width="9.140625" style="158"/>
    <col min="1282" max="1282" width="18.7109375" style="158" customWidth="1"/>
    <col min="1283" max="1284" width="9.140625" style="158"/>
    <col min="1285" max="1285" width="2.7109375" style="158" customWidth="1"/>
    <col min="1286" max="1286" width="9.140625" style="158"/>
    <col min="1287" max="1287" width="10.7109375" style="158" customWidth="1"/>
    <col min="1288" max="1288" width="2.7109375" style="158" customWidth="1"/>
    <col min="1289" max="1292" width="9.140625" style="158"/>
    <col min="1293" max="1294" width="10.7109375" style="158" customWidth="1"/>
    <col min="1295" max="1306" width="9.140625" style="158"/>
    <col min="1307" max="1307" width="15.7109375" style="158" customWidth="1"/>
    <col min="1308" max="1309" width="9.140625" style="158"/>
    <col min="1310" max="1310" width="2.7109375" style="158" customWidth="1"/>
    <col min="1311" max="1311" width="9.140625" style="158"/>
    <col min="1312" max="1312" width="10.7109375" style="158" customWidth="1"/>
    <col min="1313" max="1537" width="9.140625" style="158"/>
    <col min="1538" max="1538" width="18.7109375" style="158" customWidth="1"/>
    <col min="1539" max="1540" width="9.140625" style="158"/>
    <col min="1541" max="1541" width="2.7109375" style="158" customWidth="1"/>
    <col min="1542" max="1542" width="9.140625" style="158"/>
    <col min="1543" max="1543" width="10.7109375" style="158" customWidth="1"/>
    <col min="1544" max="1544" width="2.7109375" style="158" customWidth="1"/>
    <col min="1545" max="1548" width="9.140625" style="158"/>
    <col min="1549" max="1550" width="10.7109375" style="158" customWidth="1"/>
    <col min="1551" max="1562" width="9.140625" style="158"/>
    <col min="1563" max="1563" width="15.7109375" style="158" customWidth="1"/>
    <col min="1564" max="1565" width="9.140625" style="158"/>
    <col min="1566" max="1566" width="2.7109375" style="158" customWidth="1"/>
    <col min="1567" max="1567" width="9.140625" style="158"/>
    <col min="1568" max="1568" width="10.7109375" style="158" customWidth="1"/>
    <col min="1569" max="1793" width="9.140625" style="158"/>
    <col min="1794" max="1794" width="18.7109375" style="158" customWidth="1"/>
    <col min="1795" max="1796" width="9.140625" style="158"/>
    <col min="1797" max="1797" width="2.7109375" style="158" customWidth="1"/>
    <col min="1798" max="1798" width="9.140625" style="158"/>
    <col min="1799" max="1799" width="10.7109375" style="158" customWidth="1"/>
    <col min="1800" max="1800" width="2.7109375" style="158" customWidth="1"/>
    <col min="1801" max="1804" width="9.140625" style="158"/>
    <col min="1805" max="1806" width="10.7109375" style="158" customWidth="1"/>
    <col min="1807" max="1818" width="9.140625" style="158"/>
    <col min="1819" max="1819" width="15.7109375" style="158" customWidth="1"/>
    <col min="1820" max="1821" width="9.140625" style="158"/>
    <col min="1822" max="1822" width="2.7109375" style="158" customWidth="1"/>
    <col min="1823" max="1823" width="9.140625" style="158"/>
    <col min="1824" max="1824" width="10.7109375" style="158" customWidth="1"/>
    <col min="1825" max="2049" width="9.140625" style="158"/>
    <col min="2050" max="2050" width="18.7109375" style="158" customWidth="1"/>
    <col min="2051" max="2052" width="9.140625" style="158"/>
    <col min="2053" max="2053" width="2.7109375" style="158" customWidth="1"/>
    <col min="2054" max="2054" width="9.140625" style="158"/>
    <col min="2055" max="2055" width="10.7109375" style="158" customWidth="1"/>
    <col min="2056" max="2056" width="2.7109375" style="158" customWidth="1"/>
    <col min="2057" max="2060" width="9.140625" style="158"/>
    <col min="2061" max="2062" width="10.7109375" style="158" customWidth="1"/>
    <col min="2063" max="2074" width="9.140625" style="158"/>
    <col min="2075" max="2075" width="15.7109375" style="158" customWidth="1"/>
    <col min="2076" max="2077" width="9.140625" style="158"/>
    <col min="2078" max="2078" width="2.7109375" style="158" customWidth="1"/>
    <col min="2079" max="2079" width="9.140625" style="158"/>
    <col min="2080" max="2080" width="10.7109375" style="158" customWidth="1"/>
    <col min="2081" max="2305" width="9.140625" style="158"/>
    <col min="2306" max="2306" width="18.7109375" style="158" customWidth="1"/>
    <col min="2307" max="2308" width="9.140625" style="158"/>
    <col min="2309" max="2309" width="2.7109375" style="158" customWidth="1"/>
    <col min="2310" max="2310" width="9.140625" style="158"/>
    <col min="2311" max="2311" width="10.7109375" style="158" customWidth="1"/>
    <col min="2312" max="2312" width="2.7109375" style="158" customWidth="1"/>
    <col min="2313" max="2316" width="9.140625" style="158"/>
    <col min="2317" max="2318" width="10.7109375" style="158" customWidth="1"/>
    <col min="2319" max="2330" width="9.140625" style="158"/>
    <col min="2331" max="2331" width="15.7109375" style="158" customWidth="1"/>
    <col min="2332" max="2333" width="9.140625" style="158"/>
    <col min="2334" max="2334" width="2.7109375" style="158" customWidth="1"/>
    <col min="2335" max="2335" width="9.140625" style="158"/>
    <col min="2336" max="2336" width="10.7109375" style="158" customWidth="1"/>
    <col min="2337" max="2561" width="9.140625" style="158"/>
    <col min="2562" max="2562" width="18.7109375" style="158" customWidth="1"/>
    <col min="2563" max="2564" width="9.140625" style="158"/>
    <col min="2565" max="2565" width="2.7109375" style="158" customWidth="1"/>
    <col min="2566" max="2566" width="9.140625" style="158"/>
    <col min="2567" max="2567" width="10.7109375" style="158" customWidth="1"/>
    <col min="2568" max="2568" width="2.7109375" style="158" customWidth="1"/>
    <col min="2569" max="2572" width="9.140625" style="158"/>
    <col min="2573" max="2574" width="10.7109375" style="158" customWidth="1"/>
    <col min="2575" max="2586" width="9.140625" style="158"/>
    <col min="2587" max="2587" width="15.7109375" style="158" customWidth="1"/>
    <col min="2588" max="2589" width="9.140625" style="158"/>
    <col min="2590" max="2590" width="2.7109375" style="158" customWidth="1"/>
    <col min="2591" max="2591" width="9.140625" style="158"/>
    <col min="2592" max="2592" width="10.7109375" style="158" customWidth="1"/>
    <col min="2593" max="2817" width="9.140625" style="158"/>
    <col min="2818" max="2818" width="18.7109375" style="158" customWidth="1"/>
    <col min="2819" max="2820" width="9.140625" style="158"/>
    <col min="2821" max="2821" width="2.7109375" style="158" customWidth="1"/>
    <col min="2822" max="2822" width="9.140625" style="158"/>
    <col min="2823" max="2823" width="10.7109375" style="158" customWidth="1"/>
    <col min="2824" max="2824" width="2.7109375" style="158" customWidth="1"/>
    <col min="2825" max="2828" width="9.140625" style="158"/>
    <col min="2829" max="2830" width="10.7109375" style="158" customWidth="1"/>
    <col min="2831" max="2842" width="9.140625" style="158"/>
    <col min="2843" max="2843" width="15.7109375" style="158" customWidth="1"/>
    <col min="2844" max="2845" width="9.140625" style="158"/>
    <col min="2846" max="2846" width="2.7109375" style="158" customWidth="1"/>
    <col min="2847" max="2847" width="9.140625" style="158"/>
    <col min="2848" max="2848" width="10.7109375" style="158" customWidth="1"/>
    <col min="2849" max="3073" width="9.140625" style="158"/>
    <col min="3074" max="3074" width="18.7109375" style="158" customWidth="1"/>
    <col min="3075" max="3076" width="9.140625" style="158"/>
    <col min="3077" max="3077" width="2.7109375" style="158" customWidth="1"/>
    <col min="3078" max="3078" width="9.140625" style="158"/>
    <col min="3079" max="3079" width="10.7109375" style="158" customWidth="1"/>
    <col min="3080" max="3080" width="2.7109375" style="158" customWidth="1"/>
    <col min="3081" max="3084" width="9.140625" style="158"/>
    <col min="3085" max="3086" width="10.7109375" style="158" customWidth="1"/>
    <col min="3087" max="3098" width="9.140625" style="158"/>
    <col min="3099" max="3099" width="15.7109375" style="158" customWidth="1"/>
    <col min="3100" max="3101" width="9.140625" style="158"/>
    <col min="3102" max="3102" width="2.7109375" style="158" customWidth="1"/>
    <col min="3103" max="3103" width="9.140625" style="158"/>
    <col min="3104" max="3104" width="10.7109375" style="158" customWidth="1"/>
    <col min="3105" max="3329" width="9.140625" style="158"/>
    <col min="3330" max="3330" width="18.7109375" style="158" customWidth="1"/>
    <col min="3331" max="3332" width="9.140625" style="158"/>
    <col min="3333" max="3333" width="2.7109375" style="158" customWidth="1"/>
    <col min="3334" max="3334" width="9.140625" style="158"/>
    <col min="3335" max="3335" width="10.7109375" style="158" customWidth="1"/>
    <col min="3336" max="3336" width="2.7109375" style="158" customWidth="1"/>
    <col min="3337" max="3340" width="9.140625" style="158"/>
    <col min="3341" max="3342" width="10.7109375" style="158" customWidth="1"/>
    <col min="3343" max="3354" width="9.140625" style="158"/>
    <col min="3355" max="3355" width="15.7109375" style="158" customWidth="1"/>
    <col min="3356" max="3357" width="9.140625" style="158"/>
    <col min="3358" max="3358" width="2.7109375" style="158" customWidth="1"/>
    <col min="3359" max="3359" width="9.140625" style="158"/>
    <col min="3360" max="3360" width="10.7109375" style="158" customWidth="1"/>
    <col min="3361" max="3585" width="9.140625" style="158"/>
    <col min="3586" max="3586" width="18.7109375" style="158" customWidth="1"/>
    <col min="3587" max="3588" width="9.140625" style="158"/>
    <col min="3589" max="3589" width="2.7109375" style="158" customWidth="1"/>
    <col min="3590" max="3590" width="9.140625" style="158"/>
    <col min="3591" max="3591" width="10.7109375" style="158" customWidth="1"/>
    <col min="3592" max="3592" width="2.7109375" style="158" customWidth="1"/>
    <col min="3593" max="3596" width="9.140625" style="158"/>
    <col min="3597" max="3598" width="10.7109375" style="158" customWidth="1"/>
    <col min="3599" max="3610" width="9.140625" style="158"/>
    <col min="3611" max="3611" width="15.7109375" style="158" customWidth="1"/>
    <col min="3612" max="3613" width="9.140625" style="158"/>
    <col min="3614" max="3614" width="2.7109375" style="158" customWidth="1"/>
    <col min="3615" max="3615" width="9.140625" style="158"/>
    <col min="3616" max="3616" width="10.7109375" style="158" customWidth="1"/>
    <col min="3617" max="3841" width="9.140625" style="158"/>
    <col min="3842" max="3842" width="18.7109375" style="158" customWidth="1"/>
    <col min="3843" max="3844" width="9.140625" style="158"/>
    <col min="3845" max="3845" width="2.7109375" style="158" customWidth="1"/>
    <col min="3846" max="3846" width="9.140625" style="158"/>
    <col min="3847" max="3847" width="10.7109375" style="158" customWidth="1"/>
    <col min="3848" max="3848" width="2.7109375" style="158" customWidth="1"/>
    <col min="3849" max="3852" width="9.140625" style="158"/>
    <col min="3853" max="3854" width="10.7109375" style="158" customWidth="1"/>
    <col min="3855" max="3866" width="9.140625" style="158"/>
    <col min="3867" max="3867" width="15.7109375" style="158" customWidth="1"/>
    <col min="3868" max="3869" width="9.140625" style="158"/>
    <col min="3870" max="3870" width="2.7109375" style="158" customWidth="1"/>
    <col min="3871" max="3871" width="9.140625" style="158"/>
    <col min="3872" max="3872" width="10.7109375" style="158" customWidth="1"/>
    <col min="3873" max="4097" width="9.140625" style="158"/>
    <col min="4098" max="4098" width="18.7109375" style="158" customWidth="1"/>
    <col min="4099" max="4100" width="9.140625" style="158"/>
    <col min="4101" max="4101" width="2.7109375" style="158" customWidth="1"/>
    <col min="4102" max="4102" width="9.140625" style="158"/>
    <col min="4103" max="4103" width="10.7109375" style="158" customWidth="1"/>
    <col min="4104" max="4104" width="2.7109375" style="158" customWidth="1"/>
    <col min="4105" max="4108" width="9.140625" style="158"/>
    <col min="4109" max="4110" width="10.7109375" style="158" customWidth="1"/>
    <col min="4111" max="4122" width="9.140625" style="158"/>
    <col min="4123" max="4123" width="15.7109375" style="158" customWidth="1"/>
    <col min="4124" max="4125" width="9.140625" style="158"/>
    <col min="4126" max="4126" width="2.7109375" style="158" customWidth="1"/>
    <col min="4127" max="4127" width="9.140625" style="158"/>
    <col min="4128" max="4128" width="10.7109375" style="158" customWidth="1"/>
    <col min="4129" max="4353" width="9.140625" style="158"/>
    <col min="4354" max="4354" width="18.7109375" style="158" customWidth="1"/>
    <col min="4355" max="4356" width="9.140625" style="158"/>
    <col min="4357" max="4357" width="2.7109375" style="158" customWidth="1"/>
    <col min="4358" max="4358" width="9.140625" style="158"/>
    <col min="4359" max="4359" width="10.7109375" style="158" customWidth="1"/>
    <col min="4360" max="4360" width="2.7109375" style="158" customWidth="1"/>
    <col min="4361" max="4364" width="9.140625" style="158"/>
    <col min="4365" max="4366" width="10.7109375" style="158" customWidth="1"/>
    <col min="4367" max="4378" width="9.140625" style="158"/>
    <col min="4379" max="4379" width="15.7109375" style="158" customWidth="1"/>
    <col min="4380" max="4381" width="9.140625" style="158"/>
    <col min="4382" max="4382" width="2.7109375" style="158" customWidth="1"/>
    <col min="4383" max="4383" width="9.140625" style="158"/>
    <col min="4384" max="4384" width="10.7109375" style="158" customWidth="1"/>
    <col min="4385" max="4609" width="9.140625" style="158"/>
    <col min="4610" max="4610" width="18.7109375" style="158" customWidth="1"/>
    <col min="4611" max="4612" width="9.140625" style="158"/>
    <col min="4613" max="4613" width="2.7109375" style="158" customWidth="1"/>
    <col min="4614" max="4614" width="9.140625" style="158"/>
    <col min="4615" max="4615" width="10.7109375" style="158" customWidth="1"/>
    <col min="4616" max="4616" width="2.7109375" style="158" customWidth="1"/>
    <col min="4617" max="4620" width="9.140625" style="158"/>
    <col min="4621" max="4622" width="10.7109375" style="158" customWidth="1"/>
    <col min="4623" max="4634" width="9.140625" style="158"/>
    <col min="4635" max="4635" width="15.7109375" style="158" customWidth="1"/>
    <col min="4636" max="4637" width="9.140625" style="158"/>
    <col min="4638" max="4638" width="2.7109375" style="158" customWidth="1"/>
    <col min="4639" max="4639" width="9.140625" style="158"/>
    <col min="4640" max="4640" width="10.7109375" style="158" customWidth="1"/>
    <col min="4641" max="4865" width="9.140625" style="158"/>
    <col min="4866" max="4866" width="18.7109375" style="158" customWidth="1"/>
    <col min="4867" max="4868" width="9.140625" style="158"/>
    <col min="4869" max="4869" width="2.7109375" style="158" customWidth="1"/>
    <col min="4870" max="4870" width="9.140625" style="158"/>
    <col min="4871" max="4871" width="10.7109375" style="158" customWidth="1"/>
    <col min="4872" max="4872" width="2.7109375" style="158" customWidth="1"/>
    <col min="4873" max="4876" width="9.140625" style="158"/>
    <col min="4877" max="4878" width="10.7109375" style="158" customWidth="1"/>
    <col min="4879" max="4890" width="9.140625" style="158"/>
    <col min="4891" max="4891" width="15.7109375" style="158" customWidth="1"/>
    <col min="4892" max="4893" width="9.140625" style="158"/>
    <col min="4894" max="4894" width="2.7109375" style="158" customWidth="1"/>
    <col min="4895" max="4895" width="9.140625" style="158"/>
    <col min="4896" max="4896" width="10.7109375" style="158" customWidth="1"/>
    <col min="4897" max="5121" width="9.140625" style="158"/>
    <col min="5122" max="5122" width="18.7109375" style="158" customWidth="1"/>
    <col min="5123" max="5124" width="9.140625" style="158"/>
    <col min="5125" max="5125" width="2.7109375" style="158" customWidth="1"/>
    <col min="5126" max="5126" width="9.140625" style="158"/>
    <col min="5127" max="5127" width="10.7109375" style="158" customWidth="1"/>
    <col min="5128" max="5128" width="2.7109375" style="158" customWidth="1"/>
    <col min="5129" max="5132" width="9.140625" style="158"/>
    <col min="5133" max="5134" width="10.7109375" style="158" customWidth="1"/>
    <col min="5135" max="5146" width="9.140625" style="158"/>
    <col min="5147" max="5147" width="15.7109375" style="158" customWidth="1"/>
    <col min="5148" max="5149" width="9.140625" style="158"/>
    <col min="5150" max="5150" width="2.7109375" style="158" customWidth="1"/>
    <col min="5151" max="5151" width="9.140625" style="158"/>
    <col min="5152" max="5152" width="10.7109375" style="158" customWidth="1"/>
    <col min="5153" max="5377" width="9.140625" style="158"/>
    <col min="5378" max="5378" width="18.7109375" style="158" customWidth="1"/>
    <col min="5379" max="5380" width="9.140625" style="158"/>
    <col min="5381" max="5381" width="2.7109375" style="158" customWidth="1"/>
    <col min="5382" max="5382" width="9.140625" style="158"/>
    <col min="5383" max="5383" width="10.7109375" style="158" customWidth="1"/>
    <col min="5384" max="5384" width="2.7109375" style="158" customWidth="1"/>
    <col min="5385" max="5388" width="9.140625" style="158"/>
    <col min="5389" max="5390" width="10.7109375" style="158" customWidth="1"/>
    <col min="5391" max="5402" width="9.140625" style="158"/>
    <col min="5403" max="5403" width="15.7109375" style="158" customWidth="1"/>
    <col min="5404" max="5405" width="9.140625" style="158"/>
    <col min="5406" max="5406" width="2.7109375" style="158" customWidth="1"/>
    <col min="5407" max="5407" width="9.140625" style="158"/>
    <col min="5408" max="5408" width="10.7109375" style="158" customWidth="1"/>
    <col min="5409" max="5633" width="9.140625" style="158"/>
    <col min="5634" max="5634" width="18.7109375" style="158" customWidth="1"/>
    <col min="5635" max="5636" width="9.140625" style="158"/>
    <col min="5637" max="5637" width="2.7109375" style="158" customWidth="1"/>
    <col min="5638" max="5638" width="9.140625" style="158"/>
    <col min="5639" max="5639" width="10.7109375" style="158" customWidth="1"/>
    <col min="5640" max="5640" width="2.7109375" style="158" customWidth="1"/>
    <col min="5641" max="5644" width="9.140625" style="158"/>
    <col min="5645" max="5646" width="10.7109375" style="158" customWidth="1"/>
    <col min="5647" max="5658" width="9.140625" style="158"/>
    <col min="5659" max="5659" width="15.7109375" style="158" customWidth="1"/>
    <col min="5660" max="5661" width="9.140625" style="158"/>
    <col min="5662" max="5662" width="2.7109375" style="158" customWidth="1"/>
    <col min="5663" max="5663" width="9.140625" style="158"/>
    <col min="5664" max="5664" width="10.7109375" style="158" customWidth="1"/>
    <col min="5665" max="5889" width="9.140625" style="158"/>
    <col min="5890" max="5890" width="18.7109375" style="158" customWidth="1"/>
    <col min="5891" max="5892" width="9.140625" style="158"/>
    <col min="5893" max="5893" width="2.7109375" style="158" customWidth="1"/>
    <col min="5894" max="5894" width="9.140625" style="158"/>
    <col min="5895" max="5895" width="10.7109375" style="158" customWidth="1"/>
    <col min="5896" max="5896" width="2.7109375" style="158" customWidth="1"/>
    <col min="5897" max="5900" width="9.140625" style="158"/>
    <col min="5901" max="5902" width="10.7109375" style="158" customWidth="1"/>
    <col min="5903" max="5914" width="9.140625" style="158"/>
    <col min="5915" max="5915" width="15.7109375" style="158" customWidth="1"/>
    <col min="5916" max="5917" width="9.140625" style="158"/>
    <col min="5918" max="5918" width="2.7109375" style="158" customWidth="1"/>
    <col min="5919" max="5919" width="9.140625" style="158"/>
    <col min="5920" max="5920" width="10.7109375" style="158" customWidth="1"/>
    <col min="5921" max="6145" width="9.140625" style="158"/>
    <col min="6146" max="6146" width="18.7109375" style="158" customWidth="1"/>
    <col min="6147" max="6148" width="9.140625" style="158"/>
    <col min="6149" max="6149" width="2.7109375" style="158" customWidth="1"/>
    <col min="6150" max="6150" width="9.140625" style="158"/>
    <col min="6151" max="6151" width="10.7109375" style="158" customWidth="1"/>
    <col min="6152" max="6152" width="2.7109375" style="158" customWidth="1"/>
    <col min="6153" max="6156" width="9.140625" style="158"/>
    <col min="6157" max="6158" width="10.7109375" style="158" customWidth="1"/>
    <col min="6159" max="6170" width="9.140625" style="158"/>
    <col min="6171" max="6171" width="15.7109375" style="158" customWidth="1"/>
    <col min="6172" max="6173" width="9.140625" style="158"/>
    <col min="6174" max="6174" width="2.7109375" style="158" customWidth="1"/>
    <col min="6175" max="6175" width="9.140625" style="158"/>
    <col min="6176" max="6176" width="10.7109375" style="158" customWidth="1"/>
    <col min="6177" max="6401" width="9.140625" style="158"/>
    <col min="6402" max="6402" width="18.7109375" style="158" customWidth="1"/>
    <col min="6403" max="6404" width="9.140625" style="158"/>
    <col min="6405" max="6405" width="2.7109375" style="158" customWidth="1"/>
    <col min="6406" max="6406" width="9.140625" style="158"/>
    <col min="6407" max="6407" width="10.7109375" style="158" customWidth="1"/>
    <col min="6408" max="6408" width="2.7109375" style="158" customWidth="1"/>
    <col min="6409" max="6412" width="9.140625" style="158"/>
    <col min="6413" max="6414" width="10.7109375" style="158" customWidth="1"/>
    <col min="6415" max="6426" width="9.140625" style="158"/>
    <col min="6427" max="6427" width="15.7109375" style="158" customWidth="1"/>
    <col min="6428" max="6429" width="9.140625" style="158"/>
    <col min="6430" max="6430" width="2.7109375" style="158" customWidth="1"/>
    <col min="6431" max="6431" width="9.140625" style="158"/>
    <col min="6432" max="6432" width="10.7109375" style="158" customWidth="1"/>
    <col min="6433" max="6657" width="9.140625" style="158"/>
    <col min="6658" max="6658" width="18.7109375" style="158" customWidth="1"/>
    <col min="6659" max="6660" width="9.140625" style="158"/>
    <col min="6661" max="6661" width="2.7109375" style="158" customWidth="1"/>
    <col min="6662" max="6662" width="9.140625" style="158"/>
    <col min="6663" max="6663" width="10.7109375" style="158" customWidth="1"/>
    <col min="6664" max="6664" width="2.7109375" style="158" customWidth="1"/>
    <col min="6665" max="6668" width="9.140625" style="158"/>
    <col min="6669" max="6670" width="10.7109375" style="158" customWidth="1"/>
    <col min="6671" max="6682" width="9.140625" style="158"/>
    <col min="6683" max="6683" width="15.7109375" style="158" customWidth="1"/>
    <col min="6684" max="6685" width="9.140625" style="158"/>
    <col min="6686" max="6686" width="2.7109375" style="158" customWidth="1"/>
    <col min="6687" max="6687" width="9.140625" style="158"/>
    <col min="6688" max="6688" width="10.7109375" style="158" customWidth="1"/>
    <col min="6689" max="6913" width="9.140625" style="158"/>
    <col min="6914" max="6914" width="18.7109375" style="158" customWidth="1"/>
    <col min="6915" max="6916" width="9.140625" style="158"/>
    <col min="6917" max="6917" width="2.7109375" style="158" customWidth="1"/>
    <col min="6918" max="6918" width="9.140625" style="158"/>
    <col min="6919" max="6919" width="10.7109375" style="158" customWidth="1"/>
    <col min="6920" max="6920" width="2.7109375" style="158" customWidth="1"/>
    <col min="6921" max="6924" width="9.140625" style="158"/>
    <col min="6925" max="6926" width="10.7109375" style="158" customWidth="1"/>
    <col min="6927" max="6938" width="9.140625" style="158"/>
    <col min="6939" max="6939" width="15.7109375" style="158" customWidth="1"/>
    <col min="6940" max="6941" width="9.140625" style="158"/>
    <col min="6942" max="6942" width="2.7109375" style="158" customWidth="1"/>
    <col min="6943" max="6943" width="9.140625" style="158"/>
    <col min="6944" max="6944" width="10.7109375" style="158" customWidth="1"/>
    <col min="6945" max="7169" width="9.140625" style="158"/>
    <col min="7170" max="7170" width="18.7109375" style="158" customWidth="1"/>
    <col min="7171" max="7172" width="9.140625" style="158"/>
    <col min="7173" max="7173" width="2.7109375" style="158" customWidth="1"/>
    <col min="7174" max="7174" width="9.140625" style="158"/>
    <col min="7175" max="7175" width="10.7109375" style="158" customWidth="1"/>
    <col min="7176" max="7176" width="2.7109375" style="158" customWidth="1"/>
    <col min="7177" max="7180" width="9.140625" style="158"/>
    <col min="7181" max="7182" width="10.7109375" style="158" customWidth="1"/>
    <col min="7183" max="7194" width="9.140625" style="158"/>
    <col min="7195" max="7195" width="15.7109375" style="158" customWidth="1"/>
    <col min="7196" max="7197" width="9.140625" style="158"/>
    <col min="7198" max="7198" width="2.7109375" style="158" customWidth="1"/>
    <col min="7199" max="7199" width="9.140625" style="158"/>
    <col min="7200" max="7200" width="10.7109375" style="158" customWidth="1"/>
    <col min="7201" max="7425" width="9.140625" style="158"/>
    <col min="7426" max="7426" width="18.7109375" style="158" customWidth="1"/>
    <col min="7427" max="7428" width="9.140625" style="158"/>
    <col min="7429" max="7429" width="2.7109375" style="158" customWidth="1"/>
    <col min="7430" max="7430" width="9.140625" style="158"/>
    <col min="7431" max="7431" width="10.7109375" style="158" customWidth="1"/>
    <col min="7432" max="7432" width="2.7109375" style="158" customWidth="1"/>
    <col min="7433" max="7436" width="9.140625" style="158"/>
    <col min="7437" max="7438" width="10.7109375" style="158" customWidth="1"/>
    <col min="7439" max="7450" width="9.140625" style="158"/>
    <col min="7451" max="7451" width="15.7109375" style="158" customWidth="1"/>
    <col min="7452" max="7453" width="9.140625" style="158"/>
    <col min="7454" max="7454" width="2.7109375" style="158" customWidth="1"/>
    <col min="7455" max="7455" width="9.140625" style="158"/>
    <col min="7456" max="7456" width="10.7109375" style="158" customWidth="1"/>
    <col min="7457" max="7681" width="9.140625" style="158"/>
    <col min="7682" max="7682" width="18.7109375" style="158" customWidth="1"/>
    <col min="7683" max="7684" width="9.140625" style="158"/>
    <col min="7685" max="7685" width="2.7109375" style="158" customWidth="1"/>
    <col min="7686" max="7686" width="9.140625" style="158"/>
    <col min="7687" max="7687" width="10.7109375" style="158" customWidth="1"/>
    <col min="7688" max="7688" width="2.7109375" style="158" customWidth="1"/>
    <col min="7689" max="7692" width="9.140625" style="158"/>
    <col min="7693" max="7694" width="10.7109375" style="158" customWidth="1"/>
    <col min="7695" max="7706" width="9.140625" style="158"/>
    <col min="7707" max="7707" width="15.7109375" style="158" customWidth="1"/>
    <col min="7708" max="7709" width="9.140625" style="158"/>
    <col min="7710" max="7710" width="2.7109375" style="158" customWidth="1"/>
    <col min="7711" max="7711" width="9.140625" style="158"/>
    <col min="7712" max="7712" width="10.7109375" style="158" customWidth="1"/>
    <col min="7713" max="7937" width="9.140625" style="158"/>
    <col min="7938" max="7938" width="18.7109375" style="158" customWidth="1"/>
    <col min="7939" max="7940" width="9.140625" style="158"/>
    <col min="7941" max="7941" width="2.7109375" style="158" customWidth="1"/>
    <col min="7942" max="7942" width="9.140625" style="158"/>
    <col min="7943" max="7943" width="10.7109375" style="158" customWidth="1"/>
    <col min="7944" max="7944" width="2.7109375" style="158" customWidth="1"/>
    <col min="7945" max="7948" width="9.140625" style="158"/>
    <col min="7949" max="7950" width="10.7109375" style="158" customWidth="1"/>
    <col min="7951" max="7962" width="9.140625" style="158"/>
    <col min="7963" max="7963" width="15.7109375" style="158" customWidth="1"/>
    <col min="7964" max="7965" width="9.140625" style="158"/>
    <col min="7966" max="7966" width="2.7109375" style="158" customWidth="1"/>
    <col min="7967" max="7967" width="9.140625" style="158"/>
    <col min="7968" max="7968" width="10.7109375" style="158" customWidth="1"/>
    <col min="7969" max="8193" width="9.140625" style="158"/>
    <col min="8194" max="8194" width="18.7109375" style="158" customWidth="1"/>
    <col min="8195" max="8196" width="9.140625" style="158"/>
    <col min="8197" max="8197" width="2.7109375" style="158" customWidth="1"/>
    <col min="8198" max="8198" width="9.140625" style="158"/>
    <col min="8199" max="8199" width="10.7109375" style="158" customWidth="1"/>
    <col min="8200" max="8200" width="2.7109375" style="158" customWidth="1"/>
    <col min="8201" max="8204" width="9.140625" style="158"/>
    <col min="8205" max="8206" width="10.7109375" style="158" customWidth="1"/>
    <col min="8207" max="8218" width="9.140625" style="158"/>
    <col min="8219" max="8219" width="15.7109375" style="158" customWidth="1"/>
    <col min="8220" max="8221" width="9.140625" style="158"/>
    <col min="8222" max="8222" width="2.7109375" style="158" customWidth="1"/>
    <col min="8223" max="8223" width="9.140625" style="158"/>
    <col min="8224" max="8224" width="10.7109375" style="158" customWidth="1"/>
    <col min="8225" max="8449" width="9.140625" style="158"/>
    <col min="8450" max="8450" width="18.7109375" style="158" customWidth="1"/>
    <col min="8451" max="8452" width="9.140625" style="158"/>
    <col min="8453" max="8453" width="2.7109375" style="158" customWidth="1"/>
    <col min="8454" max="8454" width="9.140625" style="158"/>
    <col min="8455" max="8455" width="10.7109375" style="158" customWidth="1"/>
    <col min="8456" max="8456" width="2.7109375" style="158" customWidth="1"/>
    <col min="8457" max="8460" width="9.140625" style="158"/>
    <col min="8461" max="8462" width="10.7109375" style="158" customWidth="1"/>
    <col min="8463" max="8474" width="9.140625" style="158"/>
    <col min="8475" max="8475" width="15.7109375" style="158" customWidth="1"/>
    <col min="8476" max="8477" width="9.140625" style="158"/>
    <col min="8478" max="8478" width="2.7109375" style="158" customWidth="1"/>
    <col min="8479" max="8479" width="9.140625" style="158"/>
    <col min="8480" max="8480" width="10.7109375" style="158" customWidth="1"/>
    <col min="8481" max="8705" width="9.140625" style="158"/>
    <col min="8706" max="8706" width="18.7109375" style="158" customWidth="1"/>
    <col min="8707" max="8708" width="9.140625" style="158"/>
    <col min="8709" max="8709" width="2.7109375" style="158" customWidth="1"/>
    <col min="8710" max="8710" width="9.140625" style="158"/>
    <col min="8711" max="8711" width="10.7109375" style="158" customWidth="1"/>
    <col min="8712" max="8712" width="2.7109375" style="158" customWidth="1"/>
    <col min="8713" max="8716" width="9.140625" style="158"/>
    <col min="8717" max="8718" width="10.7109375" style="158" customWidth="1"/>
    <col min="8719" max="8730" width="9.140625" style="158"/>
    <col min="8731" max="8731" width="15.7109375" style="158" customWidth="1"/>
    <col min="8732" max="8733" width="9.140625" style="158"/>
    <col min="8734" max="8734" width="2.7109375" style="158" customWidth="1"/>
    <col min="8735" max="8735" width="9.140625" style="158"/>
    <col min="8736" max="8736" width="10.7109375" style="158" customWidth="1"/>
    <col min="8737" max="8961" width="9.140625" style="158"/>
    <col min="8962" max="8962" width="18.7109375" style="158" customWidth="1"/>
    <col min="8963" max="8964" width="9.140625" style="158"/>
    <col min="8965" max="8965" width="2.7109375" style="158" customWidth="1"/>
    <col min="8966" max="8966" width="9.140625" style="158"/>
    <col min="8967" max="8967" width="10.7109375" style="158" customWidth="1"/>
    <col min="8968" max="8968" width="2.7109375" style="158" customWidth="1"/>
    <col min="8969" max="8972" width="9.140625" style="158"/>
    <col min="8973" max="8974" width="10.7109375" style="158" customWidth="1"/>
    <col min="8975" max="8986" width="9.140625" style="158"/>
    <col min="8987" max="8987" width="15.7109375" style="158" customWidth="1"/>
    <col min="8988" max="8989" width="9.140625" style="158"/>
    <col min="8990" max="8990" width="2.7109375" style="158" customWidth="1"/>
    <col min="8991" max="8991" width="9.140625" style="158"/>
    <col min="8992" max="8992" width="10.7109375" style="158" customWidth="1"/>
    <col min="8993" max="9217" width="9.140625" style="158"/>
    <col min="9218" max="9218" width="18.7109375" style="158" customWidth="1"/>
    <col min="9219" max="9220" width="9.140625" style="158"/>
    <col min="9221" max="9221" width="2.7109375" style="158" customWidth="1"/>
    <col min="9222" max="9222" width="9.140625" style="158"/>
    <col min="9223" max="9223" width="10.7109375" style="158" customWidth="1"/>
    <col min="9224" max="9224" width="2.7109375" style="158" customWidth="1"/>
    <col min="9225" max="9228" width="9.140625" style="158"/>
    <col min="9229" max="9230" width="10.7109375" style="158" customWidth="1"/>
    <col min="9231" max="9242" width="9.140625" style="158"/>
    <col min="9243" max="9243" width="15.7109375" style="158" customWidth="1"/>
    <col min="9244" max="9245" width="9.140625" style="158"/>
    <col min="9246" max="9246" width="2.7109375" style="158" customWidth="1"/>
    <col min="9247" max="9247" width="9.140625" style="158"/>
    <col min="9248" max="9248" width="10.7109375" style="158" customWidth="1"/>
    <col min="9249" max="9473" width="9.140625" style="158"/>
    <col min="9474" max="9474" width="18.7109375" style="158" customWidth="1"/>
    <col min="9475" max="9476" width="9.140625" style="158"/>
    <col min="9477" max="9477" width="2.7109375" style="158" customWidth="1"/>
    <col min="9478" max="9478" width="9.140625" style="158"/>
    <col min="9479" max="9479" width="10.7109375" style="158" customWidth="1"/>
    <col min="9480" max="9480" width="2.7109375" style="158" customWidth="1"/>
    <col min="9481" max="9484" width="9.140625" style="158"/>
    <col min="9485" max="9486" width="10.7109375" style="158" customWidth="1"/>
    <col min="9487" max="9498" width="9.140625" style="158"/>
    <col min="9499" max="9499" width="15.7109375" style="158" customWidth="1"/>
    <col min="9500" max="9501" width="9.140625" style="158"/>
    <col min="9502" max="9502" width="2.7109375" style="158" customWidth="1"/>
    <col min="9503" max="9503" width="9.140625" style="158"/>
    <col min="9504" max="9504" width="10.7109375" style="158" customWidth="1"/>
    <col min="9505" max="9729" width="9.140625" style="158"/>
    <col min="9730" max="9730" width="18.7109375" style="158" customWidth="1"/>
    <col min="9731" max="9732" width="9.140625" style="158"/>
    <col min="9733" max="9733" width="2.7109375" style="158" customWidth="1"/>
    <col min="9734" max="9734" width="9.140625" style="158"/>
    <col min="9735" max="9735" width="10.7109375" style="158" customWidth="1"/>
    <col min="9736" max="9736" width="2.7109375" style="158" customWidth="1"/>
    <col min="9737" max="9740" width="9.140625" style="158"/>
    <col min="9741" max="9742" width="10.7109375" style="158" customWidth="1"/>
    <col min="9743" max="9754" width="9.140625" style="158"/>
    <col min="9755" max="9755" width="15.7109375" style="158" customWidth="1"/>
    <col min="9756" max="9757" width="9.140625" style="158"/>
    <col min="9758" max="9758" width="2.7109375" style="158" customWidth="1"/>
    <col min="9759" max="9759" width="9.140625" style="158"/>
    <col min="9760" max="9760" width="10.7109375" style="158" customWidth="1"/>
    <col min="9761" max="9985" width="9.140625" style="158"/>
    <col min="9986" max="9986" width="18.7109375" style="158" customWidth="1"/>
    <col min="9987" max="9988" width="9.140625" style="158"/>
    <col min="9989" max="9989" width="2.7109375" style="158" customWidth="1"/>
    <col min="9990" max="9990" width="9.140625" style="158"/>
    <col min="9991" max="9991" width="10.7109375" style="158" customWidth="1"/>
    <col min="9992" max="9992" width="2.7109375" style="158" customWidth="1"/>
    <col min="9993" max="9996" width="9.140625" style="158"/>
    <col min="9997" max="9998" width="10.7109375" style="158" customWidth="1"/>
    <col min="9999" max="10010" width="9.140625" style="158"/>
    <col min="10011" max="10011" width="15.7109375" style="158" customWidth="1"/>
    <col min="10012" max="10013" width="9.140625" style="158"/>
    <col min="10014" max="10014" width="2.7109375" style="158" customWidth="1"/>
    <col min="10015" max="10015" width="9.140625" style="158"/>
    <col min="10016" max="10016" width="10.7109375" style="158" customWidth="1"/>
    <col min="10017" max="10241" width="9.140625" style="158"/>
    <col min="10242" max="10242" width="18.7109375" style="158" customWidth="1"/>
    <col min="10243" max="10244" width="9.140625" style="158"/>
    <col min="10245" max="10245" width="2.7109375" style="158" customWidth="1"/>
    <col min="10246" max="10246" width="9.140625" style="158"/>
    <col min="10247" max="10247" width="10.7109375" style="158" customWidth="1"/>
    <col min="10248" max="10248" width="2.7109375" style="158" customWidth="1"/>
    <col min="10249" max="10252" width="9.140625" style="158"/>
    <col min="10253" max="10254" width="10.7109375" style="158" customWidth="1"/>
    <col min="10255" max="10266" width="9.140625" style="158"/>
    <col min="10267" max="10267" width="15.7109375" style="158" customWidth="1"/>
    <col min="10268" max="10269" width="9.140625" style="158"/>
    <col min="10270" max="10270" width="2.7109375" style="158" customWidth="1"/>
    <col min="10271" max="10271" width="9.140625" style="158"/>
    <col min="10272" max="10272" width="10.7109375" style="158" customWidth="1"/>
    <col min="10273" max="10497" width="9.140625" style="158"/>
    <col min="10498" max="10498" width="18.7109375" style="158" customWidth="1"/>
    <col min="10499" max="10500" width="9.140625" style="158"/>
    <col min="10501" max="10501" width="2.7109375" style="158" customWidth="1"/>
    <col min="10502" max="10502" width="9.140625" style="158"/>
    <col min="10503" max="10503" width="10.7109375" style="158" customWidth="1"/>
    <col min="10504" max="10504" width="2.7109375" style="158" customWidth="1"/>
    <col min="10505" max="10508" width="9.140625" style="158"/>
    <col min="10509" max="10510" width="10.7109375" style="158" customWidth="1"/>
    <col min="10511" max="10522" width="9.140625" style="158"/>
    <col min="10523" max="10523" width="15.7109375" style="158" customWidth="1"/>
    <col min="10524" max="10525" width="9.140625" style="158"/>
    <col min="10526" max="10526" width="2.7109375" style="158" customWidth="1"/>
    <col min="10527" max="10527" width="9.140625" style="158"/>
    <col min="10528" max="10528" width="10.7109375" style="158" customWidth="1"/>
    <col min="10529" max="10753" width="9.140625" style="158"/>
    <col min="10754" max="10754" width="18.7109375" style="158" customWidth="1"/>
    <col min="10755" max="10756" width="9.140625" style="158"/>
    <col min="10757" max="10757" width="2.7109375" style="158" customWidth="1"/>
    <col min="10758" max="10758" width="9.140625" style="158"/>
    <col min="10759" max="10759" width="10.7109375" style="158" customWidth="1"/>
    <col min="10760" max="10760" width="2.7109375" style="158" customWidth="1"/>
    <col min="10761" max="10764" width="9.140625" style="158"/>
    <col min="10765" max="10766" width="10.7109375" style="158" customWidth="1"/>
    <col min="10767" max="10778" width="9.140625" style="158"/>
    <col min="10779" max="10779" width="15.7109375" style="158" customWidth="1"/>
    <col min="10780" max="10781" width="9.140625" style="158"/>
    <col min="10782" max="10782" width="2.7109375" style="158" customWidth="1"/>
    <col min="10783" max="10783" width="9.140625" style="158"/>
    <col min="10784" max="10784" width="10.7109375" style="158" customWidth="1"/>
    <col min="10785" max="11009" width="9.140625" style="158"/>
    <col min="11010" max="11010" width="18.7109375" style="158" customWidth="1"/>
    <col min="11011" max="11012" width="9.140625" style="158"/>
    <col min="11013" max="11013" width="2.7109375" style="158" customWidth="1"/>
    <col min="11014" max="11014" width="9.140625" style="158"/>
    <col min="11015" max="11015" width="10.7109375" style="158" customWidth="1"/>
    <col min="11016" max="11016" width="2.7109375" style="158" customWidth="1"/>
    <col min="11017" max="11020" width="9.140625" style="158"/>
    <col min="11021" max="11022" width="10.7109375" style="158" customWidth="1"/>
    <col min="11023" max="11034" width="9.140625" style="158"/>
    <col min="11035" max="11035" width="15.7109375" style="158" customWidth="1"/>
    <col min="11036" max="11037" width="9.140625" style="158"/>
    <col min="11038" max="11038" width="2.7109375" style="158" customWidth="1"/>
    <col min="11039" max="11039" width="9.140625" style="158"/>
    <col min="11040" max="11040" width="10.7109375" style="158" customWidth="1"/>
    <col min="11041" max="11265" width="9.140625" style="158"/>
    <col min="11266" max="11266" width="18.7109375" style="158" customWidth="1"/>
    <col min="11267" max="11268" width="9.140625" style="158"/>
    <col min="11269" max="11269" width="2.7109375" style="158" customWidth="1"/>
    <col min="11270" max="11270" width="9.140625" style="158"/>
    <col min="11271" max="11271" width="10.7109375" style="158" customWidth="1"/>
    <col min="11272" max="11272" width="2.7109375" style="158" customWidth="1"/>
    <col min="11273" max="11276" width="9.140625" style="158"/>
    <col min="11277" max="11278" width="10.7109375" style="158" customWidth="1"/>
    <col min="11279" max="11290" width="9.140625" style="158"/>
    <col min="11291" max="11291" width="15.7109375" style="158" customWidth="1"/>
    <col min="11292" max="11293" width="9.140625" style="158"/>
    <col min="11294" max="11294" width="2.7109375" style="158" customWidth="1"/>
    <col min="11295" max="11295" width="9.140625" style="158"/>
    <col min="11296" max="11296" width="10.7109375" style="158" customWidth="1"/>
    <col min="11297" max="11521" width="9.140625" style="158"/>
    <col min="11522" max="11522" width="18.7109375" style="158" customWidth="1"/>
    <col min="11523" max="11524" width="9.140625" style="158"/>
    <col min="11525" max="11525" width="2.7109375" style="158" customWidth="1"/>
    <col min="11526" max="11526" width="9.140625" style="158"/>
    <col min="11527" max="11527" width="10.7109375" style="158" customWidth="1"/>
    <col min="11528" max="11528" width="2.7109375" style="158" customWidth="1"/>
    <col min="11529" max="11532" width="9.140625" style="158"/>
    <col min="11533" max="11534" width="10.7109375" style="158" customWidth="1"/>
    <col min="11535" max="11546" width="9.140625" style="158"/>
    <col min="11547" max="11547" width="15.7109375" style="158" customWidth="1"/>
    <col min="11548" max="11549" width="9.140625" style="158"/>
    <col min="11550" max="11550" width="2.7109375" style="158" customWidth="1"/>
    <col min="11551" max="11551" width="9.140625" style="158"/>
    <col min="11552" max="11552" width="10.7109375" style="158" customWidth="1"/>
    <col min="11553" max="11777" width="9.140625" style="158"/>
    <col min="11778" max="11778" width="18.7109375" style="158" customWidth="1"/>
    <col min="11779" max="11780" width="9.140625" style="158"/>
    <col min="11781" max="11781" width="2.7109375" style="158" customWidth="1"/>
    <col min="11782" max="11782" width="9.140625" style="158"/>
    <col min="11783" max="11783" width="10.7109375" style="158" customWidth="1"/>
    <col min="11784" max="11784" width="2.7109375" style="158" customWidth="1"/>
    <col min="11785" max="11788" width="9.140625" style="158"/>
    <col min="11789" max="11790" width="10.7109375" style="158" customWidth="1"/>
    <col min="11791" max="11802" width="9.140625" style="158"/>
    <col min="11803" max="11803" width="15.7109375" style="158" customWidth="1"/>
    <col min="11804" max="11805" width="9.140625" style="158"/>
    <col min="11806" max="11806" width="2.7109375" style="158" customWidth="1"/>
    <col min="11807" max="11807" width="9.140625" style="158"/>
    <col min="11808" max="11808" width="10.7109375" style="158" customWidth="1"/>
    <col min="11809" max="12033" width="9.140625" style="158"/>
    <col min="12034" max="12034" width="18.7109375" style="158" customWidth="1"/>
    <col min="12035" max="12036" width="9.140625" style="158"/>
    <col min="12037" max="12037" width="2.7109375" style="158" customWidth="1"/>
    <col min="12038" max="12038" width="9.140625" style="158"/>
    <col min="12039" max="12039" width="10.7109375" style="158" customWidth="1"/>
    <col min="12040" max="12040" width="2.7109375" style="158" customWidth="1"/>
    <col min="12041" max="12044" width="9.140625" style="158"/>
    <col min="12045" max="12046" width="10.7109375" style="158" customWidth="1"/>
    <col min="12047" max="12058" width="9.140625" style="158"/>
    <col min="12059" max="12059" width="15.7109375" style="158" customWidth="1"/>
    <col min="12060" max="12061" width="9.140625" style="158"/>
    <col min="12062" max="12062" width="2.7109375" style="158" customWidth="1"/>
    <col min="12063" max="12063" width="9.140625" style="158"/>
    <col min="12064" max="12064" width="10.7109375" style="158" customWidth="1"/>
    <col min="12065" max="12289" width="9.140625" style="158"/>
    <col min="12290" max="12290" width="18.7109375" style="158" customWidth="1"/>
    <col min="12291" max="12292" width="9.140625" style="158"/>
    <col min="12293" max="12293" width="2.7109375" style="158" customWidth="1"/>
    <col min="12294" max="12294" width="9.140625" style="158"/>
    <col min="12295" max="12295" width="10.7109375" style="158" customWidth="1"/>
    <col min="12296" max="12296" width="2.7109375" style="158" customWidth="1"/>
    <col min="12297" max="12300" width="9.140625" style="158"/>
    <col min="12301" max="12302" width="10.7109375" style="158" customWidth="1"/>
    <col min="12303" max="12314" width="9.140625" style="158"/>
    <col min="12315" max="12315" width="15.7109375" style="158" customWidth="1"/>
    <col min="12316" max="12317" width="9.140625" style="158"/>
    <col min="12318" max="12318" width="2.7109375" style="158" customWidth="1"/>
    <col min="12319" max="12319" width="9.140625" style="158"/>
    <col min="12320" max="12320" width="10.7109375" style="158" customWidth="1"/>
    <col min="12321" max="12545" width="9.140625" style="158"/>
    <col min="12546" max="12546" width="18.7109375" style="158" customWidth="1"/>
    <col min="12547" max="12548" width="9.140625" style="158"/>
    <col min="12549" max="12549" width="2.7109375" style="158" customWidth="1"/>
    <col min="12550" max="12550" width="9.140625" style="158"/>
    <col min="12551" max="12551" width="10.7109375" style="158" customWidth="1"/>
    <col min="12552" max="12552" width="2.7109375" style="158" customWidth="1"/>
    <col min="12553" max="12556" width="9.140625" style="158"/>
    <col min="12557" max="12558" width="10.7109375" style="158" customWidth="1"/>
    <col min="12559" max="12570" width="9.140625" style="158"/>
    <col min="12571" max="12571" width="15.7109375" style="158" customWidth="1"/>
    <col min="12572" max="12573" width="9.140625" style="158"/>
    <col min="12574" max="12574" width="2.7109375" style="158" customWidth="1"/>
    <col min="12575" max="12575" width="9.140625" style="158"/>
    <col min="12576" max="12576" width="10.7109375" style="158" customWidth="1"/>
    <col min="12577" max="12801" width="9.140625" style="158"/>
    <col min="12802" max="12802" width="18.7109375" style="158" customWidth="1"/>
    <col min="12803" max="12804" width="9.140625" style="158"/>
    <col min="12805" max="12805" width="2.7109375" style="158" customWidth="1"/>
    <col min="12806" max="12806" width="9.140625" style="158"/>
    <col min="12807" max="12807" width="10.7109375" style="158" customWidth="1"/>
    <col min="12808" max="12808" width="2.7109375" style="158" customWidth="1"/>
    <col min="12809" max="12812" width="9.140625" style="158"/>
    <col min="12813" max="12814" width="10.7109375" style="158" customWidth="1"/>
    <col min="12815" max="12826" width="9.140625" style="158"/>
    <col min="12827" max="12827" width="15.7109375" style="158" customWidth="1"/>
    <col min="12828" max="12829" width="9.140625" style="158"/>
    <col min="12830" max="12830" width="2.7109375" style="158" customWidth="1"/>
    <col min="12831" max="12831" width="9.140625" style="158"/>
    <col min="12832" max="12832" width="10.7109375" style="158" customWidth="1"/>
    <col min="12833" max="13057" width="9.140625" style="158"/>
    <col min="13058" max="13058" width="18.7109375" style="158" customWidth="1"/>
    <col min="13059" max="13060" width="9.140625" style="158"/>
    <col min="13061" max="13061" width="2.7109375" style="158" customWidth="1"/>
    <col min="13062" max="13062" width="9.140625" style="158"/>
    <col min="13063" max="13063" width="10.7109375" style="158" customWidth="1"/>
    <col min="13064" max="13064" width="2.7109375" style="158" customWidth="1"/>
    <col min="13065" max="13068" width="9.140625" style="158"/>
    <col min="13069" max="13070" width="10.7109375" style="158" customWidth="1"/>
    <col min="13071" max="13082" width="9.140625" style="158"/>
    <col min="13083" max="13083" width="15.7109375" style="158" customWidth="1"/>
    <col min="13084" max="13085" width="9.140625" style="158"/>
    <col min="13086" max="13086" width="2.7109375" style="158" customWidth="1"/>
    <col min="13087" max="13087" width="9.140625" style="158"/>
    <col min="13088" max="13088" width="10.7109375" style="158" customWidth="1"/>
    <col min="13089" max="13313" width="9.140625" style="158"/>
    <col min="13314" max="13314" width="18.7109375" style="158" customWidth="1"/>
    <col min="13315" max="13316" width="9.140625" style="158"/>
    <col min="13317" max="13317" width="2.7109375" style="158" customWidth="1"/>
    <col min="13318" max="13318" width="9.140625" style="158"/>
    <col min="13319" max="13319" width="10.7109375" style="158" customWidth="1"/>
    <col min="13320" max="13320" width="2.7109375" style="158" customWidth="1"/>
    <col min="13321" max="13324" width="9.140625" style="158"/>
    <col min="13325" max="13326" width="10.7109375" style="158" customWidth="1"/>
    <col min="13327" max="13338" width="9.140625" style="158"/>
    <col min="13339" max="13339" width="15.7109375" style="158" customWidth="1"/>
    <col min="13340" max="13341" width="9.140625" style="158"/>
    <col min="13342" max="13342" width="2.7109375" style="158" customWidth="1"/>
    <col min="13343" max="13343" width="9.140625" style="158"/>
    <col min="13344" max="13344" width="10.7109375" style="158" customWidth="1"/>
    <col min="13345" max="13569" width="9.140625" style="158"/>
    <col min="13570" max="13570" width="18.7109375" style="158" customWidth="1"/>
    <col min="13571" max="13572" width="9.140625" style="158"/>
    <col min="13573" max="13573" width="2.7109375" style="158" customWidth="1"/>
    <col min="13574" max="13574" width="9.140625" style="158"/>
    <col min="13575" max="13575" width="10.7109375" style="158" customWidth="1"/>
    <col min="13576" max="13576" width="2.7109375" style="158" customWidth="1"/>
    <col min="13577" max="13580" width="9.140625" style="158"/>
    <col min="13581" max="13582" width="10.7109375" style="158" customWidth="1"/>
    <col min="13583" max="13594" width="9.140625" style="158"/>
    <col min="13595" max="13595" width="15.7109375" style="158" customWidth="1"/>
    <col min="13596" max="13597" width="9.140625" style="158"/>
    <col min="13598" max="13598" width="2.7109375" style="158" customWidth="1"/>
    <col min="13599" max="13599" width="9.140625" style="158"/>
    <col min="13600" max="13600" width="10.7109375" style="158" customWidth="1"/>
    <col min="13601" max="13825" width="9.140625" style="158"/>
    <col min="13826" max="13826" width="18.7109375" style="158" customWidth="1"/>
    <col min="13827" max="13828" width="9.140625" style="158"/>
    <col min="13829" max="13829" width="2.7109375" style="158" customWidth="1"/>
    <col min="13830" max="13830" width="9.140625" style="158"/>
    <col min="13831" max="13831" width="10.7109375" style="158" customWidth="1"/>
    <col min="13832" max="13832" width="2.7109375" style="158" customWidth="1"/>
    <col min="13833" max="13836" width="9.140625" style="158"/>
    <col min="13837" max="13838" width="10.7109375" style="158" customWidth="1"/>
    <col min="13839" max="13850" width="9.140625" style="158"/>
    <col min="13851" max="13851" width="15.7109375" style="158" customWidth="1"/>
    <col min="13852" max="13853" width="9.140625" style="158"/>
    <col min="13854" max="13854" width="2.7109375" style="158" customWidth="1"/>
    <col min="13855" max="13855" width="9.140625" style="158"/>
    <col min="13856" max="13856" width="10.7109375" style="158" customWidth="1"/>
    <col min="13857" max="14081" width="9.140625" style="158"/>
    <col min="14082" max="14082" width="18.7109375" style="158" customWidth="1"/>
    <col min="14083" max="14084" width="9.140625" style="158"/>
    <col min="14085" max="14085" width="2.7109375" style="158" customWidth="1"/>
    <col min="14086" max="14086" width="9.140625" style="158"/>
    <col min="14087" max="14087" width="10.7109375" style="158" customWidth="1"/>
    <col min="14088" max="14088" width="2.7109375" style="158" customWidth="1"/>
    <col min="14089" max="14092" width="9.140625" style="158"/>
    <col min="14093" max="14094" width="10.7109375" style="158" customWidth="1"/>
    <col min="14095" max="14106" width="9.140625" style="158"/>
    <col min="14107" max="14107" width="15.7109375" style="158" customWidth="1"/>
    <col min="14108" max="14109" width="9.140625" style="158"/>
    <col min="14110" max="14110" width="2.7109375" style="158" customWidth="1"/>
    <col min="14111" max="14111" width="9.140625" style="158"/>
    <col min="14112" max="14112" width="10.7109375" style="158" customWidth="1"/>
    <col min="14113" max="14337" width="9.140625" style="158"/>
    <col min="14338" max="14338" width="18.7109375" style="158" customWidth="1"/>
    <col min="14339" max="14340" width="9.140625" style="158"/>
    <col min="14341" max="14341" width="2.7109375" style="158" customWidth="1"/>
    <col min="14342" max="14342" width="9.140625" style="158"/>
    <col min="14343" max="14343" width="10.7109375" style="158" customWidth="1"/>
    <col min="14344" max="14344" width="2.7109375" style="158" customWidth="1"/>
    <col min="14345" max="14348" width="9.140625" style="158"/>
    <col min="14349" max="14350" width="10.7109375" style="158" customWidth="1"/>
    <col min="14351" max="14362" width="9.140625" style="158"/>
    <col min="14363" max="14363" width="15.7109375" style="158" customWidth="1"/>
    <col min="14364" max="14365" width="9.140625" style="158"/>
    <col min="14366" max="14366" width="2.7109375" style="158" customWidth="1"/>
    <col min="14367" max="14367" width="9.140625" style="158"/>
    <col min="14368" max="14368" width="10.7109375" style="158" customWidth="1"/>
    <col min="14369" max="14593" width="9.140625" style="158"/>
    <col min="14594" max="14594" width="18.7109375" style="158" customWidth="1"/>
    <col min="14595" max="14596" width="9.140625" style="158"/>
    <col min="14597" max="14597" width="2.7109375" style="158" customWidth="1"/>
    <col min="14598" max="14598" width="9.140625" style="158"/>
    <col min="14599" max="14599" width="10.7109375" style="158" customWidth="1"/>
    <col min="14600" max="14600" width="2.7109375" style="158" customWidth="1"/>
    <col min="14601" max="14604" width="9.140625" style="158"/>
    <col min="14605" max="14606" width="10.7109375" style="158" customWidth="1"/>
    <col min="14607" max="14618" width="9.140625" style="158"/>
    <col min="14619" max="14619" width="15.7109375" style="158" customWidth="1"/>
    <col min="14620" max="14621" width="9.140625" style="158"/>
    <col min="14622" max="14622" width="2.7109375" style="158" customWidth="1"/>
    <col min="14623" max="14623" width="9.140625" style="158"/>
    <col min="14624" max="14624" width="10.7109375" style="158" customWidth="1"/>
    <col min="14625" max="14849" width="9.140625" style="158"/>
    <col min="14850" max="14850" width="18.7109375" style="158" customWidth="1"/>
    <col min="14851" max="14852" width="9.140625" style="158"/>
    <col min="14853" max="14853" width="2.7109375" style="158" customWidth="1"/>
    <col min="14854" max="14854" width="9.140625" style="158"/>
    <col min="14855" max="14855" width="10.7109375" style="158" customWidth="1"/>
    <col min="14856" max="14856" width="2.7109375" style="158" customWidth="1"/>
    <col min="14857" max="14860" width="9.140625" style="158"/>
    <col min="14861" max="14862" width="10.7109375" style="158" customWidth="1"/>
    <col min="14863" max="14874" width="9.140625" style="158"/>
    <col min="14875" max="14875" width="15.7109375" style="158" customWidth="1"/>
    <col min="14876" max="14877" width="9.140625" style="158"/>
    <col min="14878" max="14878" width="2.7109375" style="158" customWidth="1"/>
    <col min="14879" max="14879" width="9.140625" style="158"/>
    <col min="14880" max="14880" width="10.7109375" style="158" customWidth="1"/>
    <col min="14881" max="15105" width="9.140625" style="158"/>
    <col min="15106" max="15106" width="18.7109375" style="158" customWidth="1"/>
    <col min="15107" max="15108" width="9.140625" style="158"/>
    <col min="15109" max="15109" width="2.7109375" style="158" customWidth="1"/>
    <col min="15110" max="15110" width="9.140625" style="158"/>
    <col min="15111" max="15111" width="10.7109375" style="158" customWidth="1"/>
    <col min="15112" max="15112" width="2.7109375" style="158" customWidth="1"/>
    <col min="15113" max="15116" width="9.140625" style="158"/>
    <col min="15117" max="15118" width="10.7109375" style="158" customWidth="1"/>
    <col min="15119" max="15130" width="9.140625" style="158"/>
    <col min="15131" max="15131" width="15.7109375" style="158" customWidth="1"/>
    <col min="15132" max="15133" width="9.140625" style="158"/>
    <col min="15134" max="15134" width="2.7109375" style="158" customWidth="1"/>
    <col min="15135" max="15135" width="9.140625" style="158"/>
    <col min="15136" max="15136" width="10.7109375" style="158" customWidth="1"/>
    <col min="15137" max="15361" width="9.140625" style="158"/>
    <col min="15362" max="15362" width="18.7109375" style="158" customWidth="1"/>
    <col min="15363" max="15364" width="9.140625" style="158"/>
    <col min="15365" max="15365" width="2.7109375" style="158" customWidth="1"/>
    <col min="15366" max="15366" width="9.140625" style="158"/>
    <col min="15367" max="15367" width="10.7109375" style="158" customWidth="1"/>
    <col min="15368" max="15368" width="2.7109375" style="158" customWidth="1"/>
    <col min="15369" max="15372" width="9.140625" style="158"/>
    <col min="15373" max="15374" width="10.7109375" style="158" customWidth="1"/>
    <col min="15375" max="15386" width="9.140625" style="158"/>
    <col min="15387" max="15387" width="15.7109375" style="158" customWidth="1"/>
    <col min="15388" max="15389" width="9.140625" style="158"/>
    <col min="15390" max="15390" width="2.7109375" style="158" customWidth="1"/>
    <col min="15391" max="15391" width="9.140625" style="158"/>
    <col min="15392" max="15392" width="10.7109375" style="158" customWidth="1"/>
    <col min="15393" max="15617" width="9.140625" style="158"/>
    <col min="15618" max="15618" width="18.7109375" style="158" customWidth="1"/>
    <col min="15619" max="15620" width="9.140625" style="158"/>
    <col min="15621" max="15621" width="2.7109375" style="158" customWidth="1"/>
    <col min="15622" max="15622" width="9.140625" style="158"/>
    <col min="15623" max="15623" width="10.7109375" style="158" customWidth="1"/>
    <col min="15624" max="15624" width="2.7109375" style="158" customWidth="1"/>
    <col min="15625" max="15628" width="9.140625" style="158"/>
    <col min="15629" max="15630" width="10.7109375" style="158" customWidth="1"/>
    <col min="15631" max="15642" width="9.140625" style="158"/>
    <col min="15643" max="15643" width="15.7109375" style="158" customWidth="1"/>
    <col min="15644" max="15645" width="9.140625" style="158"/>
    <col min="15646" max="15646" width="2.7109375" style="158" customWidth="1"/>
    <col min="15647" max="15647" width="9.140625" style="158"/>
    <col min="15648" max="15648" width="10.7109375" style="158" customWidth="1"/>
    <col min="15649" max="15873" width="9.140625" style="158"/>
    <col min="15874" max="15874" width="18.7109375" style="158" customWidth="1"/>
    <col min="15875" max="15876" width="9.140625" style="158"/>
    <col min="15877" max="15877" width="2.7109375" style="158" customWidth="1"/>
    <col min="15878" max="15878" width="9.140625" style="158"/>
    <col min="15879" max="15879" width="10.7109375" style="158" customWidth="1"/>
    <col min="15880" max="15880" width="2.7109375" style="158" customWidth="1"/>
    <col min="15881" max="15884" width="9.140625" style="158"/>
    <col min="15885" max="15886" width="10.7109375" style="158" customWidth="1"/>
    <col min="15887" max="15898" width="9.140625" style="158"/>
    <col min="15899" max="15899" width="15.7109375" style="158" customWidth="1"/>
    <col min="15900" max="15901" width="9.140625" style="158"/>
    <col min="15902" max="15902" width="2.7109375" style="158" customWidth="1"/>
    <col min="15903" max="15903" width="9.140625" style="158"/>
    <col min="15904" max="15904" width="10.7109375" style="158" customWidth="1"/>
    <col min="15905" max="16129" width="9.140625" style="158"/>
    <col min="16130" max="16130" width="18.7109375" style="158" customWidth="1"/>
    <col min="16131" max="16132" width="9.140625" style="158"/>
    <col min="16133" max="16133" width="2.7109375" style="158" customWidth="1"/>
    <col min="16134" max="16134" width="9.140625" style="158"/>
    <col min="16135" max="16135" width="10.7109375" style="158" customWidth="1"/>
    <col min="16136" max="16136" width="2.7109375" style="158" customWidth="1"/>
    <col min="16137" max="16140" width="9.140625" style="158"/>
    <col min="16141" max="16142" width="10.7109375" style="158" customWidth="1"/>
    <col min="16143" max="16154" width="9.140625" style="158"/>
    <col min="16155" max="16155" width="15.7109375" style="158" customWidth="1"/>
    <col min="16156" max="16157" width="9.140625" style="158"/>
    <col min="16158" max="16158" width="2.7109375" style="158" customWidth="1"/>
    <col min="16159" max="16159" width="9.140625" style="158"/>
    <col min="16160" max="16160" width="10.7109375" style="158" customWidth="1"/>
    <col min="16161" max="16384" width="9.140625" style="158"/>
  </cols>
  <sheetData>
    <row r="2" spans="2:16" ht="20.25" x14ac:dyDescent="0.3">
      <c r="B2" s="164" t="s">
        <v>537</v>
      </c>
    </row>
    <row r="3" spans="2:16" ht="20.25" x14ac:dyDescent="0.3">
      <c r="B3" s="164"/>
    </row>
    <row r="4" spans="2:16" ht="20.25" x14ac:dyDescent="0.3">
      <c r="B4" s="164" t="s">
        <v>533</v>
      </c>
    </row>
    <row r="5" spans="2:16" ht="13.5" thickBot="1" x14ac:dyDescent="0.25"/>
    <row r="6" spans="2:16" ht="15.75" x14ac:dyDescent="0.25">
      <c r="B6" s="346" t="s">
        <v>528</v>
      </c>
      <c r="C6" s="397" t="s">
        <v>1</v>
      </c>
      <c r="D6" s="397" t="s">
        <v>15</v>
      </c>
      <c r="E6" s="294"/>
      <c r="F6" s="293" t="s">
        <v>473</v>
      </c>
      <c r="G6" s="296" t="s">
        <v>15</v>
      </c>
      <c r="J6" s="337" t="s">
        <v>529</v>
      </c>
      <c r="K6" s="347"/>
      <c r="M6" s="503" t="s">
        <v>1</v>
      </c>
      <c r="N6" s="349" t="s">
        <v>15</v>
      </c>
      <c r="O6" s="408" t="s">
        <v>504</v>
      </c>
    </row>
    <row r="7" spans="2:16" x14ac:dyDescent="0.2">
      <c r="B7" s="316"/>
      <c r="C7" s="302" t="s">
        <v>328</v>
      </c>
      <c r="D7" s="302" t="s">
        <v>328</v>
      </c>
      <c r="E7" s="317"/>
      <c r="F7" s="301" t="s">
        <v>3</v>
      </c>
      <c r="G7" s="304" t="s">
        <v>3</v>
      </c>
      <c r="J7" s="320" t="s">
        <v>476</v>
      </c>
      <c r="K7" s="322" t="s">
        <v>477</v>
      </c>
      <c r="M7" s="351" t="s">
        <v>3</v>
      </c>
      <c r="N7" s="352" t="s">
        <v>3</v>
      </c>
      <c r="O7" s="362" t="s">
        <v>506</v>
      </c>
    </row>
    <row r="8" spans="2:16" x14ac:dyDescent="0.2">
      <c r="B8" s="308" t="s">
        <v>0</v>
      </c>
      <c r="C8" s="398" t="s">
        <v>0</v>
      </c>
      <c r="D8" s="398" t="s">
        <v>0</v>
      </c>
      <c r="E8" s="358"/>
      <c r="F8" s="399" t="s">
        <v>0</v>
      </c>
      <c r="G8" s="400" t="s">
        <v>0</v>
      </c>
      <c r="J8" s="419" t="s">
        <v>483</v>
      </c>
      <c r="K8" s="420" t="s">
        <v>484</v>
      </c>
      <c r="M8" s="351" t="s">
        <v>223</v>
      </c>
      <c r="N8" s="352" t="s">
        <v>223</v>
      </c>
      <c r="O8" s="362" t="s">
        <v>3</v>
      </c>
    </row>
    <row r="9" spans="2:16" x14ac:dyDescent="0.2">
      <c r="B9" s="316"/>
      <c r="C9" s="317"/>
      <c r="D9" s="317"/>
      <c r="E9" s="317"/>
      <c r="F9" s="318"/>
      <c r="G9" s="319"/>
      <c r="J9" s="320"/>
      <c r="K9" s="322"/>
      <c r="M9" s="167"/>
      <c r="N9" s="191"/>
      <c r="O9" s="362"/>
    </row>
    <row r="10" spans="2:16" x14ac:dyDescent="0.2">
      <c r="B10" s="316"/>
      <c r="C10" s="317"/>
      <c r="D10" s="317"/>
      <c r="E10" s="317"/>
      <c r="F10" s="318"/>
      <c r="G10" s="319"/>
      <c r="J10" s="320"/>
      <c r="K10" s="322"/>
      <c r="M10" s="167"/>
      <c r="N10" s="191"/>
      <c r="O10" s="509"/>
    </row>
    <row r="11" spans="2:16" x14ac:dyDescent="0.2">
      <c r="B11" s="316" t="s">
        <v>485</v>
      </c>
      <c r="C11" s="323">
        <v>0.4</v>
      </c>
      <c r="D11" s="323">
        <v>0.4</v>
      </c>
      <c r="E11" s="317"/>
      <c r="F11" s="324">
        <v>20</v>
      </c>
      <c r="G11" s="325">
        <v>10</v>
      </c>
      <c r="J11" s="326">
        <f>(C11-D11)*((1+G11/100)/(1+G$20/100)-1)</f>
        <v>0</v>
      </c>
      <c r="K11" s="328">
        <f>C11*((1+F11/100)/(1+G11/100)-1)*(1+G11/100)/(1+O$20/100)</f>
        <v>3.8080731150038058E-2</v>
      </c>
      <c r="M11" s="167">
        <f>+C11*F11</f>
        <v>8</v>
      </c>
      <c r="N11" s="191">
        <f>+D11*G11</f>
        <v>4</v>
      </c>
      <c r="O11" s="362">
        <f>+C11*G11</f>
        <v>4</v>
      </c>
      <c r="P11" s="173"/>
    </row>
    <row r="12" spans="2:16" x14ac:dyDescent="0.2">
      <c r="B12" s="316"/>
      <c r="C12" s="323"/>
      <c r="D12" s="323"/>
      <c r="E12" s="317"/>
      <c r="F12" s="324"/>
      <c r="G12" s="325"/>
      <c r="J12" s="326"/>
      <c r="K12" s="322"/>
      <c r="M12" s="167"/>
      <c r="N12" s="191"/>
      <c r="O12" s="362"/>
    </row>
    <row r="13" spans="2:16" x14ac:dyDescent="0.2">
      <c r="B13" s="316" t="s">
        <v>486</v>
      </c>
      <c r="C13" s="323">
        <v>0.3</v>
      </c>
      <c r="D13" s="323">
        <v>0.2</v>
      </c>
      <c r="E13" s="317"/>
      <c r="F13" s="324">
        <v>-5</v>
      </c>
      <c r="G13" s="325">
        <v>-4</v>
      </c>
      <c r="J13" s="326">
        <f>(C13-D13)*((1+G13/100)/(1+G$20/100)-1)</f>
        <v>-9.7744360902255675E-3</v>
      </c>
      <c r="K13" s="328">
        <f>C13*((1+F13/100)/(1+G13/100)-1)*(1+G13/100)/(1+O$20/100)</f>
        <v>-2.8560548362528458E-3</v>
      </c>
      <c r="M13" s="167">
        <f>+C13*F13</f>
        <v>-1.5</v>
      </c>
      <c r="N13" s="191">
        <f>+D13*G13</f>
        <v>-0.8</v>
      </c>
      <c r="O13" s="362">
        <f>+C13*G13</f>
        <v>-1.2</v>
      </c>
      <c r="P13" s="173"/>
    </row>
    <row r="14" spans="2:16" x14ac:dyDescent="0.2">
      <c r="B14" s="316"/>
      <c r="C14" s="323"/>
      <c r="D14" s="323"/>
      <c r="E14" s="317"/>
      <c r="F14" s="324"/>
      <c r="G14" s="325"/>
      <c r="J14" s="326"/>
      <c r="K14" s="322"/>
      <c r="M14" s="167"/>
      <c r="N14" s="191"/>
      <c r="O14" s="362"/>
    </row>
    <row r="15" spans="2:16" x14ac:dyDescent="0.2">
      <c r="B15" s="316" t="s">
        <v>487</v>
      </c>
      <c r="C15" s="323">
        <v>0.2</v>
      </c>
      <c r="D15" s="323">
        <v>0.4</v>
      </c>
      <c r="E15" s="317"/>
      <c r="F15" s="324">
        <v>6</v>
      </c>
      <c r="G15" s="325">
        <v>8</v>
      </c>
      <c r="J15" s="326">
        <f>(C15-D15)*((1+G15/100)/(1+G$20/100)-1)</f>
        <v>-3.0075187969925035E-3</v>
      </c>
      <c r="K15" s="328">
        <f>C15*((1+F15/100)/(1+G15/100)-1)*(1+G15/100)/(1+O$20/100)</f>
        <v>-3.8080731150038024E-3</v>
      </c>
      <c r="M15" s="167">
        <f>+C15*F15</f>
        <v>1.2000000000000002</v>
      </c>
      <c r="N15" s="191">
        <f>+D15*G15</f>
        <v>3.2</v>
      </c>
      <c r="O15" s="362">
        <f>+C15*G15</f>
        <v>1.6</v>
      </c>
      <c r="P15" s="173"/>
    </row>
    <row r="16" spans="2:16" x14ac:dyDescent="0.2">
      <c r="B16" s="316"/>
      <c r="C16" s="323"/>
      <c r="D16" s="323"/>
      <c r="E16" s="317"/>
      <c r="F16" s="324"/>
      <c r="G16" s="325"/>
      <c r="J16" s="326"/>
      <c r="K16" s="328"/>
      <c r="M16" s="167"/>
      <c r="N16" s="191"/>
      <c r="O16" s="362"/>
      <c r="P16" s="173"/>
    </row>
    <row r="17" spans="2:16" x14ac:dyDescent="0.2">
      <c r="B17" s="316" t="s">
        <v>530</v>
      </c>
      <c r="C17" s="323">
        <v>0.1</v>
      </c>
      <c r="D17" s="323">
        <v>0</v>
      </c>
      <c r="E17" s="317"/>
      <c r="F17" s="437">
        <v>8</v>
      </c>
      <c r="G17" s="325">
        <v>6.4</v>
      </c>
      <c r="J17" s="326">
        <f>(C17-D17)*((1+G17/100)/(1+G$20/100)-1)</f>
        <v>0</v>
      </c>
      <c r="K17" s="328">
        <f>C17*((1+F17/100)/(1+G17/100)-1)*(1+G17/100)/(1+O$20/100)</f>
        <v>1.5232292460015348E-3</v>
      </c>
      <c r="M17" s="167">
        <f>+C17*F17</f>
        <v>0.8</v>
      </c>
      <c r="N17" s="191">
        <f>+D17*G17</f>
        <v>0</v>
      </c>
      <c r="O17" s="362">
        <f>+C17*G17</f>
        <v>0.64000000000000012</v>
      </c>
      <c r="P17" s="173"/>
    </row>
    <row r="18" spans="2:16" x14ac:dyDescent="0.2">
      <c r="B18" s="316"/>
      <c r="C18" s="323"/>
      <c r="D18" s="323"/>
      <c r="E18" s="317"/>
      <c r="F18" s="318"/>
      <c r="G18" s="319"/>
      <c r="J18" s="326"/>
      <c r="K18" s="470"/>
      <c r="M18" s="167"/>
      <c r="N18" s="191"/>
      <c r="O18" s="362"/>
    </row>
    <row r="19" spans="2:16" x14ac:dyDescent="0.2">
      <c r="B19" s="316"/>
      <c r="C19" s="323"/>
      <c r="D19" s="323"/>
      <c r="E19" s="317"/>
      <c r="F19" s="318"/>
      <c r="G19" s="319"/>
      <c r="J19" s="326"/>
      <c r="K19" s="322"/>
      <c r="M19" s="167"/>
      <c r="N19" s="191"/>
      <c r="O19" s="362"/>
    </row>
    <row r="20" spans="2:16" ht="13.5" thickBot="1" x14ac:dyDescent="0.25">
      <c r="B20" s="329" t="s">
        <v>16</v>
      </c>
      <c r="C20" s="330">
        <f>SUM(C11:C17)</f>
        <v>0.99999999999999989</v>
      </c>
      <c r="D20" s="330">
        <f>SUM(D11:D15)</f>
        <v>1</v>
      </c>
      <c r="E20" s="331"/>
      <c r="F20" s="332">
        <f>+M20</f>
        <v>8.5</v>
      </c>
      <c r="G20" s="333">
        <f>+N20</f>
        <v>6.4</v>
      </c>
      <c r="H20" s="171"/>
      <c r="J20" s="334">
        <f>SUM(J11:J17)</f>
        <v>-1.2781954887218071E-2</v>
      </c>
      <c r="K20" s="336">
        <f>SUM(K11:K17)</f>
        <v>3.2939832444782942E-2</v>
      </c>
      <c r="M20" s="363">
        <f>SUM(M11:M17)</f>
        <v>8.5</v>
      </c>
      <c r="N20" s="364">
        <f>SUM(N11:N17)</f>
        <v>6.4</v>
      </c>
      <c r="O20" s="365">
        <f>SUM(O11:O17)</f>
        <v>5.0400000000000009</v>
      </c>
      <c r="P20" s="173"/>
    </row>
    <row r="22" spans="2:16" ht="13.5" thickBot="1" x14ac:dyDescent="0.25">
      <c r="M22" s="158" t="s">
        <v>0</v>
      </c>
      <c r="P22" s="185"/>
    </row>
    <row r="23" spans="2:16" ht="15.75" x14ac:dyDescent="0.25">
      <c r="I23" s="337" t="s">
        <v>507</v>
      </c>
      <c r="J23" s="366"/>
      <c r="K23" s="339">
        <f>(1+F20/100)/(1+G20/100)-1</f>
        <v>1.9736842105263053E-2</v>
      </c>
    </row>
    <row r="24" spans="2:16" ht="13.5" thickBot="1" x14ac:dyDescent="0.25">
      <c r="I24" s="320"/>
      <c r="J24" s="321"/>
      <c r="K24" s="367"/>
      <c r="M24" s="158" t="s">
        <v>223</v>
      </c>
    </row>
    <row r="25" spans="2:16" x14ac:dyDescent="0.2">
      <c r="I25" s="320" t="s">
        <v>477</v>
      </c>
      <c r="J25" s="321"/>
      <c r="K25" s="340">
        <f>+K20</f>
        <v>3.2939832444782942E-2</v>
      </c>
      <c r="M25" s="368">
        <f>+(1+F20/100)/(1+O20/100)-1</f>
        <v>3.2939832444782935E-2</v>
      </c>
    </row>
    <row r="26" spans="2:16" ht="13.5" thickBot="1" x14ac:dyDescent="0.25">
      <c r="I26" s="320" t="s">
        <v>531</v>
      </c>
      <c r="J26" s="321"/>
      <c r="K26" s="340">
        <f>+J20</f>
        <v>-1.2781954887218071E-2</v>
      </c>
      <c r="M26" s="369">
        <f>+(1+O20/100)/(1+G20/100)-1</f>
        <v>-1.2781954887218117E-2</v>
      </c>
    </row>
    <row r="27" spans="2:16" x14ac:dyDescent="0.2">
      <c r="I27" s="320" t="s">
        <v>0</v>
      </c>
      <c r="J27" s="321"/>
      <c r="K27" s="340" t="s">
        <v>0</v>
      </c>
    </row>
    <row r="28" spans="2:16" ht="13.5" thickBot="1" x14ac:dyDescent="0.25">
      <c r="I28" s="341" t="s">
        <v>524</v>
      </c>
      <c r="J28" s="342"/>
      <c r="K28" s="343">
        <f>(1+K23)/((1+K25)*(1+K26))-1</f>
        <v>0</v>
      </c>
    </row>
    <row r="35" spans="2:15" ht="20.25" x14ac:dyDescent="0.3">
      <c r="B35" s="164" t="s">
        <v>534</v>
      </c>
    </row>
    <row r="36" spans="2:15" ht="13.5" thickBot="1" x14ac:dyDescent="0.25"/>
    <row r="37" spans="2:15" ht="15.75" x14ac:dyDescent="0.25">
      <c r="B37" s="346" t="s">
        <v>528</v>
      </c>
      <c r="C37" s="397" t="s">
        <v>1</v>
      </c>
      <c r="D37" s="397" t="s">
        <v>15</v>
      </c>
      <c r="E37" s="294"/>
      <c r="F37" s="293" t="s">
        <v>473</v>
      </c>
      <c r="G37" s="296" t="s">
        <v>15</v>
      </c>
      <c r="J37" s="337" t="s">
        <v>529</v>
      </c>
      <c r="K37" s="347"/>
      <c r="M37" s="348" t="s">
        <v>1</v>
      </c>
      <c r="N37" s="349" t="s">
        <v>15</v>
      </c>
      <c r="O37" s="408" t="s">
        <v>504</v>
      </c>
    </row>
    <row r="38" spans="2:15" x14ac:dyDescent="0.2">
      <c r="B38" s="316"/>
      <c r="C38" s="302" t="s">
        <v>328</v>
      </c>
      <c r="D38" s="302" t="s">
        <v>328</v>
      </c>
      <c r="E38" s="317"/>
      <c r="F38" s="301" t="s">
        <v>3</v>
      </c>
      <c r="G38" s="304" t="s">
        <v>3</v>
      </c>
      <c r="J38" s="320" t="s">
        <v>476</v>
      </c>
      <c r="K38" s="322" t="s">
        <v>477</v>
      </c>
      <c r="M38" s="351" t="s">
        <v>3</v>
      </c>
      <c r="N38" s="352" t="s">
        <v>3</v>
      </c>
      <c r="O38" s="362" t="s">
        <v>506</v>
      </c>
    </row>
    <row r="39" spans="2:15" x14ac:dyDescent="0.2">
      <c r="B39" s="308" t="s">
        <v>0</v>
      </c>
      <c r="C39" s="398" t="s">
        <v>0</v>
      </c>
      <c r="D39" s="398" t="s">
        <v>0</v>
      </c>
      <c r="E39" s="358"/>
      <c r="F39" s="399" t="s">
        <v>0</v>
      </c>
      <c r="G39" s="400" t="s">
        <v>0</v>
      </c>
      <c r="J39" s="419" t="s">
        <v>483</v>
      </c>
      <c r="K39" s="420" t="s">
        <v>484</v>
      </c>
      <c r="M39" s="351" t="s">
        <v>223</v>
      </c>
      <c r="N39" s="352" t="s">
        <v>223</v>
      </c>
      <c r="O39" s="362" t="s">
        <v>3</v>
      </c>
    </row>
    <row r="40" spans="2:15" x14ac:dyDescent="0.2">
      <c r="B40" s="316"/>
      <c r="C40" s="317"/>
      <c r="D40" s="317"/>
      <c r="E40" s="317"/>
      <c r="F40" s="318"/>
      <c r="G40" s="319"/>
      <c r="J40" s="320"/>
      <c r="K40" s="322"/>
      <c r="M40" s="167"/>
      <c r="N40" s="191"/>
      <c r="O40" s="362"/>
    </row>
    <row r="41" spans="2:15" x14ac:dyDescent="0.2">
      <c r="B41" s="316"/>
      <c r="C41" s="317"/>
      <c r="D41" s="317"/>
      <c r="E41" s="317"/>
      <c r="F41" s="318"/>
      <c r="G41" s="319"/>
      <c r="J41" s="320"/>
      <c r="K41" s="322"/>
      <c r="M41" s="167"/>
      <c r="N41" s="191"/>
      <c r="O41" s="362"/>
    </row>
    <row r="42" spans="2:15" x14ac:dyDescent="0.2">
      <c r="B42" s="316" t="s">
        <v>485</v>
      </c>
      <c r="C42" s="323">
        <v>0.4</v>
      </c>
      <c r="D42" s="323">
        <v>0.4</v>
      </c>
      <c r="E42" s="317"/>
      <c r="F42" s="324">
        <v>20</v>
      </c>
      <c r="G42" s="325">
        <v>10</v>
      </c>
      <c r="J42" s="326">
        <f>(C42-D42)*((1+G42/100)/(1+G$51/100)-1)</f>
        <v>0</v>
      </c>
      <c r="K42" s="328">
        <f>C42*((1+F42/100)/(1+G42/100)-1)*(1+G42/100)/(1+O$51/100)</f>
        <v>3.8022813688212899E-2</v>
      </c>
      <c r="M42" s="167">
        <f>+C42*F42</f>
        <v>8</v>
      </c>
      <c r="N42" s="191">
        <f>+D42*G42</f>
        <v>4</v>
      </c>
      <c r="O42" s="362">
        <f>+C42*G42</f>
        <v>4</v>
      </c>
    </row>
    <row r="43" spans="2:15" x14ac:dyDescent="0.2">
      <c r="B43" s="316"/>
      <c r="C43" s="323"/>
      <c r="D43" s="323"/>
      <c r="E43" s="317"/>
      <c r="F43" s="324"/>
      <c r="G43" s="325"/>
      <c r="J43" s="326"/>
      <c r="K43" s="322"/>
      <c r="M43" s="167"/>
      <c r="N43" s="191"/>
      <c r="O43" s="362"/>
    </row>
    <row r="44" spans="2:15" x14ac:dyDescent="0.2">
      <c r="B44" s="316" t="s">
        <v>486</v>
      </c>
      <c r="C44" s="323">
        <v>0.3</v>
      </c>
      <c r="D44" s="323">
        <v>0.2</v>
      </c>
      <c r="E44" s="317"/>
      <c r="F44" s="324">
        <v>-5</v>
      </c>
      <c r="G44" s="325">
        <v>-4</v>
      </c>
      <c r="J44" s="326">
        <f>(C44-D44)*((1+G44/100)/(1+G$51/100)-1)</f>
        <v>-9.7744360902255675E-3</v>
      </c>
      <c r="K44" s="328">
        <f>C44*((1+F44/100)/(1+G44/100)-1)*(1+G44/100)/(1+O$51/100)</f>
        <v>-2.8517110266159593E-3</v>
      </c>
      <c r="M44" s="167">
        <f>+C44*F44</f>
        <v>-1.5</v>
      </c>
      <c r="N44" s="191">
        <f>+D44*G44</f>
        <v>-0.8</v>
      </c>
      <c r="O44" s="362">
        <f>+C44*G44</f>
        <v>-1.2</v>
      </c>
    </row>
    <row r="45" spans="2:15" x14ac:dyDescent="0.2">
      <c r="B45" s="316"/>
      <c r="C45" s="323"/>
      <c r="D45" s="323"/>
      <c r="E45" s="317"/>
      <c r="F45" s="324"/>
      <c r="G45" s="325"/>
      <c r="J45" s="326"/>
      <c r="K45" s="322"/>
      <c r="M45" s="167"/>
      <c r="N45" s="191"/>
      <c r="O45" s="362"/>
    </row>
    <row r="46" spans="2:15" x14ac:dyDescent="0.2">
      <c r="B46" s="316" t="s">
        <v>487</v>
      </c>
      <c r="C46" s="323">
        <v>0.2</v>
      </c>
      <c r="D46" s="323">
        <v>0.4</v>
      </c>
      <c r="E46" s="317"/>
      <c r="F46" s="324">
        <v>6</v>
      </c>
      <c r="G46" s="325">
        <v>8</v>
      </c>
      <c r="J46" s="326">
        <f>(C46-D46)*((1+G46/100)/(1+G$51/100)-1)</f>
        <v>-3.0075187969925035E-3</v>
      </c>
      <c r="K46" s="328">
        <f>C46*((1+F46/100)/(1+G46/100)-1)*(1+G46/100)/(1+O$51/100)</f>
        <v>-3.8022813688212871E-3</v>
      </c>
      <c r="M46" s="167">
        <f>+C46*F46</f>
        <v>1.2000000000000002</v>
      </c>
      <c r="N46" s="191">
        <f>+D46*G46</f>
        <v>3.2</v>
      </c>
      <c r="O46" s="362">
        <f>+C46*G46</f>
        <v>1.6</v>
      </c>
    </row>
    <row r="47" spans="2:15" x14ac:dyDescent="0.2">
      <c r="B47" s="316"/>
      <c r="C47" s="323"/>
      <c r="D47" s="323"/>
      <c r="E47" s="317"/>
      <c r="F47" s="324"/>
      <c r="G47" s="325"/>
      <c r="J47" s="326"/>
      <c r="K47" s="328"/>
      <c r="M47" s="167"/>
      <c r="N47" s="191"/>
      <c r="O47" s="362"/>
    </row>
    <row r="48" spans="2:15" x14ac:dyDescent="0.2">
      <c r="B48" s="316" t="s">
        <v>530</v>
      </c>
      <c r="C48" s="323">
        <v>0.1</v>
      </c>
      <c r="D48" s="323">
        <v>0</v>
      </c>
      <c r="E48" s="317"/>
      <c r="F48" s="324">
        <v>8</v>
      </c>
      <c r="G48" s="325">
        <v>8</v>
      </c>
      <c r="J48" s="326">
        <f>(C48-D48)*((1+G48/100)/(1+G$51/100)-1)</f>
        <v>1.5037593984962518E-3</v>
      </c>
      <c r="K48" s="328">
        <f>C48*((1+F48/100)/(1+G48/100)-1)*(1+G48/100)/(1+O$51/100)</f>
        <v>0</v>
      </c>
      <c r="M48" s="167">
        <f>+C48*F48</f>
        <v>0.8</v>
      </c>
      <c r="N48" s="191">
        <f>+D48*G48</f>
        <v>0</v>
      </c>
      <c r="O48" s="362">
        <f>+C48*G48</f>
        <v>0.8</v>
      </c>
    </row>
    <row r="49" spans="2:15" x14ac:dyDescent="0.2">
      <c r="B49" s="316"/>
      <c r="C49" s="323"/>
      <c r="D49" s="323"/>
      <c r="E49" s="317"/>
      <c r="F49" s="318"/>
      <c r="G49" s="319"/>
      <c r="J49" s="326"/>
      <c r="K49" s="322"/>
      <c r="M49" s="167"/>
      <c r="N49" s="191"/>
      <c r="O49" s="362"/>
    </row>
    <row r="50" spans="2:15" x14ac:dyDescent="0.2">
      <c r="B50" s="316"/>
      <c r="C50" s="323"/>
      <c r="D50" s="323"/>
      <c r="E50" s="317"/>
      <c r="F50" s="318"/>
      <c r="G50" s="319"/>
      <c r="J50" s="326"/>
      <c r="K50" s="322"/>
      <c r="M50" s="167"/>
      <c r="N50" s="191"/>
      <c r="O50" s="362"/>
    </row>
    <row r="51" spans="2:15" ht="13.5" thickBot="1" x14ac:dyDescent="0.25">
      <c r="B51" s="329" t="s">
        <v>16</v>
      </c>
      <c r="C51" s="330">
        <f>SUM(C42:C48)</f>
        <v>0.99999999999999989</v>
      </c>
      <c r="D51" s="330">
        <f>SUM(D42:D46)</f>
        <v>1</v>
      </c>
      <c r="E51" s="331"/>
      <c r="F51" s="332">
        <f>+M51</f>
        <v>8.5</v>
      </c>
      <c r="G51" s="333">
        <f>+N51</f>
        <v>6.4</v>
      </c>
      <c r="H51" s="171"/>
      <c r="J51" s="334">
        <f>SUM(J42:J48)</f>
        <v>-1.1278195488721819E-2</v>
      </c>
      <c r="K51" s="336">
        <f>SUM(K42:K48)</f>
        <v>3.1368821292775656E-2</v>
      </c>
      <c r="M51" s="363">
        <f>SUM(M42:M48)</f>
        <v>8.5</v>
      </c>
      <c r="N51" s="364">
        <f>SUM(N42:N48)</f>
        <v>6.4</v>
      </c>
      <c r="O51" s="417">
        <f>SUM(O42:O48)</f>
        <v>5.2</v>
      </c>
    </row>
    <row r="53" spans="2:15" ht="13.5" thickBot="1" x14ac:dyDescent="0.25">
      <c r="M53" s="158" t="s">
        <v>0</v>
      </c>
    </row>
    <row r="54" spans="2:15" ht="15.75" x14ac:dyDescent="0.25">
      <c r="I54" s="337" t="s">
        <v>507</v>
      </c>
      <c r="J54" s="366"/>
      <c r="K54" s="339">
        <f>(1+F51/100)/(1+G51/100)-1</f>
        <v>1.9736842105263053E-2</v>
      </c>
    </row>
    <row r="55" spans="2:15" ht="13.5" thickBot="1" x14ac:dyDescent="0.25">
      <c r="I55" s="320"/>
      <c r="J55" s="321"/>
      <c r="K55" s="367"/>
      <c r="M55" s="158" t="s">
        <v>223</v>
      </c>
    </row>
    <row r="56" spans="2:15" x14ac:dyDescent="0.2">
      <c r="I56" s="320" t="s">
        <v>477</v>
      </c>
      <c r="J56" s="321"/>
      <c r="K56" s="340">
        <f>+K51</f>
        <v>3.1368821292775656E-2</v>
      </c>
      <c r="M56" s="368">
        <f>+(1+F51/100)/(1+O51/100)-1</f>
        <v>3.1368821292775628E-2</v>
      </c>
    </row>
    <row r="57" spans="2:15" ht="13.5" thickBot="1" x14ac:dyDescent="0.25">
      <c r="I57" s="320" t="s">
        <v>531</v>
      </c>
      <c r="J57" s="321"/>
      <c r="K57" s="340">
        <f>+J51</f>
        <v>-1.1278195488721819E-2</v>
      </c>
      <c r="M57" s="369">
        <f>+(1+O51/100)/(1+G51/100)-1</f>
        <v>-1.1278195488721776E-2</v>
      </c>
    </row>
    <row r="58" spans="2:15" x14ac:dyDescent="0.2">
      <c r="I58" s="320" t="s">
        <v>0</v>
      </c>
      <c r="J58" s="321"/>
      <c r="K58" s="340" t="s">
        <v>0</v>
      </c>
    </row>
    <row r="59" spans="2:15" ht="13.5" thickBot="1" x14ac:dyDescent="0.25">
      <c r="I59" s="341" t="s">
        <v>524</v>
      </c>
      <c r="J59" s="342"/>
      <c r="K59" s="343">
        <f>(1+K54)/((1+K56)*(1+K57))-1</f>
        <v>0</v>
      </c>
    </row>
    <row r="63" spans="2:15" ht="20.25" x14ac:dyDescent="0.3">
      <c r="B63" s="164" t="s">
        <v>535</v>
      </c>
    </row>
    <row r="64" spans="2:15" ht="13.5" thickBot="1" x14ac:dyDescent="0.25"/>
    <row r="65" spans="2:16" ht="15.75" x14ac:dyDescent="0.25">
      <c r="B65" s="346" t="s">
        <v>528</v>
      </c>
      <c r="C65" s="397" t="s">
        <v>1</v>
      </c>
      <c r="D65" s="397" t="s">
        <v>15</v>
      </c>
      <c r="E65" s="294"/>
      <c r="F65" s="293" t="s">
        <v>473</v>
      </c>
      <c r="G65" s="296" t="s">
        <v>15</v>
      </c>
      <c r="J65" s="337" t="s">
        <v>503</v>
      </c>
      <c r="K65" s="347"/>
      <c r="M65" s="348" t="s">
        <v>1</v>
      </c>
      <c r="N65" s="349" t="s">
        <v>15</v>
      </c>
      <c r="O65" s="408" t="s">
        <v>504</v>
      </c>
    </row>
    <row r="66" spans="2:16" x14ac:dyDescent="0.2">
      <c r="B66" s="316"/>
      <c r="C66" s="302" t="s">
        <v>328</v>
      </c>
      <c r="D66" s="302" t="s">
        <v>328</v>
      </c>
      <c r="E66" s="317"/>
      <c r="F66" s="301" t="s">
        <v>3</v>
      </c>
      <c r="G66" s="304" t="s">
        <v>3</v>
      </c>
      <c r="J66" s="320" t="s">
        <v>505</v>
      </c>
      <c r="K66" s="322" t="s">
        <v>477</v>
      </c>
      <c r="M66" s="351" t="s">
        <v>3</v>
      </c>
      <c r="N66" s="352" t="s">
        <v>3</v>
      </c>
      <c r="O66" s="362" t="s">
        <v>506</v>
      </c>
    </row>
    <row r="67" spans="2:16" x14ac:dyDescent="0.2">
      <c r="B67" s="308" t="s">
        <v>532</v>
      </c>
      <c r="C67" s="398" t="s">
        <v>0</v>
      </c>
      <c r="D67" s="398" t="s">
        <v>0</v>
      </c>
      <c r="E67" s="358"/>
      <c r="F67" s="399" t="s">
        <v>0</v>
      </c>
      <c r="G67" s="400" t="s">
        <v>0</v>
      </c>
      <c r="J67" s="419" t="s">
        <v>483</v>
      </c>
      <c r="K67" s="420" t="s">
        <v>484</v>
      </c>
      <c r="M67" s="351" t="s">
        <v>223</v>
      </c>
      <c r="N67" s="352" t="s">
        <v>223</v>
      </c>
      <c r="O67" s="362" t="s">
        <v>3</v>
      </c>
    </row>
    <row r="68" spans="2:16" x14ac:dyDescent="0.2">
      <c r="B68" s="316"/>
      <c r="C68" s="317"/>
      <c r="D68" s="317"/>
      <c r="E68" s="317"/>
      <c r="F68" s="318"/>
      <c r="G68" s="319"/>
      <c r="J68" s="320"/>
      <c r="K68" s="322"/>
      <c r="M68" s="167"/>
      <c r="N68" s="191"/>
      <c r="O68" s="362"/>
    </row>
    <row r="69" spans="2:16" x14ac:dyDescent="0.2">
      <c r="B69" s="316"/>
      <c r="C69" s="317"/>
      <c r="D69" s="317"/>
      <c r="E69" s="317"/>
      <c r="F69" s="318"/>
      <c r="G69" s="319"/>
      <c r="J69" s="320"/>
      <c r="K69" s="322"/>
      <c r="M69" s="167"/>
      <c r="N69" s="191"/>
      <c r="O69" s="362"/>
    </row>
    <row r="70" spans="2:16" x14ac:dyDescent="0.2">
      <c r="B70" s="316" t="s">
        <v>485</v>
      </c>
      <c r="C70" s="323">
        <v>0.4</v>
      </c>
      <c r="D70" s="323">
        <v>0.4</v>
      </c>
      <c r="E70" s="317"/>
      <c r="F70" s="324">
        <v>20</v>
      </c>
      <c r="G70" s="325">
        <v>10</v>
      </c>
      <c r="J70" s="326">
        <f>(C70-D70)*((1+G70/100)/(1+G$79/100)-1)</f>
        <v>0</v>
      </c>
      <c r="K70" s="328">
        <f>C70*((1+F70/100)/(1+G70/100)-1)*(1+G70/100)/(1+O$79/100)</f>
        <v>3.7972280235428105E-2</v>
      </c>
      <c r="M70" s="167">
        <f>+C70*F70</f>
        <v>8</v>
      </c>
      <c r="N70" s="191">
        <f>+D70*G70</f>
        <v>4</v>
      </c>
      <c r="O70" s="362">
        <f>+C70*G70</f>
        <v>4</v>
      </c>
      <c r="P70" s="173"/>
    </row>
    <row r="71" spans="2:16" x14ac:dyDescent="0.2">
      <c r="B71" s="316"/>
      <c r="C71" s="323"/>
      <c r="D71" s="323"/>
      <c r="E71" s="317"/>
      <c r="F71" s="324"/>
      <c r="G71" s="325"/>
      <c r="J71" s="326"/>
      <c r="K71" s="328"/>
      <c r="M71" s="167"/>
      <c r="N71" s="191"/>
      <c r="O71" s="362"/>
    </row>
    <row r="72" spans="2:16" x14ac:dyDescent="0.2">
      <c r="B72" s="316" t="s">
        <v>486</v>
      </c>
      <c r="C72" s="323">
        <v>0.3</v>
      </c>
      <c r="D72" s="323">
        <v>0.2</v>
      </c>
      <c r="E72" s="317"/>
      <c r="F72" s="324">
        <v>-5</v>
      </c>
      <c r="G72" s="325">
        <v>-4</v>
      </c>
      <c r="J72" s="326">
        <f>(C72-D72)*((1+G72/100)/(1+G$79/100)-1)</f>
        <v>-9.7744360902255675E-3</v>
      </c>
      <c r="K72" s="328">
        <f>C72*((1+F72/100)/(1+G72/100)-1)*(1+G72/100)/(1+O$79/100)</f>
        <v>-2.8479210176571E-3</v>
      </c>
      <c r="M72" s="167">
        <f>+C72*F72</f>
        <v>-1.5</v>
      </c>
      <c r="N72" s="191">
        <f>+D72*G72</f>
        <v>-0.8</v>
      </c>
      <c r="O72" s="362">
        <f>+C72*G72</f>
        <v>-1.2</v>
      </c>
      <c r="P72" s="173"/>
    </row>
    <row r="73" spans="2:16" x14ac:dyDescent="0.2">
      <c r="B73" s="316"/>
      <c r="C73" s="323"/>
      <c r="D73" s="323"/>
      <c r="E73" s="317"/>
      <c r="F73" s="324"/>
      <c r="G73" s="325"/>
      <c r="J73" s="326"/>
      <c r="K73" s="328" t="s">
        <v>0</v>
      </c>
      <c r="M73" s="167"/>
      <c r="N73" s="191"/>
      <c r="O73" s="362"/>
    </row>
    <row r="74" spans="2:16" x14ac:dyDescent="0.2">
      <c r="B74" s="316" t="s">
        <v>487</v>
      </c>
      <c r="C74" s="323">
        <v>0.2</v>
      </c>
      <c r="D74" s="323">
        <v>0.4</v>
      </c>
      <c r="E74" s="317"/>
      <c r="F74" s="324">
        <v>6</v>
      </c>
      <c r="G74" s="325">
        <v>8</v>
      </c>
      <c r="J74" s="326">
        <f>(C74-D74)*((1+G74/100)/(1+G$79/100)-1)</f>
        <v>-3.0075187969925035E-3</v>
      </c>
      <c r="K74" s="328">
        <f>C74*((1+F74/100)/(1+G74/100)-1)*(1+G74/100)/(1+O$79/100)</f>
        <v>-3.7972280235428076E-3</v>
      </c>
      <c r="M74" s="167">
        <f>+C74*F74</f>
        <v>1.2000000000000002</v>
      </c>
      <c r="N74" s="191">
        <f>+D74*G74</f>
        <v>3.2</v>
      </c>
      <c r="O74" s="362">
        <f>+C74*G74</f>
        <v>1.6</v>
      </c>
      <c r="P74" s="173"/>
    </row>
    <row r="75" spans="2:16" x14ac:dyDescent="0.2">
      <c r="B75" s="316"/>
      <c r="C75" s="323"/>
      <c r="D75" s="323"/>
      <c r="E75" s="317"/>
      <c r="F75" s="324"/>
      <c r="G75" s="325"/>
      <c r="J75" s="326"/>
      <c r="K75" s="328" t="s">
        <v>0</v>
      </c>
      <c r="M75" s="167"/>
      <c r="N75" s="191"/>
      <c r="O75" s="362"/>
      <c r="P75" s="173"/>
    </row>
    <row r="76" spans="2:16" x14ac:dyDescent="0.2">
      <c r="B76" s="316" t="s">
        <v>530</v>
      </c>
      <c r="C76" s="323">
        <v>0.1</v>
      </c>
      <c r="D76" s="323">
        <v>0</v>
      </c>
      <c r="E76" s="317"/>
      <c r="F76" s="324">
        <v>8</v>
      </c>
      <c r="G76" s="325">
        <v>9.4</v>
      </c>
      <c r="J76" s="326">
        <f>(C76-D76)*((1+G76/100)/(1+G$79/100)-1)</f>
        <v>2.8195488721804553E-3</v>
      </c>
      <c r="K76" s="328">
        <f>C76*((1+F76/100)/(1+G76/100)-1)*(1+G76/100)/(1+O$79/100)</f>
        <v>-1.3290298082399852E-3</v>
      </c>
      <c r="M76" s="167">
        <f>+C76*F76</f>
        <v>0.8</v>
      </c>
      <c r="N76" s="191">
        <f>+D76*G76</f>
        <v>0</v>
      </c>
      <c r="O76" s="362">
        <f>+C76*G76</f>
        <v>0.94000000000000006</v>
      </c>
      <c r="P76" s="173"/>
    </row>
    <row r="77" spans="2:16" x14ac:dyDescent="0.2">
      <c r="B77" s="316"/>
      <c r="C77" s="323"/>
      <c r="D77" s="323"/>
      <c r="E77" s="317"/>
      <c r="F77" s="318"/>
      <c r="G77" s="319"/>
      <c r="J77" s="326"/>
      <c r="K77" s="421"/>
      <c r="M77" s="167"/>
      <c r="N77" s="191"/>
      <c r="O77" s="362"/>
    </row>
    <row r="78" spans="2:16" x14ac:dyDescent="0.2">
      <c r="B78" s="316"/>
      <c r="C78" s="323"/>
      <c r="D78" s="323"/>
      <c r="E78" s="317"/>
      <c r="F78" s="318"/>
      <c r="G78" s="319"/>
      <c r="J78" s="326"/>
      <c r="K78" s="322"/>
      <c r="M78" s="167"/>
      <c r="N78" s="191"/>
      <c r="O78" s="362"/>
    </row>
    <row r="79" spans="2:16" ht="13.5" thickBot="1" x14ac:dyDescent="0.25">
      <c r="B79" s="329" t="s">
        <v>16</v>
      </c>
      <c r="C79" s="330">
        <f>SUM(C70:C76)</f>
        <v>0.99999999999999989</v>
      </c>
      <c r="D79" s="330">
        <f>SUM(D70:D74)</f>
        <v>1</v>
      </c>
      <c r="E79" s="331"/>
      <c r="F79" s="332">
        <f>+M79</f>
        <v>8.5</v>
      </c>
      <c r="G79" s="333">
        <f>+N79</f>
        <v>6.4</v>
      </c>
      <c r="H79" s="171"/>
      <c r="J79" s="334">
        <f>SUM(J70:J76)</f>
        <v>-9.962406015037617E-3</v>
      </c>
      <c r="K79" s="336">
        <f>SUM(K70:K76)</f>
        <v>2.9998101385988213E-2</v>
      </c>
      <c r="M79" s="363">
        <f>SUM(M70:M76)</f>
        <v>8.5</v>
      </c>
      <c r="N79" s="364">
        <f>SUM(N70:N76)</f>
        <v>6.4</v>
      </c>
      <c r="O79" s="417">
        <f>SUM(O70:O76)</f>
        <v>5.3400000000000007</v>
      </c>
      <c r="P79" s="173"/>
    </row>
    <row r="81" spans="2:16" x14ac:dyDescent="0.2">
      <c r="M81" s="158" t="s">
        <v>0</v>
      </c>
      <c r="P81" s="185"/>
    </row>
    <row r="82" spans="2:16" ht="15.75" x14ac:dyDescent="0.25">
      <c r="I82" s="422" t="s">
        <v>507</v>
      </c>
      <c r="J82" s="423"/>
      <c r="K82" s="424">
        <f>(1+F79/100)/(1+G79/100)-1</f>
        <v>1.9736842105263053E-2</v>
      </c>
    </row>
    <row r="83" spans="2:16" ht="13.5" thickBot="1" x14ac:dyDescent="0.25">
      <c r="I83" s="425"/>
      <c r="J83" s="321"/>
      <c r="K83" s="426"/>
      <c r="M83" s="158" t="s">
        <v>223</v>
      </c>
    </row>
    <row r="84" spans="2:16" x14ac:dyDescent="0.2">
      <c r="I84" s="425" t="s">
        <v>477</v>
      </c>
      <c r="J84" s="321"/>
      <c r="K84" s="427">
        <f>+K79</f>
        <v>2.9998101385988213E-2</v>
      </c>
      <c r="M84" s="368">
        <f>+(1+F79/100)/(1+O79/100)-1</f>
        <v>2.9998101385988019E-2</v>
      </c>
    </row>
    <row r="85" spans="2:16" ht="13.5" thickBot="1" x14ac:dyDescent="0.25">
      <c r="I85" s="425" t="s">
        <v>531</v>
      </c>
      <c r="J85" s="321"/>
      <c r="K85" s="427">
        <f>+J79</f>
        <v>-9.962406015037617E-3</v>
      </c>
      <c r="M85" s="369">
        <f>+(1+O79/100)/(1+G79/100)-1</f>
        <v>-9.962406015037506E-3</v>
      </c>
    </row>
    <row r="86" spans="2:16" x14ac:dyDescent="0.2">
      <c r="I86" s="425" t="s">
        <v>0</v>
      </c>
      <c r="J86" s="321"/>
      <c r="K86" s="427" t="s">
        <v>0</v>
      </c>
    </row>
    <row r="87" spans="2:16" x14ac:dyDescent="0.2">
      <c r="I87" s="428" t="s">
        <v>524</v>
      </c>
      <c r="J87" s="429"/>
      <c r="K87" s="430">
        <f>(1+K82)/((1+K84)*(1+K85))-1</f>
        <v>0</v>
      </c>
    </row>
    <row r="90" spans="2:16" ht="20.25" x14ac:dyDescent="0.3">
      <c r="B90" s="164" t="s">
        <v>536</v>
      </c>
    </row>
    <row r="91" spans="2:16" ht="13.5" thickBot="1" x14ac:dyDescent="0.25"/>
    <row r="92" spans="2:16" ht="15.75" x14ac:dyDescent="0.25">
      <c r="B92" s="346" t="s">
        <v>528</v>
      </c>
      <c r="C92" s="397" t="s">
        <v>1</v>
      </c>
      <c r="D92" s="397" t="s">
        <v>15</v>
      </c>
      <c r="E92" s="294"/>
      <c r="F92" s="293" t="s">
        <v>473</v>
      </c>
      <c r="G92" s="296" t="s">
        <v>15</v>
      </c>
      <c r="J92" s="337" t="s">
        <v>503</v>
      </c>
      <c r="K92" s="347"/>
      <c r="M92" s="348" t="s">
        <v>1</v>
      </c>
      <c r="N92" s="349" t="s">
        <v>15</v>
      </c>
      <c r="O92" s="408" t="s">
        <v>504</v>
      </c>
    </row>
    <row r="93" spans="2:16" x14ac:dyDescent="0.2">
      <c r="B93" s="316"/>
      <c r="C93" s="302" t="s">
        <v>328</v>
      </c>
      <c r="D93" s="302" t="s">
        <v>328</v>
      </c>
      <c r="E93" s="317"/>
      <c r="F93" s="301" t="s">
        <v>3</v>
      </c>
      <c r="G93" s="304" t="s">
        <v>3</v>
      </c>
      <c r="J93" s="320" t="s">
        <v>505</v>
      </c>
      <c r="K93" s="322" t="s">
        <v>477</v>
      </c>
      <c r="M93" s="351" t="s">
        <v>3</v>
      </c>
      <c r="N93" s="352" t="s">
        <v>3</v>
      </c>
      <c r="O93" s="362" t="s">
        <v>506</v>
      </c>
    </row>
    <row r="94" spans="2:16" x14ac:dyDescent="0.2">
      <c r="B94" s="308" t="s">
        <v>532</v>
      </c>
      <c r="C94" s="398" t="s">
        <v>0</v>
      </c>
      <c r="D94" s="398" t="s">
        <v>0</v>
      </c>
      <c r="E94" s="358"/>
      <c r="F94" s="399" t="s">
        <v>0</v>
      </c>
      <c r="G94" s="400" t="s">
        <v>0</v>
      </c>
      <c r="J94" s="419" t="s">
        <v>483</v>
      </c>
      <c r="K94" s="420" t="s">
        <v>484</v>
      </c>
      <c r="M94" s="351" t="s">
        <v>223</v>
      </c>
      <c r="N94" s="352" t="s">
        <v>223</v>
      </c>
      <c r="O94" s="362" t="s">
        <v>3</v>
      </c>
    </row>
    <row r="95" spans="2:16" x14ac:dyDescent="0.2">
      <c r="B95" s="316"/>
      <c r="C95" s="317"/>
      <c r="D95" s="317"/>
      <c r="E95" s="317"/>
      <c r="F95" s="318"/>
      <c r="G95" s="319"/>
      <c r="J95" s="320"/>
      <c r="K95" s="322"/>
      <c r="M95" s="167"/>
      <c r="N95" s="191"/>
      <c r="O95" s="362"/>
    </row>
    <row r="96" spans="2:16" x14ac:dyDescent="0.2">
      <c r="B96" s="316"/>
      <c r="C96" s="317"/>
      <c r="D96" s="317"/>
      <c r="E96" s="317"/>
      <c r="F96" s="318"/>
      <c r="G96" s="319"/>
      <c r="J96" s="320"/>
      <c r="K96" s="322"/>
      <c r="M96" s="167"/>
      <c r="N96" s="191"/>
      <c r="O96" s="362"/>
    </row>
    <row r="97" spans="2:16" x14ac:dyDescent="0.2">
      <c r="B97" s="316" t="s">
        <v>485</v>
      </c>
      <c r="C97" s="323">
        <v>0.4</v>
      </c>
      <c r="D97" s="323">
        <v>0.4</v>
      </c>
      <c r="E97" s="317"/>
      <c r="F97" s="324">
        <v>20</v>
      </c>
      <c r="G97" s="325">
        <v>10</v>
      </c>
      <c r="J97" s="326">
        <f>(C97-D97)*((1+G97/100)/(1+G$106/100)-1)</f>
        <v>0</v>
      </c>
      <c r="K97" s="328">
        <f>C97*((1+F97/100)/(1+G97/100)-1)*(1+G97/100)/(1+O$106/100)</f>
        <v>3.8314176245210697E-2</v>
      </c>
      <c r="M97" s="167">
        <f>+C97*F97</f>
        <v>8</v>
      </c>
      <c r="N97" s="191">
        <f>+D97*G97</f>
        <v>4</v>
      </c>
      <c r="O97" s="362">
        <f>+C97*G97</f>
        <v>4</v>
      </c>
      <c r="P97" s="173"/>
    </row>
    <row r="98" spans="2:16" x14ac:dyDescent="0.2">
      <c r="B98" s="316"/>
      <c r="C98" s="323"/>
      <c r="D98" s="323"/>
      <c r="E98" s="317"/>
      <c r="F98" s="324"/>
      <c r="G98" s="325"/>
      <c r="J98" s="326"/>
      <c r="K98" s="328"/>
      <c r="M98" s="167"/>
      <c r="N98" s="191"/>
      <c r="O98" s="362"/>
    </row>
    <row r="99" spans="2:16" x14ac:dyDescent="0.2">
      <c r="B99" s="316" t="s">
        <v>486</v>
      </c>
      <c r="C99" s="323">
        <v>0.3</v>
      </c>
      <c r="D99" s="323">
        <v>0.2</v>
      </c>
      <c r="E99" s="317"/>
      <c r="F99" s="324">
        <v>-5</v>
      </c>
      <c r="G99" s="325">
        <v>-4</v>
      </c>
      <c r="J99" s="326">
        <f>(C99-D99)*((1+G99/100)/(1+G$106/100)-1)</f>
        <v>-9.7744360902255675E-3</v>
      </c>
      <c r="K99" s="328">
        <f>C99*((1+F99/100)/(1+G99/100)-1)*(1+G99/100)/(1+O$106/100)</f>
        <v>-2.8735632183907941E-3</v>
      </c>
      <c r="M99" s="167">
        <f>+C99*F99</f>
        <v>-1.5</v>
      </c>
      <c r="N99" s="191">
        <f>+D99*G99</f>
        <v>-0.8</v>
      </c>
      <c r="O99" s="362">
        <f>+C99*G99</f>
        <v>-1.2</v>
      </c>
      <c r="P99" s="173"/>
    </row>
    <row r="100" spans="2:16" x14ac:dyDescent="0.2">
      <c r="B100" s="316"/>
      <c r="C100" s="323"/>
      <c r="D100" s="323"/>
      <c r="E100" s="317"/>
      <c r="F100" s="324"/>
      <c r="G100" s="325"/>
      <c r="J100" s="326"/>
      <c r="K100" s="328" t="s">
        <v>0</v>
      </c>
      <c r="M100" s="167"/>
      <c r="N100" s="191"/>
      <c r="O100" s="362"/>
    </row>
    <row r="101" spans="2:16" x14ac:dyDescent="0.2">
      <c r="B101" s="316" t="s">
        <v>487</v>
      </c>
      <c r="C101" s="323">
        <v>0.2</v>
      </c>
      <c r="D101" s="323">
        <v>0.4</v>
      </c>
      <c r="E101" s="317"/>
      <c r="F101" s="324">
        <v>6</v>
      </c>
      <c r="G101" s="325">
        <v>8</v>
      </c>
      <c r="J101" s="326">
        <f>(C101-D101)*((1+G101/100)/(1+G$106/100)-1)</f>
        <v>-3.0075187969925035E-3</v>
      </c>
      <c r="K101" s="328">
        <f>C101*((1+F101/100)/(1+G101/100)-1)*(1+G101/100)/(1+O$106/100)</f>
        <v>-3.831417624521067E-3</v>
      </c>
      <c r="M101" s="167">
        <f>+C101*F101</f>
        <v>1.2000000000000002</v>
      </c>
      <c r="N101" s="191">
        <f>+D101*G101</f>
        <v>3.2</v>
      </c>
      <c r="O101" s="362">
        <f>+C101*G101</f>
        <v>1.6</v>
      </c>
      <c r="P101" s="173"/>
    </row>
    <row r="102" spans="2:16" x14ac:dyDescent="0.2">
      <c r="B102" s="316"/>
      <c r="C102" s="323"/>
      <c r="D102" s="323"/>
      <c r="E102" s="317"/>
      <c r="F102" s="324"/>
      <c r="G102" s="325"/>
      <c r="J102" s="326"/>
      <c r="K102" s="328" t="s">
        <v>0</v>
      </c>
      <c r="M102" s="167"/>
      <c r="N102" s="191"/>
      <c r="O102" s="362"/>
      <c r="P102" s="173"/>
    </row>
    <row r="103" spans="2:16" x14ac:dyDescent="0.2">
      <c r="B103" s="316" t="s">
        <v>530</v>
      </c>
      <c r="C103" s="323">
        <v>0.1</v>
      </c>
      <c r="D103" s="323">
        <v>0</v>
      </c>
      <c r="E103" s="317"/>
      <c r="F103" s="324">
        <v>8</v>
      </c>
      <c r="G103" s="325">
        <v>0</v>
      </c>
      <c r="J103" s="326">
        <f>(C103-D103)*((1+G103/100)/(1+G$106/100)-1)</f>
        <v>-6.0150375939849628E-3</v>
      </c>
      <c r="K103" s="328">
        <f>C103*((1+F103/100)/(1+G103/100)-1)*(1+G103/100)/(1+O$106/100)</f>
        <v>7.6628352490421521E-3</v>
      </c>
      <c r="M103" s="167">
        <f>+C103*F103</f>
        <v>0.8</v>
      </c>
      <c r="N103" s="191">
        <f>+D103*G103</f>
        <v>0</v>
      </c>
      <c r="O103" s="362">
        <f>+C103*G103</f>
        <v>0</v>
      </c>
      <c r="P103" s="173"/>
    </row>
    <row r="104" spans="2:16" x14ac:dyDescent="0.2">
      <c r="B104" s="316"/>
      <c r="C104" s="323"/>
      <c r="D104" s="323"/>
      <c r="E104" s="317"/>
      <c r="F104" s="318"/>
      <c r="G104" s="319"/>
      <c r="J104" s="326"/>
      <c r="K104" s="421"/>
      <c r="M104" s="167"/>
      <c r="N104" s="191"/>
      <c r="O104" s="362"/>
    </row>
    <row r="105" spans="2:16" x14ac:dyDescent="0.2">
      <c r="B105" s="316"/>
      <c r="C105" s="323"/>
      <c r="D105" s="323"/>
      <c r="E105" s="317"/>
      <c r="F105" s="318"/>
      <c r="G105" s="319"/>
      <c r="J105" s="326"/>
      <c r="K105" s="322"/>
      <c r="M105" s="167"/>
      <c r="N105" s="191"/>
      <c r="O105" s="362"/>
    </row>
    <row r="106" spans="2:16" ht="13.5" thickBot="1" x14ac:dyDescent="0.25">
      <c r="B106" s="329" t="s">
        <v>16</v>
      </c>
      <c r="C106" s="330">
        <f>SUM(C97:C103)</f>
        <v>0.99999999999999989</v>
      </c>
      <c r="D106" s="330">
        <f>SUM(D97:D101)</f>
        <v>1</v>
      </c>
      <c r="E106" s="331"/>
      <c r="F106" s="332">
        <f>+M106</f>
        <v>8.5</v>
      </c>
      <c r="G106" s="333">
        <f>+N106</f>
        <v>6.4</v>
      </c>
      <c r="H106" s="171"/>
      <c r="J106" s="334">
        <f>SUM(J97:J103)</f>
        <v>-1.8796992481203034E-2</v>
      </c>
      <c r="K106" s="336">
        <f>SUM(K97:K103)</f>
        <v>3.9272030651340994E-2</v>
      </c>
      <c r="M106" s="363">
        <f>SUM(M97:M103)</f>
        <v>8.5</v>
      </c>
      <c r="N106" s="364">
        <f>SUM(N97:N103)</f>
        <v>6.4</v>
      </c>
      <c r="O106" s="365">
        <f>SUM(O97:O103)</f>
        <v>4.4000000000000004</v>
      </c>
      <c r="P106" s="173"/>
    </row>
    <row r="108" spans="2:16" x14ac:dyDescent="0.2">
      <c r="M108" s="158" t="s">
        <v>0</v>
      </c>
      <c r="P108" s="185"/>
    </row>
    <row r="109" spans="2:16" ht="15.75" x14ac:dyDescent="0.25">
      <c r="I109" s="422" t="s">
        <v>507</v>
      </c>
      <c r="J109" s="423"/>
      <c r="K109" s="424">
        <f>(1+F106/100)/(1+G106/100)-1</f>
        <v>1.9736842105263053E-2</v>
      </c>
    </row>
    <row r="110" spans="2:16" ht="13.5" thickBot="1" x14ac:dyDescent="0.25">
      <c r="I110" s="425"/>
      <c r="J110" s="321"/>
      <c r="K110" s="426"/>
      <c r="M110" s="158" t="s">
        <v>223</v>
      </c>
    </row>
    <row r="111" spans="2:16" x14ac:dyDescent="0.2">
      <c r="I111" s="425" t="s">
        <v>477</v>
      </c>
      <c r="J111" s="321"/>
      <c r="K111" s="427">
        <f>+K106</f>
        <v>3.9272030651340994E-2</v>
      </c>
      <c r="M111" s="368">
        <f>+(1+F106/100)/(1+O106/100)-1</f>
        <v>3.9272030651340994E-2</v>
      </c>
    </row>
    <row r="112" spans="2:16" ht="13.5" thickBot="1" x14ac:dyDescent="0.25">
      <c r="I112" s="425" t="s">
        <v>531</v>
      </c>
      <c r="J112" s="321"/>
      <c r="K112" s="427">
        <f>+J106</f>
        <v>-1.8796992481203034E-2</v>
      </c>
      <c r="M112" s="369">
        <f>+(1+O106/100)/(1+G106/100)-1</f>
        <v>-1.8796992481203034E-2</v>
      </c>
    </row>
    <row r="113" spans="9:11" x14ac:dyDescent="0.2">
      <c r="I113" s="425" t="s">
        <v>0</v>
      </c>
      <c r="J113" s="321"/>
      <c r="K113" s="427" t="s">
        <v>0</v>
      </c>
    </row>
    <row r="114" spans="9:11" x14ac:dyDescent="0.2">
      <c r="I114" s="428" t="s">
        <v>524</v>
      </c>
      <c r="J114" s="429"/>
      <c r="K114" s="430">
        <f>(1+K109)/((1+K111)*(1+K112))-1</f>
        <v>0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7E9A-6E5B-49B6-BA41-43859DFD6992}">
  <dimension ref="B2:DC58"/>
  <sheetViews>
    <sheetView topLeftCell="CE22" workbookViewId="0">
      <selection activeCell="CQ56" sqref="CQ56"/>
    </sheetView>
  </sheetViews>
  <sheetFormatPr defaultRowHeight="12.75" x14ac:dyDescent="0.2"/>
  <cols>
    <col min="1" max="2" width="9.140625" style="158"/>
    <col min="3" max="3" width="12.42578125" style="158" customWidth="1"/>
    <col min="4" max="7" width="9.140625" style="158"/>
    <col min="8" max="8" width="11.5703125" style="158" customWidth="1"/>
    <col min="9" max="9" width="11.140625" style="158" customWidth="1"/>
    <col min="10" max="14" width="9.140625" style="158"/>
    <col min="15" max="15" width="11" style="158" customWidth="1"/>
    <col min="16" max="17" width="9.140625" style="158"/>
    <col min="18" max="18" width="10.5703125" style="158" customWidth="1"/>
    <col min="19" max="19" width="10.85546875" style="158" customWidth="1"/>
    <col min="20" max="20" width="11.42578125" style="158" customWidth="1"/>
    <col min="21" max="21" width="11.140625" style="158" customWidth="1"/>
    <col min="22" max="25" width="9.140625" style="158"/>
    <col min="26" max="26" width="10.7109375" style="158" customWidth="1"/>
    <col min="27" max="27" width="10.42578125" style="158" customWidth="1"/>
    <col min="28" max="28" width="11.28515625" style="158" customWidth="1"/>
    <col min="29" max="29" width="11" style="158" customWidth="1"/>
    <col min="30" max="33" width="9.140625" style="158"/>
    <col min="34" max="34" width="12" style="158" customWidth="1"/>
    <col min="35" max="36" width="10.140625" style="158" customWidth="1"/>
    <col min="37" max="37" width="12.7109375" style="158" customWidth="1"/>
    <col min="38" max="41" width="9.140625" style="158"/>
    <col min="42" max="42" width="10.5703125" style="158" customWidth="1"/>
    <col min="43" max="43" width="10" style="158" customWidth="1"/>
    <col min="44" max="44" width="10.28515625" style="158" customWidth="1"/>
    <col min="45" max="45" width="11" style="158" customWidth="1"/>
    <col min="46" max="46" width="9.140625" style="158"/>
    <col min="47" max="47" width="10.140625" style="158" customWidth="1"/>
    <col min="48" max="48" width="9.140625" style="158"/>
    <col min="49" max="49" width="11.28515625" style="158" customWidth="1"/>
    <col min="50" max="50" width="3.5703125" style="158" customWidth="1"/>
    <col min="51" max="51" width="9.140625" style="158"/>
    <col min="52" max="52" width="11.7109375" style="158" customWidth="1"/>
    <col min="53" max="53" width="3.7109375" style="158" customWidth="1"/>
    <col min="54" max="54" width="9.42578125" style="158" customWidth="1"/>
    <col min="55" max="56" width="9.140625" style="158"/>
    <col min="57" max="57" width="13.7109375" style="158" customWidth="1"/>
    <col min="58" max="60" width="9.140625" style="158"/>
    <col min="61" max="61" width="11.42578125" style="158" customWidth="1"/>
    <col min="62" max="62" width="3.42578125" style="158" customWidth="1"/>
    <col min="63" max="63" width="9.140625" style="158"/>
    <col min="64" max="64" width="12.140625" style="158" customWidth="1"/>
    <col min="65" max="65" width="3.5703125" style="158" customWidth="1"/>
    <col min="66" max="66" width="10.85546875" style="158" customWidth="1"/>
    <col min="67" max="68" width="9.140625" style="158"/>
    <col min="69" max="69" width="13.7109375" style="158" customWidth="1"/>
    <col min="70" max="73" width="9.140625" style="158"/>
    <col min="74" max="74" width="11.85546875" style="158" customWidth="1"/>
    <col min="75" max="75" width="3.140625" style="158" customWidth="1"/>
    <col min="76" max="76" width="9.140625" style="158"/>
    <col min="77" max="77" width="11.7109375" style="158" customWidth="1"/>
    <col min="78" max="78" width="3.140625" style="158" customWidth="1"/>
    <col min="79" max="79" width="9.7109375" style="158" customWidth="1"/>
    <col min="80" max="81" width="9.140625" style="158"/>
    <col min="82" max="82" width="13.85546875" style="158" customWidth="1"/>
    <col min="83" max="89" width="9.140625" style="158"/>
    <col min="90" max="90" width="12" style="158" customWidth="1"/>
    <col min="91" max="91" width="5.28515625" style="158" customWidth="1"/>
    <col min="92" max="94" width="9.140625" style="158"/>
    <col min="95" max="95" width="13.85546875" style="158" customWidth="1"/>
    <col min="96" max="96" width="9.140625" style="158"/>
    <col min="97" max="97" width="10.7109375" style="158" customWidth="1"/>
    <col min="98" max="98" width="9.140625" style="158"/>
    <col min="99" max="99" width="12.28515625" style="158" customWidth="1"/>
    <col min="100" max="100" width="2.42578125" style="158" customWidth="1"/>
    <col min="101" max="101" width="10.7109375" style="158" customWidth="1"/>
    <col min="102" max="102" width="12.7109375" style="158" customWidth="1"/>
    <col min="103" max="103" width="2.5703125" style="158" customWidth="1"/>
    <col min="104" max="104" width="9.5703125" style="158" customWidth="1"/>
    <col min="105" max="106" width="9.140625" style="158"/>
    <col min="107" max="107" width="14" style="158" customWidth="1"/>
    <col min="108" max="16384" width="9.140625" style="158"/>
  </cols>
  <sheetData>
    <row r="2" spans="2:107" ht="20.25" x14ac:dyDescent="0.3">
      <c r="B2" s="164" t="s">
        <v>588</v>
      </c>
      <c r="CY2"/>
    </row>
    <row r="3" spans="2:107" ht="15.75" thickBot="1" x14ac:dyDescent="0.3">
      <c r="AU3" s="171" t="s">
        <v>570</v>
      </c>
      <c r="BG3" s="171" t="s">
        <v>577</v>
      </c>
      <c r="BT3" s="171" t="s">
        <v>579</v>
      </c>
      <c r="CG3" s="171" t="s">
        <v>580</v>
      </c>
      <c r="CS3" s="171" t="s">
        <v>585</v>
      </c>
      <c r="CY3"/>
    </row>
    <row r="4" spans="2:107" ht="15.75" thickBot="1" x14ac:dyDescent="0.3">
      <c r="C4" s="438" t="s">
        <v>568</v>
      </c>
      <c r="D4" s="439"/>
      <c r="E4" s="439"/>
      <c r="F4" s="439"/>
      <c r="G4" s="439"/>
      <c r="H4" s="439"/>
      <c r="I4" s="440"/>
      <c r="J4"/>
      <c r="K4"/>
      <c r="O4" s="518" t="s">
        <v>571</v>
      </c>
      <c r="P4" s="208"/>
      <c r="Q4" s="208"/>
      <c r="R4" s="208"/>
      <c r="S4" s="208"/>
      <c r="T4" s="208"/>
      <c r="U4" s="519"/>
      <c r="W4" s="518" t="s">
        <v>572</v>
      </c>
      <c r="X4" s="208"/>
      <c r="Y4" s="208"/>
      <c r="Z4" s="208"/>
      <c r="AA4" s="208"/>
      <c r="AB4" s="208"/>
      <c r="AC4" s="519"/>
      <c r="AE4" s="518" t="s">
        <v>573</v>
      </c>
      <c r="AF4" s="208"/>
      <c r="AG4" s="208"/>
      <c r="AH4" s="208"/>
      <c r="AI4" s="208"/>
      <c r="AJ4" s="208"/>
      <c r="AK4" s="519"/>
      <c r="AM4" s="518" t="s">
        <v>574</v>
      </c>
      <c r="AN4" s="208"/>
      <c r="AO4" s="208"/>
      <c r="AP4" s="208"/>
      <c r="AQ4" s="208"/>
      <c r="AR4" s="208"/>
      <c r="AS4" s="519"/>
      <c r="BZ4"/>
      <c r="CY4"/>
    </row>
    <row r="5" spans="2:107" ht="15.75" thickBot="1" x14ac:dyDescent="0.3">
      <c r="C5" s="441" t="s">
        <v>0</v>
      </c>
      <c r="D5" s="442"/>
      <c r="E5" s="442"/>
      <c r="F5" s="442"/>
      <c r="G5" s="442"/>
      <c r="H5" s="442"/>
      <c r="I5" s="443"/>
      <c r="J5"/>
      <c r="K5"/>
      <c r="M5" s="158" t="s">
        <v>0</v>
      </c>
      <c r="O5" s="520"/>
      <c r="P5" s="213" t="s">
        <v>1</v>
      </c>
      <c r="Q5" s="213" t="s">
        <v>1</v>
      </c>
      <c r="R5" s="213" t="s">
        <v>339</v>
      </c>
      <c r="S5" s="213" t="s">
        <v>15</v>
      </c>
      <c r="T5" s="213" t="s">
        <v>15</v>
      </c>
      <c r="U5" s="521" t="s">
        <v>339</v>
      </c>
      <c r="W5" s="520"/>
      <c r="X5" s="213" t="s">
        <v>1</v>
      </c>
      <c r="Y5" s="213" t="s">
        <v>1</v>
      </c>
      <c r="Z5" s="213" t="s">
        <v>339</v>
      </c>
      <c r="AA5" s="213" t="s">
        <v>15</v>
      </c>
      <c r="AB5" s="213" t="s">
        <v>15</v>
      </c>
      <c r="AC5" s="521" t="s">
        <v>339</v>
      </c>
      <c r="AE5" s="520"/>
      <c r="AF5" s="213" t="s">
        <v>1</v>
      </c>
      <c r="AG5" s="213" t="s">
        <v>1</v>
      </c>
      <c r="AH5" s="213" t="s">
        <v>339</v>
      </c>
      <c r="AI5" s="213" t="s">
        <v>15</v>
      </c>
      <c r="AJ5" s="213" t="s">
        <v>15</v>
      </c>
      <c r="AK5" s="521" t="s">
        <v>339</v>
      </c>
      <c r="AM5" s="520"/>
      <c r="AN5" s="213" t="s">
        <v>1</v>
      </c>
      <c r="AO5" s="213" t="s">
        <v>1</v>
      </c>
      <c r="AP5" s="213" t="s">
        <v>339</v>
      </c>
      <c r="AQ5" s="213" t="s">
        <v>15</v>
      </c>
      <c r="AR5" s="213" t="s">
        <v>15</v>
      </c>
      <c r="AS5" s="521" t="s">
        <v>339</v>
      </c>
      <c r="AU5" s="486" t="s">
        <v>531</v>
      </c>
      <c r="AV5" s="462" t="s">
        <v>1</v>
      </c>
      <c r="AW5" s="462" t="s">
        <v>15</v>
      </c>
      <c r="AX5" s="462"/>
      <c r="AY5" s="462" t="s">
        <v>1</v>
      </c>
      <c r="AZ5" s="463" t="s">
        <v>548</v>
      </c>
      <c r="BA5"/>
      <c r="BB5" s="476" t="s">
        <v>483</v>
      </c>
      <c r="BC5" s="471" t="s">
        <v>484</v>
      </c>
      <c r="BD5" s="171"/>
      <c r="BE5" s="171"/>
      <c r="BG5" s="486" t="s">
        <v>576</v>
      </c>
      <c r="BH5" s="462" t="s">
        <v>1</v>
      </c>
      <c r="BI5" s="462" t="s">
        <v>15</v>
      </c>
      <c r="BJ5" s="462"/>
      <c r="BK5" s="462" t="s">
        <v>1</v>
      </c>
      <c r="BL5" s="463" t="s">
        <v>548</v>
      </c>
      <c r="BM5"/>
      <c r="BN5" s="476" t="s">
        <v>483</v>
      </c>
      <c r="BO5" s="471" t="s">
        <v>484</v>
      </c>
      <c r="BP5" s="171"/>
      <c r="BQ5" s="171"/>
      <c r="BR5" s="171"/>
      <c r="BT5" s="486" t="s">
        <v>550</v>
      </c>
      <c r="BU5" s="462" t="s">
        <v>1</v>
      </c>
      <c r="BV5" s="462" t="s">
        <v>15</v>
      </c>
      <c r="BW5" s="462"/>
      <c r="BX5" s="462" t="s">
        <v>1</v>
      </c>
      <c r="BY5" s="463" t="s">
        <v>548</v>
      </c>
      <c r="BZ5"/>
      <c r="CA5" s="476" t="s">
        <v>483</v>
      </c>
      <c r="CB5" s="471" t="s">
        <v>484</v>
      </c>
      <c r="CC5" s="171"/>
      <c r="CD5" s="171"/>
      <c r="CE5" s="171"/>
      <c r="CF5" s="171"/>
      <c r="CG5" s="486" t="s">
        <v>551</v>
      </c>
      <c r="CH5" s="461" t="s">
        <v>1</v>
      </c>
      <c r="CI5" s="462" t="s">
        <v>15</v>
      </c>
      <c r="CJ5" s="462"/>
      <c r="CK5" s="462" t="s">
        <v>1</v>
      </c>
      <c r="CL5" s="463" t="s">
        <v>548</v>
      </c>
      <c r="CM5"/>
      <c r="CN5" s="476" t="s">
        <v>483</v>
      </c>
      <c r="CO5" s="471" t="s">
        <v>484</v>
      </c>
      <c r="CP5" s="171"/>
      <c r="CQ5" s="171"/>
      <c r="CR5" s="171"/>
      <c r="CS5" s="486" t="s">
        <v>584</v>
      </c>
      <c r="CT5" s="462" t="s">
        <v>1</v>
      </c>
      <c r="CU5" s="462" t="s">
        <v>15</v>
      </c>
      <c r="CV5" s="462"/>
      <c r="CW5" s="462" t="s">
        <v>1</v>
      </c>
      <c r="CX5" s="463" t="s">
        <v>15</v>
      </c>
      <c r="CY5"/>
      <c r="CZ5" s="499" t="s">
        <v>477</v>
      </c>
      <c r="DA5" s="500" t="s">
        <v>520</v>
      </c>
      <c r="DC5" s="504" t="s">
        <v>15</v>
      </c>
    </row>
    <row r="6" spans="2:107" ht="15.75" thickBot="1" x14ac:dyDescent="0.3">
      <c r="C6" s="444"/>
      <c r="D6" s="445" t="s">
        <v>531</v>
      </c>
      <c r="E6" s="439" t="s">
        <v>549</v>
      </c>
      <c r="F6" s="445" t="s">
        <v>550</v>
      </c>
      <c r="G6" s="445" t="s">
        <v>551</v>
      </c>
      <c r="H6" s="445" t="s">
        <v>328</v>
      </c>
      <c r="I6" s="440" t="s">
        <v>3</v>
      </c>
      <c r="J6"/>
      <c r="K6" s="207" t="s">
        <v>223</v>
      </c>
      <c r="O6" s="520"/>
      <c r="P6" s="213" t="s">
        <v>328</v>
      </c>
      <c r="Q6" s="213" t="s">
        <v>3</v>
      </c>
      <c r="R6" s="213" t="s">
        <v>0</v>
      </c>
      <c r="S6" s="213" t="s">
        <v>328</v>
      </c>
      <c r="T6" s="213" t="s">
        <v>3</v>
      </c>
      <c r="U6" s="521" t="s">
        <v>0</v>
      </c>
      <c r="W6" s="520"/>
      <c r="X6" s="213" t="s">
        <v>328</v>
      </c>
      <c r="Y6" s="213" t="s">
        <v>3</v>
      </c>
      <c r="Z6" s="213" t="s">
        <v>0</v>
      </c>
      <c r="AA6" s="213" t="s">
        <v>328</v>
      </c>
      <c r="AB6" s="213" t="s">
        <v>3</v>
      </c>
      <c r="AC6" s="521" t="s">
        <v>0</v>
      </c>
      <c r="AE6" s="520"/>
      <c r="AF6" s="213" t="s">
        <v>328</v>
      </c>
      <c r="AG6" s="213" t="s">
        <v>3</v>
      </c>
      <c r="AH6" s="213" t="s">
        <v>0</v>
      </c>
      <c r="AI6" s="213" t="s">
        <v>328</v>
      </c>
      <c r="AJ6" s="213" t="s">
        <v>3</v>
      </c>
      <c r="AK6" s="521" t="s">
        <v>0</v>
      </c>
      <c r="AM6" s="520"/>
      <c r="AN6" s="213" t="s">
        <v>328</v>
      </c>
      <c r="AO6" s="213" t="s">
        <v>3</v>
      </c>
      <c r="AP6" s="213" t="s">
        <v>0</v>
      </c>
      <c r="AQ6" s="213" t="s">
        <v>328</v>
      </c>
      <c r="AR6" s="213" t="s">
        <v>3</v>
      </c>
      <c r="AS6" s="521" t="s">
        <v>0</v>
      </c>
      <c r="AU6" s="487" t="s">
        <v>569</v>
      </c>
      <c r="AV6" s="455" t="s">
        <v>328</v>
      </c>
      <c r="AW6" s="455" t="s">
        <v>328</v>
      </c>
      <c r="AX6" s="455"/>
      <c r="AY6" s="455" t="s">
        <v>3</v>
      </c>
      <c r="AZ6" s="483" t="s">
        <v>3</v>
      </c>
      <c r="BA6"/>
      <c r="BB6" s="484"/>
      <c r="BC6" s="485"/>
      <c r="BD6" s="171"/>
      <c r="BE6" s="171"/>
      <c r="BG6" s="487" t="s">
        <v>569</v>
      </c>
      <c r="BH6" s="455" t="s">
        <v>328</v>
      </c>
      <c r="BI6" s="455" t="s">
        <v>328</v>
      </c>
      <c r="BJ6" s="455"/>
      <c r="BK6" s="455" t="s">
        <v>3</v>
      </c>
      <c r="BL6" s="483" t="s">
        <v>3</v>
      </c>
      <c r="BM6"/>
      <c r="BN6" s="484"/>
      <c r="BO6" s="485"/>
      <c r="BP6" s="171"/>
      <c r="BQ6" s="171"/>
      <c r="BR6" s="171"/>
      <c r="BT6" s="487" t="s">
        <v>569</v>
      </c>
      <c r="BU6" s="455" t="s">
        <v>328</v>
      </c>
      <c r="BV6" s="455" t="s">
        <v>328</v>
      </c>
      <c r="BW6" s="455"/>
      <c r="BX6" s="455" t="s">
        <v>3</v>
      </c>
      <c r="BY6" s="483" t="s">
        <v>3</v>
      </c>
      <c r="BZ6"/>
      <c r="CA6" s="484"/>
      <c r="CB6" s="485"/>
      <c r="CC6" s="171"/>
      <c r="CD6" s="171"/>
      <c r="CE6" s="171"/>
      <c r="CF6" s="171"/>
      <c r="CG6" s="487" t="s">
        <v>569</v>
      </c>
      <c r="CH6" s="469" t="s">
        <v>328</v>
      </c>
      <c r="CI6" s="455" t="s">
        <v>328</v>
      </c>
      <c r="CJ6" s="455"/>
      <c r="CK6" s="455" t="s">
        <v>3</v>
      </c>
      <c r="CL6" s="483" t="s">
        <v>3</v>
      </c>
      <c r="CM6"/>
      <c r="CN6" s="477"/>
      <c r="CO6" s="472"/>
      <c r="CP6" s="171"/>
      <c r="CQ6" s="171"/>
      <c r="CR6" s="171"/>
      <c r="CS6" s="487" t="s">
        <v>583</v>
      </c>
      <c r="CT6" s="455" t="s">
        <v>328</v>
      </c>
      <c r="CU6" s="455" t="s">
        <v>328</v>
      </c>
      <c r="CV6" s="455"/>
      <c r="CW6" s="455" t="s">
        <v>3</v>
      </c>
      <c r="CX6" s="483" t="s">
        <v>3</v>
      </c>
      <c r="CY6"/>
      <c r="CZ6" s="501" t="s">
        <v>483</v>
      </c>
      <c r="DA6" s="502"/>
      <c r="DC6" s="505" t="s">
        <v>223</v>
      </c>
    </row>
    <row r="7" spans="2:107" ht="15.75" thickBot="1" x14ac:dyDescent="0.3">
      <c r="C7" s="446"/>
      <c r="D7" s="447"/>
      <c r="E7" s="442"/>
      <c r="F7" s="447"/>
      <c r="G7" s="447"/>
      <c r="H7" s="447"/>
      <c r="I7" s="443"/>
      <c r="J7"/>
      <c r="K7" s="209"/>
      <c r="O7" s="522"/>
      <c r="P7" s="210"/>
      <c r="Q7" s="210"/>
      <c r="R7" s="210" t="s">
        <v>0</v>
      </c>
      <c r="S7" s="210"/>
      <c r="T7" s="210" t="s">
        <v>0</v>
      </c>
      <c r="U7" s="523" t="s">
        <v>0</v>
      </c>
      <c r="W7" s="522"/>
      <c r="X7" s="210"/>
      <c r="Y7" s="210"/>
      <c r="Z7" s="210" t="s">
        <v>0</v>
      </c>
      <c r="AA7" s="210" t="s">
        <v>0</v>
      </c>
      <c r="AB7" s="210" t="s">
        <v>0</v>
      </c>
      <c r="AC7" s="523"/>
      <c r="AE7" s="522"/>
      <c r="AF7" s="210"/>
      <c r="AG7" s="210"/>
      <c r="AH7" s="210" t="s">
        <v>0</v>
      </c>
      <c r="AI7" s="210" t="s">
        <v>0</v>
      </c>
      <c r="AJ7" s="210" t="s">
        <v>0</v>
      </c>
      <c r="AK7" s="523"/>
      <c r="AM7" s="522"/>
      <c r="AN7" s="210"/>
      <c r="AO7" s="210"/>
      <c r="AP7" s="210" t="s">
        <v>0</v>
      </c>
      <c r="AQ7" s="210" t="s">
        <v>0</v>
      </c>
      <c r="AR7" s="210" t="s">
        <v>0</v>
      </c>
      <c r="AS7" s="523"/>
      <c r="AU7" s="449"/>
      <c r="AV7" s="450"/>
      <c r="AW7" s="450"/>
      <c r="AX7" s="450"/>
      <c r="AY7" s="450"/>
      <c r="AZ7" s="453"/>
      <c r="BA7"/>
      <c r="BB7" s="478"/>
      <c r="BC7" s="470"/>
      <c r="BG7" s="449"/>
      <c r="BH7" s="450"/>
      <c r="BI7" s="450"/>
      <c r="BJ7" s="450"/>
      <c r="BK7" s="450"/>
      <c r="BL7" s="453"/>
      <c r="BM7"/>
      <c r="BN7" s="478"/>
      <c r="BO7" s="470"/>
      <c r="BT7" s="449"/>
      <c r="BU7" s="450"/>
      <c r="BV7" s="450"/>
      <c r="BW7" s="450"/>
      <c r="BX7" s="450"/>
      <c r="BY7" s="453"/>
      <c r="BZ7"/>
      <c r="CA7" s="478"/>
      <c r="CB7" s="470"/>
      <c r="CG7" s="449"/>
      <c r="CH7" s="450"/>
      <c r="CI7" s="450"/>
      <c r="CJ7" s="450"/>
      <c r="CK7" s="450"/>
      <c r="CL7" s="453"/>
      <c r="CM7"/>
      <c r="CN7" s="478"/>
      <c r="CO7" s="470"/>
      <c r="CS7" s="449"/>
      <c r="CT7" s="450"/>
      <c r="CU7" s="450"/>
      <c r="CV7" s="450"/>
      <c r="CW7" s="450"/>
      <c r="CX7" s="453"/>
      <c r="CY7"/>
      <c r="CZ7" s="478"/>
      <c r="DA7" s="470"/>
      <c r="DC7" s="211"/>
    </row>
    <row r="8" spans="2:107" ht="15" x14ac:dyDescent="0.25">
      <c r="C8" s="448" t="s">
        <v>340</v>
      </c>
      <c r="D8" s="449" t="s">
        <v>363</v>
      </c>
      <c r="E8" s="450" t="s">
        <v>552</v>
      </c>
      <c r="F8" s="449" t="s">
        <v>553</v>
      </c>
      <c r="G8" s="449" t="s">
        <v>120</v>
      </c>
      <c r="H8" s="451">
        <v>0.13</v>
      </c>
      <c r="I8" s="494">
        <v>7</v>
      </c>
      <c r="J8"/>
      <c r="K8" s="214">
        <f>+H8*I8</f>
        <v>0.91</v>
      </c>
      <c r="O8" s="520" t="s">
        <v>363</v>
      </c>
      <c r="P8" s="212">
        <f>H8+H10+H12</f>
        <v>0.28000000000000003</v>
      </c>
      <c r="Q8" s="524">
        <f>(K8+K10+K12)/P8</f>
        <v>5.3214285714285712</v>
      </c>
      <c r="R8" s="524">
        <f>+P8*Q8</f>
        <v>1.49</v>
      </c>
      <c r="S8" s="212">
        <f>CU8+CU10+CU12</f>
        <v>0.30000000000000004</v>
      </c>
      <c r="T8" s="524">
        <f>(DC8+DC10+DC12)/S8</f>
        <v>4.9000000000000004</v>
      </c>
      <c r="U8" s="525">
        <f>+S8*T8</f>
        <v>1.4700000000000004</v>
      </c>
      <c r="V8" s="433"/>
      <c r="W8" s="520" t="s">
        <v>552</v>
      </c>
      <c r="X8" s="212">
        <f>H8+H14+H20+H24</f>
        <v>0.35000000000000003</v>
      </c>
      <c r="Y8" s="526">
        <f>(K8+K14+K20+K24)/X8</f>
        <v>7.3914285714285715</v>
      </c>
      <c r="Z8" s="524">
        <f>+X8*Y8</f>
        <v>2.5870000000000002</v>
      </c>
      <c r="AA8" s="212">
        <f>CU8+CU14+CU20+CU24</f>
        <v>0.4</v>
      </c>
      <c r="AB8" s="526">
        <f>(DC8+DC14+DC20+DC24)/AA8</f>
        <v>5.5249999999999995</v>
      </c>
      <c r="AC8" s="525">
        <f>+AA8*AB8</f>
        <v>2.21</v>
      </c>
      <c r="AD8" s="433"/>
      <c r="AE8" s="520" t="s">
        <v>553</v>
      </c>
      <c r="AF8" s="212">
        <f>H8+H16+H24</f>
        <v>0.4</v>
      </c>
      <c r="AG8" s="526">
        <f>(K8+K16+K24)/AF8</f>
        <v>4.9425000000000008</v>
      </c>
      <c r="AH8" s="524">
        <f>+AF8*AG8</f>
        <v>1.9770000000000003</v>
      </c>
      <c r="AI8" s="212">
        <f>CU8+CU16+CU24</f>
        <v>0.30000000000000004</v>
      </c>
      <c r="AJ8" s="526">
        <f>(DC8+DC16+DC24)/AI8</f>
        <v>5.8666666666666663</v>
      </c>
      <c r="AK8" s="525">
        <f>+AI8*AJ8</f>
        <v>1.7600000000000002</v>
      </c>
      <c r="AL8" s="433"/>
      <c r="AM8" s="535" t="s">
        <v>554</v>
      </c>
      <c r="AN8" s="212">
        <f>H8+H16+H24+H10+H18</f>
        <v>0.53</v>
      </c>
      <c r="AO8" s="526">
        <f>(K8+K16+K24+K10+K18)/AN8</f>
        <v>5.0132075471698121</v>
      </c>
      <c r="AP8" s="524">
        <f>+AN8*AO8</f>
        <v>2.6570000000000005</v>
      </c>
      <c r="AQ8" s="212">
        <f>CU8+CU16+CU24+CU10+CU18</f>
        <v>0.5</v>
      </c>
      <c r="AR8" s="526">
        <f>(DC8+DC16+DC24+DC10+DC18)/AQ8</f>
        <v>5.5000000000000009</v>
      </c>
      <c r="AS8" s="525">
        <f>+AQ8*AR8</f>
        <v>2.7500000000000004</v>
      </c>
      <c r="AT8" s="432"/>
      <c r="AU8" s="449" t="str">
        <f>+O8</f>
        <v>France</v>
      </c>
      <c r="AV8" s="457">
        <f>+P8</f>
        <v>0.28000000000000003</v>
      </c>
      <c r="AW8" s="457">
        <f>CU8+CU10+CU12</f>
        <v>0.30000000000000004</v>
      </c>
      <c r="AX8" s="450"/>
      <c r="AY8" s="458">
        <f>+Q8</f>
        <v>5.3214285714285712</v>
      </c>
      <c r="AZ8" s="452">
        <f>+T8</f>
        <v>4.9000000000000004</v>
      </c>
      <c r="BA8"/>
      <c r="BB8" s="479">
        <f>(AV8-AW8)*(AZ8-AZ$14)</f>
        <v>-2.1600000000000022E-2</v>
      </c>
      <c r="BC8" s="473">
        <f>AV8*(AY8-AZ8)</f>
        <v>0.11799999999999984</v>
      </c>
      <c r="BD8" s="434"/>
      <c r="BE8" s="434"/>
      <c r="BF8" s="434"/>
      <c r="BG8" s="490" t="str">
        <f>+W8</f>
        <v>Energy</v>
      </c>
      <c r="BH8" s="457">
        <f>+X8</f>
        <v>0.35000000000000003</v>
      </c>
      <c r="BI8" s="457">
        <f>+AA8</f>
        <v>0.4</v>
      </c>
      <c r="BJ8" s="450"/>
      <c r="BK8" s="458">
        <f>+Y8</f>
        <v>7.3914285714285715</v>
      </c>
      <c r="BL8" s="452">
        <f>+AB8</f>
        <v>5.5249999999999995</v>
      </c>
      <c r="BM8"/>
      <c r="BN8" s="479">
        <f>(BH8-BI8)*(BL8-BL$14)</f>
        <v>-8.5249999999999937E-2</v>
      </c>
      <c r="BO8" s="473">
        <f>BH8*(BK8-BL8)</f>
        <v>0.65325000000000022</v>
      </c>
      <c r="BP8" s="434"/>
      <c r="BQ8" s="434"/>
      <c r="BR8" s="434"/>
      <c r="BS8" s="434"/>
      <c r="BT8" s="490" t="str">
        <f>+AE8</f>
        <v>Large</v>
      </c>
      <c r="BU8" s="457">
        <f>+AF8</f>
        <v>0.4</v>
      </c>
      <c r="BV8" s="457">
        <f>+AI8</f>
        <v>0.30000000000000004</v>
      </c>
      <c r="BW8" s="450"/>
      <c r="BX8" s="458">
        <f>+AG8</f>
        <v>4.9425000000000008</v>
      </c>
      <c r="BY8" s="452">
        <f>+AJ8</f>
        <v>5.8666666666666663</v>
      </c>
      <c r="BZ8"/>
      <c r="CA8" s="479">
        <f>(BU8-BV8)*(BY8-BY$14)</f>
        <v>0.20466666666666655</v>
      </c>
      <c r="CB8" s="473">
        <f>BU8*(BX8-BY8)</f>
        <v>-0.3696666666666662</v>
      </c>
      <c r="CC8" s="434"/>
      <c r="CD8" s="434"/>
      <c r="CE8" s="434"/>
      <c r="CF8" s="434"/>
      <c r="CG8" s="490" t="str">
        <f>+AM8</f>
        <v>Growth</v>
      </c>
      <c r="CH8" s="457">
        <f>+AN8</f>
        <v>0.53</v>
      </c>
      <c r="CI8" s="457">
        <f>+AQ8</f>
        <v>0.5</v>
      </c>
      <c r="CJ8" s="450"/>
      <c r="CK8" s="458">
        <f>+AO8</f>
        <v>5.0132075471698121</v>
      </c>
      <c r="CL8" s="452">
        <f>+AR8</f>
        <v>5.5000000000000009</v>
      </c>
      <c r="CM8"/>
      <c r="CN8" s="479">
        <f>(CH8-CI8)*(CL8-CL$14)</f>
        <v>5.0400000000000063E-2</v>
      </c>
      <c r="CO8" s="473">
        <f>CH8*(CK8-CL8)</f>
        <v>-0.25800000000000006</v>
      </c>
      <c r="CP8" s="434"/>
      <c r="CQ8" s="434"/>
      <c r="CR8" s="434"/>
      <c r="CS8" s="490" t="str">
        <f>+C8</f>
        <v>Security 1</v>
      </c>
      <c r="CT8" s="457">
        <f>+H8</f>
        <v>0.13</v>
      </c>
      <c r="CU8" s="457">
        <v>0.1</v>
      </c>
      <c r="CV8" s="450"/>
      <c r="CW8" s="493">
        <f>+I8</f>
        <v>7</v>
      </c>
      <c r="CX8" s="494">
        <v>7</v>
      </c>
      <c r="CY8"/>
      <c r="CZ8" s="479">
        <f>(CT8-CU8)*(CX8-CX$28)</f>
        <v>9.5399999999999985E-2</v>
      </c>
      <c r="DA8" s="473">
        <f>CT8*(CW8-CX8)</f>
        <v>0</v>
      </c>
      <c r="DC8" s="211">
        <f>+CU8*CX8</f>
        <v>0.70000000000000007</v>
      </c>
    </row>
    <row r="9" spans="2:107" ht="15" x14ac:dyDescent="0.25">
      <c r="C9" s="448"/>
      <c r="D9" s="449"/>
      <c r="E9" s="450"/>
      <c r="F9" s="449"/>
      <c r="G9" s="449"/>
      <c r="H9" s="449"/>
      <c r="I9" s="494"/>
      <c r="J9"/>
      <c r="K9" s="211"/>
      <c r="O9" s="520"/>
      <c r="P9" s="213"/>
      <c r="Q9" s="213"/>
      <c r="R9" s="213"/>
      <c r="S9" s="213"/>
      <c r="T9" s="213"/>
      <c r="U9" s="521"/>
      <c r="W9" s="520"/>
      <c r="X9" s="213"/>
      <c r="Y9" s="213"/>
      <c r="Z9" s="213"/>
      <c r="AA9" s="213"/>
      <c r="AB9" s="213"/>
      <c r="AC9" s="521"/>
      <c r="AE9" s="520"/>
      <c r="AF9" s="213"/>
      <c r="AG9" s="213"/>
      <c r="AH9" s="213"/>
      <c r="AI9" s="213"/>
      <c r="AJ9" s="213"/>
      <c r="AK9" s="521"/>
      <c r="AM9" s="520"/>
      <c r="AN9" s="213"/>
      <c r="AO9" s="213"/>
      <c r="AP9" s="213"/>
      <c r="AQ9" s="213"/>
      <c r="AR9" s="213"/>
      <c r="AS9" s="521"/>
      <c r="AU9" s="449"/>
      <c r="AV9" s="450"/>
      <c r="AW9" s="450"/>
      <c r="AX9" s="450"/>
      <c r="AY9" s="450"/>
      <c r="AZ9" s="453"/>
      <c r="BA9"/>
      <c r="BB9" s="478"/>
      <c r="BC9" s="470"/>
      <c r="BG9" s="449"/>
      <c r="BH9" s="450"/>
      <c r="BI9" s="450"/>
      <c r="BJ9" s="450"/>
      <c r="BK9" s="450"/>
      <c r="BL9" s="453"/>
      <c r="BM9"/>
      <c r="BN9" s="478"/>
      <c r="BO9" s="470"/>
      <c r="BT9" s="449"/>
      <c r="BU9" s="450"/>
      <c r="BV9" s="450"/>
      <c r="BW9" s="450"/>
      <c r="BX9" s="450"/>
      <c r="BY9" s="453"/>
      <c r="BZ9"/>
      <c r="CA9" s="478"/>
      <c r="CB9" s="470"/>
      <c r="CG9" s="449"/>
      <c r="CH9" s="450"/>
      <c r="CI9" s="450"/>
      <c r="CJ9" s="450"/>
      <c r="CK9" s="450"/>
      <c r="CL9" s="453"/>
      <c r="CM9"/>
      <c r="CN9" s="478"/>
      <c r="CO9" s="470"/>
      <c r="CS9" s="449"/>
      <c r="CT9" s="450"/>
      <c r="CU9" s="450"/>
      <c r="CV9" s="450"/>
      <c r="CW9" s="493"/>
      <c r="CX9" s="494"/>
      <c r="CY9"/>
      <c r="CZ9" s="478"/>
      <c r="DA9" s="473"/>
      <c r="DC9" s="211"/>
    </row>
    <row r="10" spans="2:107" ht="15" x14ac:dyDescent="0.25">
      <c r="C10" s="448" t="s">
        <v>341</v>
      </c>
      <c r="D10" s="449" t="s">
        <v>363</v>
      </c>
      <c r="E10" s="450" t="s">
        <v>555</v>
      </c>
      <c r="F10" s="449" t="s">
        <v>556</v>
      </c>
      <c r="G10" s="449" t="s">
        <v>554</v>
      </c>
      <c r="H10" s="451">
        <v>0.04</v>
      </c>
      <c r="I10" s="494">
        <v>3.5</v>
      </c>
      <c r="J10"/>
      <c r="K10" s="214">
        <f>+H10*I10</f>
        <v>0.14000000000000001</v>
      </c>
      <c r="O10" s="520" t="s">
        <v>557</v>
      </c>
      <c r="P10" s="212">
        <f>H14+H16+H18</f>
        <v>0.32</v>
      </c>
      <c r="Q10" s="526">
        <f>(K14+K16+K18)/P10</f>
        <v>2.96875</v>
      </c>
      <c r="R10" s="524">
        <f>+P10*Q10</f>
        <v>0.95000000000000007</v>
      </c>
      <c r="S10" s="212">
        <f>CU14+CU16+CU18</f>
        <v>0.30000000000000004</v>
      </c>
      <c r="T10" s="526">
        <f>(DC14+DC16+DC18)/S10</f>
        <v>1.9666666666666666</v>
      </c>
      <c r="U10" s="525">
        <f>+S10*T10</f>
        <v>0.59000000000000008</v>
      </c>
      <c r="V10" s="433"/>
      <c r="W10" s="520" t="s">
        <v>558</v>
      </c>
      <c r="X10" s="212">
        <f>H10+H16+H22</f>
        <v>0.32</v>
      </c>
      <c r="Y10" s="526">
        <f>(K10+K16+K22)/X10</f>
        <v>3.4000000000000004</v>
      </c>
      <c r="Z10" s="524">
        <f>+X10*Y10</f>
        <v>1.0880000000000001</v>
      </c>
      <c r="AA10" s="212">
        <f>CU10+CU16+CU22</f>
        <v>0.30000000000000004</v>
      </c>
      <c r="AB10" s="526">
        <f>(DC10+DC16+DC22)/AA10</f>
        <v>3.7333333333333329</v>
      </c>
      <c r="AC10" s="525">
        <f>+AA10*AB10</f>
        <v>1.1200000000000001</v>
      </c>
      <c r="AD10" s="433"/>
      <c r="AE10" s="520" t="s">
        <v>556</v>
      </c>
      <c r="AF10" s="212">
        <f>H10+H18+H20+H26</f>
        <v>0.38</v>
      </c>
      <c r="AG10" s="526">
        <f>(K10+K18+K20+K26)/AF10</f>
        <v>2.9973684210526308</v>
      </c>
      <c r="AH10" s="524">
        <f>+AF10*AG10</f>
        <v>1.1389999999999998</v>
      </c>
      <c r="AI10" s="212">
        <f>CU10+CU18+CU20+CU26</f>
        <v>0.4</v>
      </c>
      <c r="AJ10" s="526">
        <f>(DC10+DC18+DC20+DC26)/AI10</f>
        <v>3.5500000000000003</v>
      </c>
      <c r="AK10" s="525">
        <f>+AI10*AJ10</f>
        <v>1.4200000000000002</v>
      </c>
      <c r="AL10" s="433"/>
      <c r="AM10" s="535" t="s">
        <v>120</v>
      </c>
      <c r="AN10" s="212">
        <f>H12+H14+H22+H20+H26</f>
        <v>0.47000000000000003</v>
      </c>
      <c r="AO10" s="526">
        <f>(K12+K14+K20+K22+K26)/AN10</f>
        <v>2.674468085106382</v>
      </c>
      <c r="AP10" s="524">
        <f>+AN10*AO10</f>
        <v>1.2569999999999997</v>
      </c>
      <c r="AQ10" s="212">
        <f>CU12+CU14+CU20+CU22+CU26</f>
        <v>0.5</v>
      </c>
      <c r="AR10" s="526">
        <f>(DC12+DC14+DC20+DC22+DC26)/AQ10</f>
        <v>2.14</v>
      </c>
      <c r="AS10" s="525">
        <f>+AQ10*AR10</f>
        <v>1.07</v>
      </c>
      <c r="AT10" s="432"/>
      <c r="AU10" s="449" t="str">
        <f>+O10</f>
        <v>Germany</v>
      </c>
      <c r="AV10" s="457">
        <f>+P10</f>
        <v>0.32</v>
      </c>
      <c r="AW10" s="457">
        <f>CU14+CU16+CU18</f>
        <v>0.30000000000000004</v>
      </c>
      <c r="AX10" s="450"/>
      <c r="AY10" s="458">
        <f>+Q10</f>
        <v>2.96875</v>
      </c>
      <c r="AZ10" s="452">
        <f>+T10</f>
        <v>1.9666666666666666</v>
      </c>
      <c r="BA10"/>
      <c r="BB10" s="479">
        <f>(AV10-AW10)*(AZ10-AZ$14)</f>
        <v>-3.7066666666666602E-2</v>
      </c>
      <c r="BC10" s="473">
        <f>AV10*(AY10-AZ10)</f>
        <v>0.32066666666666671</v>
      </c>
      <c r="BD10" s="434"/>
      <c r="BE10" s="434"/>
      <c r="BF10" s="434"/>
      <c r="BG10" s="490" t="str">
        <f>+W10</f>
        <v>Health</v>
      </c>
      <c r="BH10" s="457">
        <f>+X10</f>
        <v>0.32</v>
      </c>
      <c r="BI10" s="457">
        <f>+AA10</f>
        <v>0.30000000000000004</v>
      </c>
      <c r="BJ10" s="450"/>
      <c r="BK10" s="458">
        <f>+Y10</f>
        <v>3.4000000000000004</v>
      </c>
      <c r="BL10" s="452">
        <f>+AB10</f>
        <v>3.7333333333333329</v>
      </c>
      <c r="BM10"/>
      <c r="BN10" s="479">
        <f>(BH10-BI10)*(BL10-BL$14)</f>
        <v>-1.7333333333333434E-3</v>
      </c>
      <c r="BO10" s="473">
        <f>BH10*(BK10-BL10)</f>
        <v>-0.10666666666666644</v>
      </c>
      <c r="BP10" s="434"/>
      <c r="BQ10" s="434"/>
      <c r="BR10" s="434"/>
      <c r="BS10" s="434"/>
      <c r="BT10" s="490" t="str">
        <f>+AE10</f>
        <v>Mid</v>
      </c>
      <c r="BU10" s="457">
        <f>+AF10</f>
        <v>0.38</v>
      </c>
      <c r="BV10" s="457">
        <f>+AI10</f>
        <v>0.4</v>
      </c>
      <c r="BW10" s="450"/>
      <c r="BX10" s="458">
        <f>+AG10</f>
        <v>2.9973684210526308</v>
      </c>
      <c r="BY10" s="452">
        <f>+AJ10</f>
        <v>3.5500000000000003</v>
      </c>
      <c r="BZ10"/>
      <c r="CA10" s="479">
        <f>(BU10-BV10)*(BY10-BY$14)</f>
        <v>5.4000000000000055E-3</v>
      </c>
      <c r="CB10" s="473">
        <f>BU10*(BX10-BY10)</f>
        <v>-0.21000000000000041</v>
      </c>
      <c r="CC10" s="434"/>
      <c r="CD10" s="434"/>
      <c r="CE10" s="434"/>
      <c r="CF10" s="434"/>
      <c r="CG10" s="490" t="str">
        <f>+AM10</f>
        <v>Value</v>
      </c>
      <c r="CH10" s="457">
        <f>+AN10</f>
        <v>0.47000000000000003</v>
      </c>
      <c r="CI10" s="457">
        <f>+AQ10</f>
        <v>0.5</v>
      </c>
      <c r="CJ10" s="450"/>
      <c r="CK10" s="458">
        <f>+AO10</f>
        <v>2.674468085106382</v>
      </c>
      <c r="CL10" s="452">
        <f>+AR10</f>
        <v>2.14</v>
      </c>
      <c r="CM10"/>
      <c r="CN10" s="479">
        <f>(CH10-CI10)*(CL10-CL$14)</f>
        <v>5.0399999999999959E-2</v>
      </c>
      <c r="CO10" s="473">
        <f>CH10*(CK10-CL10)</f>
        <v>0.25119999999999948</v>
      </c>
      <c r="CP10" s="434"/>
      <c r="CQ10" s="434"/>
      <c r="CR10" s="434"/>
      <c r="CS10" s="490" t="str">
        <f>+C10</f>
        <v>Security 2</v>
      </c>
      <c r="CT10" s="457">
        <f>+H10</f>
        <v>0.04</v>
      </c>
      <c r="CU10" s="457">
        <v>0.1</v>
      </c>
      <c r="CV10" s="450"/>
      <c r="CW10" s="493">
        <f>+I10</f>
        <v>3.5</v>
      </c>
      <c r="CX10" s="494">
        <v>3.5</v>
      </c>
      <c r="CY10"/>
      <c r="CZ10" s="479">
        <f>(CT10-CU10)*(CX10-CX$28)</f>
        <v>1.9200000000000019E-2</v>
      </c>
      <c r="DA10" s="473">
        <f>CT10*(CW10-CX10)</f>
        <v>0</v>
      </c>
      <c r="DC10" s="211">
        <f>+CU10*CX10</f>
        <v>0.35000000000000003</v>
      </c>
    </row>
    <row r="11" spans="2:107" ht="15" x14ac:dyDescent="0.25">
      <c r="C11" s="448"/>
      <c r="D11" s="449"/>
      <c r="E11" s="450"/>
      <c r="F11" s="449"/>
      <c r="G11" s="449"/>
      <c r="H11" s="449"/>
      <c r="I11" s="494"/>
      <c r="J11"/>
      <c r="K11" s="211"/>
      <c r="O11" s="520"/>
      <c r="P11" s="213"/>
      <c r="Q11" s="213"/>
      <c r="R11" s="213"/>
      <c r="S11" s="213"/>
      <c r="T11" s="213"/>
      <c r="U11" s="521"/>
      <c r="W11" s="520"/>
      <c r="X11" s="213"/>
      <c r="Y11" s="213"/>
      <c r="Z11" s="213"/>
      <c r="AA11" s="213"/>
      <c r="AB11" s="213"/>
      <c r="AC11" s="521"/>
      <c r="AE11" s="520"/>
      <c r="AF11" s="213"/>
      <c r="AG11" s="213"/>
      <c r="AH11" s="213"/>
      <c r="AI11" s="213"/>
      <c r="AJ11" s="213"/>
      <c r="AK11" s="521"/>
      <c r="AM11" s="520"/>
      <c r="AN11" s="213"/>
      <c r="AO11" s="213"/>
      <c r="AP11" s="213"/>
      <c r="AQ11" s="213"/>
      <c r="AR11" s="213"/>
      <c r="AS11" s="521"/>
      <c r="AU11" s="449"/>
      <c r="AV11" s="450"/>
      <c r="AW11" s="450"/>
      <c r="AX11" s="450"/>
      <c r="AY11" s="450"/>
      <c r="AZ11" s="453"/>
      <c r="BA11"/>
      <c r="BB11" s="478"/>
      <c r="BC11" s="470"/>
      <c r="BG11" s="449"/>
      <c r="BH11" s="450"/>
      <c r="BI11" s="450"/>
      <c r="BJ11" s="450"/>
      <c r="BK11" s="450"/>
      <c r="BL11" s="453"/>
      <c r="BM11"/>
      <c r="BN11" s="478"/>
      <c r="BO11" s="470"/>
      <c r="BT11" s="449"/>
      <c r="BU11" s="450"/>
      <c r="BV11" s="450"/>
      <c r="BW11" s="450"/>
      <c r="BX11" s="450"/>
      <c r="BY11" s="453"/>
      <c r="BZ11"/>
      <c r="CA11" s="478"/>
      <c r="CB11" s="470"/>
      <c r="CG11" s="449"/>
      <c r="CH11" s="450"/>
      <c r="CI11" s="450"/>
      <c r="CJ11" s="450"/>
      <c r="CK11" s="450"/>
      <c r="CL11" s="453"/>
      <c r="CM11"/>
      <c r="CN11" s="478"/>
      <c r="CO11" s="470"/>
      <c r="CS11" s="449"/>
      <c r="CT11" s="450"/>
      <c r="CU11" s="450"/>
      <c r="CV11" s="450"/>
      <c r="CW11" s="493"/>
      <c r="CX11" s="494"/>
      <c r="CY11"/>
      <c r="CZ11" s="478"/>
      <c r="DA11" s="473"/>
      <c r="DC11" s="211"/>
    </row>
    <row r="12" spans="2:107" ht="15.75" thickBot="1" x14ac:dyDescent="0.3">
      <c r="C12" s="448" t="s">
        <v>342</v>
      </c>
      <c r="D12" s="449" t="s">
        <v>363</v>
      </c>
      <c r="E12" s="450" t="s">
        <v>559</v>
      </c>
      <c r="F12" s="449" t="s">
        <v>560</v>
      </c>
      <c r="G12" s="449" t="s">
        <v>554</v>
      </c>
      <c r="H12" s="451">
        <v>0.11</v>
      </c>
      <c r="I12" s="494">
        <v>4</v>
      </c>
      <c r="J12"/>
      <c r="K12" s="214">
        <f>+H12*I12</f>
        <v>0.44</v>
      </c>
      <c r="O12" s="520" t="s">
        <v>561</v>
      </c>
      <c r="P12" s="212">
        <f>H20+H22+H24+H26</f>
        <v>0.4</v>
      </c>
      <c r="Q12" s="526">
        <f>(K20+K22+K24+K26)/P12</f>
        <v>3.6849999999999992</v>
      </c>
      <c r="R12" s="524">
        <f>+P12*Q12</f>
        <v>1.4739999999999998</v>
      </c>
      <c r="S12" s="212">
        <f>CU20+CU22+CU24+CU26</f>
        <v>0.4</v>
      </c>
      <c r="T12" s="526">
        <f>(DC20+DC22+DC24+DC26)/S12</f>
        <v>4.3999999999999995</v>
      </c>
      <c r="U12" s="525">
        <f>+S12*T12</f>
        <v>1.7599999999999998</v>
      </c>
      <c r="V12" s="433"/>
      <c r="W12" s="520" t="s">
        <v>562</v>
      </c>
      <c r="X12" s="212">
        <f>H12+H18+H26</f>
        <v>0.33</v>
      </c>
      <c r="Y12" s="526">
        <f>(K12+K18+K26)/X12</f>
        <v>0.7242424242424238</v>
      </c>
      <c r="Z12" s="524">
        <f>+X12*Y12</f>
        <v>0.23899999999999985</v>
      </c>
      <c r="AA12" s="212">
        <f>CU12+CU18+CU26</f>
        <v>0.30000000000000004</v>
      </c>
      <c r="AB12" s="526">
        <f>(DC12+DC18+DC26)/AA12</f>
        <v>1.6333333333333331</v>
      </c>
      <c r="AC12" s="525">
        <f>+AA12*AB12</f>
        <v>0.49</v>
      </c>
      <c r="AD12" s="433"/>
      <c r="AE12" s="520" t="s">
        <v>560</v>
      </c>
      <c r="AF12" s="212">
        <f>H12+H14+H22</f>
        <v>0.22000000000000003</v>
      </c>
      <c r="AG12" s="526">
        <f>(K12+K14+K22)/AF12</f>
        <v>3.6272727272727265</v>
      </c>
      <c r="AH12" s="524">
        <f>+AF12*AG12</f>
        <v>0.79799999999999993</v>
      </c>
      <c r="AI12" s="212">
        <f>CU12+CU14+CU22</f>
        <v>0.30000000000000004</v>
      </c>
      <c r="AJ12" s="526">
        <f>(DC12+DC14+DC22)/AI12</f>
        <v>2.1333333333333329</v>
      </c>
      <c r="AK12" s="525">
        <f>+AI12*AJ12</f>
        <v>0.6399999999999999</v>
      </c>
      <c r="AL12" s="433"/>
      <c r="AM12" s="535"/>
      <c r="AN12" s="524"/>
      <c r="AO12" s="524"/>
      <c r="AP12" s="524" t="s">
        <v>0</v>
      </c>
      <c r="AQ12" s="524"/>
      <c r="AR12" s="524"/>
      <c r="AS12" s="525" t="s">
        <v>0</v>
      </c>
      <c r="AT12" s="432"/>
      <c r="AU12" s="488" t="str">
        <f>+O12</f>
        <v>Italy</v>
      </c>
      <c r="AV12" s="466">
        <f>+P12</f>
        <v>0.4</v>
      </c>
      <c r="AW12" s="466">
        <f>CU20+CU22+CU24+CU26</f>
        <v>0.4</v>
      </c>
      <c r="AX12" s="467"/>
      <c r="AY12" s="468">
        <f>+Q12</f>
        <v>3.6849999999999992</v>
      </c>
      <c r="AZ12" s="482">
        <f>+T12</f>
        <v>4.3999999999999995</v>
      </c>
      <c r="BA12"/>
      <c r="BB12" s="480">
        <f>(AV12-AW12)*(AZ12-AZ$14)</f>
        <v>0</v>
      </c>
      <c r="BC12" s="474">
        <f>AV12*(AY12-AZ12)</f>
        <v>-0.28600000000000014</v>
      </c>
      <c r="BD12" s="434"/>
      <c r="BE12" s="434"/>
      <c r="BF12" s="434"/>
      <c r="BG12" s="491" t="str">
        <f>W12</f>
        <v>Financials</v>
      </c>
      <c r="BH12" s="466">
        <f>+X12</f>
        <v>0.33</v>
      </c>
      <c r="BI12" s="466">
        <f>+AA12</f>
        <v>0.30000000000000004</v>
      </c>
      <c r="BJ12" s="467"/>
      <c r="BK12" s="468">
        <f>+Y12</f>
        <v>0.7242424242424238</v>
      </c>
      <c r="BL12" s="482">
        <f>+AB12</f>
        <v>1.6333333333333331</v>
      </c>
      <c r="BM12"/>
      <c r="BN12" s="480">
        <f>(BH12-BI12)*(BL12-BL$14)</f>
        <v>-6.5599999999999964E-2</v>
      </c>
      <c r="BO12" s="474">
        <f>BH12*(BK12-BL12)</f>
        <v>-0.3000000000000001</v>
      </c>
      <c r="BP12" s="434"/>
      <c r="BQ12" s="434"/>
      <c r="BR12" s="434"/>
      <c r="BS12" s="434"/>
      <c r="BT12" s="490" t="str">
        <f>+AE12</f>
        <v>Small</v>
      </c>
      <c r="BU12" s="466">
        <f>+AF12</f>
        <v>0.22000000000000003</v>
      </c>
      <c r="BV12" s="466">
        <f>+AI12</f>
        <v>0.30000000000000004</v>
      </c>
      <c r="BW12" s="467"/>
      <c r="BX12" s="468">
        <f>+AG12</f>
        <v>3.6272727272727265</v>
      </c>
      <c r="BY12" s="482">
        <f>+AJ12</f>
        <v>2.1333333333333329</v>
      </c>
      <c r="BZ12"/>
      <c r="CA12" s="480">
        <f>(BU12-BV12)*(BY12-BY$14)</f>
        <v>0.13493333333333343</v>
      </c>
      <c r="CB12" s="474">
        <f>BU12*(BX12-BY12)</f>
        <v>0.32866666666666666</v>
      </c>
      <c r="CC12" s="434"/>
      <c r="CD12" s="434"/>
      <c r="CE12" s="434"/>
      <c r="CF12" s="434"/>
      <c r="CG12" s="491" t="s">
        <v>0</v>
      </c>
      <c r="CH12" s="466" t="str">
        <f>+AP12</f>
        <v xml:space="preserve"> </v>
      </c>
      <c r="CI12" s="466" t="str">
        <f>+AS12</f>
        <v xml:space="preserve"> </v>
      </c>
      <c r="CJ12" s="467"/>
      <c r="CK12" s="468" t="s">
        <v>0</v>
      </c>
      <c r="CL12" s="482" t="s">
        <v>0</v>
      </c>
      <c r="CM12"/>
      <c r="CN12" s="480" t="s">
        <v>0</v>
      </c>
      <c r="CO12" s="474" t="s">
        <v>0</v>
      </c>
      <c r="CP12" s="434"/>
      <c r="CQ12" s="434"/>
      <c r="CR12" s="434"/>
      <c r="CS12" s="490" t="str">
        <f>+C12</f>
        <v>Security 3</v>
      </c>
      <c r="CT12" s="457">
        <f>+H12</f>
        <v>0.11</v>
      </c>
      <c r="CU12" s="457">
        <v>0.1</v>
      </c>
      <c r="CV12" s="450"/>
      <c r="CW12" s="493">
        <f>+I12</f>
        <v>4</v>
      </c>
      <c r="CX12" s="494">
        <v>4.2</v>
      </c>
      <c r="CY12"/>
      <c r="CZ12" s="479">
        <f>(CT12-CU12)*(CX12-CX$28)</f>
        <v>3.799999999999997E-3</v>
      </c>
      <c r="DA12" s="473">
        <f>CT12*(CW12-CX12)</f>
        <v>-2.200000000000002E-2</v>
      </c>
      <c r="DC12" s="211">
        <f>+CU12*CX12</f>
        <v>0.42000000000000004</v>
      </c>
    </row>
    <row r="13" spans="2:107" ht="15" x14ac:dyDescent="0.25">
      <c r="C13" s="448"/>
      <c r="D13" s="449"/>
      <c r="E13" s="450"/>
      <c r="F13" s="449"/>
      <c r="G13" s="449"/>
      <c r="H13" s="449"/>
      <c r="I13" s="494"/>
      <c r="J13"/>
      <c r="K13" s="211"/>
      <c r="O13" s="527"/>
      <c r="P13" s="208"/>
      <c r="Q13" s="208"/>
      <c r="R13" s="208"/>
      <c r="S13" s="208"/>
      <c r="T13" s="208"/>
      <c r="U13" s="519"/>
      <c r="W13" s="518"/>
      <c r="X13" s="532"/>
      <c r="Y13" s="532"/>
      <c r="Z13" s="532"/>
      <c r="AA13" s="532"/>
      <c r="AB13" s="532"/>
      <c r="AC13" s="533"/>
      <c r="AE13" s="518"/>
      <c r="AF13" s="532"/>
      <c r="AG13" s="532"/>
      <c r="AH13" s="532"/>
      <c r="AI13" s="532"/>
      <c r="AJ13" s="532"/>
      <c r="AK13" s="533"/>
      <c r="AM13" s="518"/>
      <c r="AN13" s="532"/>
      <c r="AO13" s="532"/>
      <c r="AP13" s="532"/>
      <c r="AQ13" s="532"/>
      <c r="AR13" s="532"/>
      <c r="AS13" s="533"/>
      <c r="AU13" s="449"/>
      <c r="AV13" s="450"/>
      <c r="AW13" s="450"/>
      <c r="AX13" s="450"/>
      <c r="AY13" s="450"/>
      <c r="AZ13" s="453"/>
      <c r="BA13"/>
      <c r="BB13" s="478"/>
      <c r="BC13" s="470"/>
      <c r="BG13" s="449"/>
      <c r="BH13" s="450"/>
      <c r="BI13" s="450"/>
      <c r="BJ13" s="450"/>
      <c r="BK13" s="450"/>
      <c r="BL13" s="453"/>
      <c r="BM13"/>
      <c r="BN13" s="478"/>
      <c r="BO13" s="470"/>
      <c r="BT13" s="449"/>
      <c r="BU13" s="450"/>
      <c r="BV13" s="450"/>
      <c r="BW13" s="450"/>
      <c r="BX13" s="450"/>
      <c r="BY13" s="453"/>
      <c r="BZ13"/>
      <c r="CA13" s="478"/>
      <c r="CB13" s="470"/>
      <c r="CG13" s="449"/>
      <c r="CH13" s="450"/>
      <c r="CI13" s="450"/>
      <c r="CJ13" s="450"/>
      <c r="CK13" s="450"/>
      <c r="CL13" s="453"/>
      <c r="CM13"/>
      <c r="CN13" s="478"/>
      <c r="CO13" s="470"/>
      <c r="CS13" s="449"/>
      <c r="CT13" s="450"/>
      <c r="CU13" s="450"/>
      <c r="CV13" s="450"/>
      <c r="CW13" s="493"/>
      <c r="CX13" s="494"/>
      <c r="CY13"/>
      <c r="CZ13" s="478"/>
      <c r="DA13" s="473"/>
      <c r="DC13" s="211"/>
    </row>
    <row r="14" spans="2:107" ht="15.75" thickBot="1" x14ac:dyDescent="0.3">
      <c r="C14" s="448" t="s">
        <v>343</v>
      </c>
      <c r="D14" s="449" t="s">
        <v>557</v>
      </c>
      <c r="E14" s="450" t="s">
        <v>552</v>
      </c>
      <c r="F14" s="449" t="s">
        <v>560</v>
      </c>
      <c r="G14" s="449" t="s">
        <v>554</v>
      </c>
      <c r="H14" s="451">
        <v>0.03</v>
      </c>
      <c r="I14" s="494">
        <v>-3</v>
      </c>
      <c r="J14"/>
      <c r="K14" s="214">
        <f>+H14*I14</f>
        <v>-0.09</v>
      </c>
      <c r="O14" s="522"/>
      <c r="P14" s="528">
        <f>SUM(P8:P12)</f>
        <v>1</v>
      </c>
      <c r="Q14" s="529"/>
      <c r="R14" s="530">
        <f>SUM(R8:R12)</f>
        <v>3.9139999999999997</v>
      </c>
      <c r="S14" s="528">
        <f>SUM(S8:S12)</f>
        <v>1</v>
      </c>
      <c r="T14" s="528"/>
      <c r="U14" s="531">
        <f>SUM(U8:U12)</f>
        <v>3.8200000000000003</v>
      </c>
      <c r="V14" s="190"/>
      <c r="W14" s="534"/>
      <c r="X14" s="528">
        <f>SUM(X8:X12)</f>
        <v>1</v>
      </c>
      <c r="Y14" s="529"/>
      <c r="Z14" s="530">
        <f>SUM(Z8:Z12)</f>
        <v>3.9140000000000001</v>
      </c>
      <c r="AA14" s="530"/>
      <c r="AB14" s="530"/>
      <c r="AC14" s="531">
        <f>SUM(AC8:AC12)</f>
        <v>3.8200000000000003</v>
      </c>
      <c r="AD14" s="190"/>
      <c r="AE14" s="534"/>
      <c r="AF14" s="528">
        <f>SUM(AF8:AF12)</f>
        <v>1</v>
      </c>
      <c r="AG14" s="529"/>
      <c r="AH14" s="530">
        <f>SUM(AH8:AH12)</f>
        <v>3.9140000000000001</v>
      </c>
      <c r="AI14" s="529"/>
      <c r="AJ14" s="529"/>
      <c r="AK14" s="531">
        <f>SUM(AK8:AK12)</f>
        <v>3.8200000000000003</v>
      </c>
      <c r="AL14" s="190"/>
      <c r="AM14" s="536"/>
      <c r="AN14" s="528">
        <f>SUM(AN8:AN12)</f>
        <v>1</v>
      </c>
      <c r="AO14" s="530"/>
      <c r="AP14" s="530">
        <f>SUM(AP8:AP12)</f>
        <v>3.9140000000000001</v>
      </c>
      <c r="AQ14" s="530"/>
      <c r="AR14" s="530"/>
      <c r="AS14" s="531">
        <f>SUM(AS8:AS12)</f>
        <v>3.8200000000000003</v>
      </c>
      <c r="AU14" s="487" t="s">
        <v>16</v>
      </c>
      <c r="AV14" s="459">
        <f>SUM(AV8:AV12)</f>
        <v>1</v>
      </c>
      <c r="AW14" s="459">
        <f>SUM(AW8:AW12)</f>
        <v>1</v>
      </c>
      <c r="AX14" s="455"/>
      <c r="AY14" s="460">
        <f>+R14</f>
        <v>3.9139999999999997</v>
      </c>
      <c r="AZ14" s="456">
        <f>+U14</f>
        <v>3.8200000000000003</v>
      </c>
      <c r="BA14"/>
      <c r="BB14" s="481">
        <f>SUM(BB8:BB12)</f>
        <v>-5.8666666666666624E-2</v>
      </c>
      <c r="BC14" s="475">
        <f>SUM(BC8:BC12)</f>
        <v>0.1526666666666664</v>
      </c>
      <c r="BD14" s="436"/>
      <c r="BE14" s="436"/>
      <c r="BF14" s="434"/>
      <c r="BG14" s="492" t="s">
        <v>16</v>
      </c>
      <c r="BH14" s="459">
        <f>SUM(BH8:BH12)</f>
        <v>1</v>
      </c>
      <c r="BI14" s="459">
        <f>SUM(BI8:BI12)</f>
        <v>1</v>
      </c>
      <c r="BJ14" s="455"/>
      <c r="BK14" s="460">
        <f>+Z14</f>
        <v>3.9140000000000001</v>
      </c>
      <c r="BL14" s="456">
        <f>+AC14</f>
        <v>3.8200000000000003</v>
      </c>
      <c r="BM14"/>
      <c r="BN14" s="481">
        <f>SUM(BN8:BN12)</f>
        <v>-0.15258333333333324</v>
      </c>
      <c r="BO14" s="475">
        <f>SUM(BO8:BO12)</f>
        <v>0.24658333333333365</v>
      </c>
      <c r="BP14" s="434"/>
      <c r="BQ14" s="434"/>
      <c r="BR14" s="434"/>
      <c r="BS14" s="434"/>
      <c r="BT14" s="492" t="s">
        <v>16</v>
      </c>
      <c r="BU14" s="459">
        <f>SUM(BU8:BU12)</f>
        <v>1</v>
      </c>
      <c r="BV14" s="459">
        <f>SUM(BV8:BV12)</f>
        <v>1</v>
      </c>
      <c r="BW14" s="455"/>
      <c r="BX14" s="460">
        <f>+AH14</f>
        <v>3.9140000000000001</v>
      </c>
      <c r="BY14" s="456">
        <f>+AK14</f>
        <v>3.8200000000000003</v>
      </c>
      <c r="BZ14"/>
      <c r="CA14" s="481">
        <f>SUM(CA8:CA12)</f>
        <v>0.34499999999999997</v>
      </c>
      <c r="CB14" s="475">
        <f>SUM(CB8:CB12)</f>
        <v>-0.25099999999999989</v>
      </c>
      <c r="CC14" s="436"/>
      <c r="CD14" s="436"/>
      <c r="CE14" s="436"/>
      <c r="CF14" s="436"/>
      <c r="CG14" s="492" t="s">
        <v>16</v>
      </c>
      <c r="CH14" s="459">
        <f>SUM(CH8:CH12)</f>
        <v>1</v>
      </c>
      <c r="CI14" s="459">
        <f>SUM(CI8:CI12)</f>
        <v>1</v>
      </c>
      <c r="CJ14" s="455"/>
      <c r="CK14" s="460">
        <f>+AP14</f>
        <v>3.9140000000000001</v>
      </c>
      <c r="CL14" s="456">
        <f>+AS14</f>
        <v>3.8200000000000003</v>
      </c>
      <c r="CM14"/>
      <c r="CN14" s="481">
        <f>SUM(CN8:CN12)</f>
        <v>0.10080000000000003</v>
      </c>
      <c r="CO14" s="475">
        <f>SUM(CO8:CO12)</f>
        <v>-6.8000000000005834E-3</v>
      </c>
      <c r="CP14" s="436"/>
      <c r="CQ14" s="436"/>
      <c r="CR14" s="436"/>
      <c r="CS14" s="490" t="str">
        <f>+C14</f>
        <v>Security 4</v>
      </c>
      <c r="CT14" s="457">
        <f>+H14</f>
        <v>0.03</v>
      </c>
      <c r="CU14" s="457">
        <v>0.1</v>
      </c>
      <c r="CV14" s="450"/>
      <c r="CW14" s="493">
        <f>+I14</f>
        <v>-3</v>
      </c>
      <c r="CX14" s="494">
        <v>-3</v>
      </c>
      <c r="CY14"/>
      <c r="CZ14" s="479">
        <f>(CT14-CU14)*(CX14-CX$28)</f>
        <v>0.47740000000000005</v>
      </c>
      <c r="DA14" s="473">
        <f>CT14*(CW14-CX14)</f>
        <v>0</v>
      </c>
      <c r="DC14" s="211">
        <f>+CU14*CX14</f>
        <v>-0.30000000000000004</v>
      </c>
    </row>
    <row r="15" spans="2:107" ht="15" x14ac:dyDescent="0.25">
      <c r="C15" s="448"/>
      <c r="D15" s="449"/>
      <c r="E15" s="450"/>
      <c r="F15" s="449"/>
      <c r="G15" s="449"/>
      <c r="H15" s="449"/>
      <c r="I15" s="494"/>
      <c r="J15"/>
      <c r="K15" s="211"/>
      <c r="BA15"/>
      <c r="BZ15"/>
      <c r="CS15" s="449"/>
      <c r="CT15" s="450"/>
      <c r="CU15" s="450"/>
      <c r="CV15" s="450"/>
      <c r="CW15" s="493"/>
      <c r="CX15" s="494"/>
      <c r="CY15"/>
      <c r="CZ15" s="478"/>
      <c r="DA15" s="473"/>
      <c r="DC15" s="211"/>
    </row>
    <row r="16" spans="2:107" ht="15.75" thickBot="1" x14ac:dyDescent="0.3">
      <c r="C16" s="448" t="s">
        <v>527</v>
      </c>
      <c r="D16" s="449" t="s">
        <v>557</v>
      </c>
      <c r="E16" s="450" t="s">
        <v>555</v>
      </c>
      <c r="F16" s="449" t="s">
        <v>553</v>
      </c>
      <c r="G16" s="449" t="s">
        <v>120</v>
      </c>
      <c r="H16" s="451">
        <v>0.2</v>
      </c>
      <c r="I16" s="494">
        <v>2.5</v>
      </c>
      <c r="J16"/>
      <c r="K16" s="214">
        <f>+H16*I16</f>
        <v>0.5</v>
      </c>
      <c r="AU16" s="171" t="s">
        <v>592</v>
      </c>
      <c r="BA16"/>
      <c r="BZ16"/>
      <c r="CS16" s="490" t="str">
        <f>+C16</f>
        <v>Security 5</v>
      </c>
      <c r="CT16" s="457">
        <f>+H16</f>
        <v>0.2</v>
      </c>
      <c r="CU16" s="457">
        <v>0.1</v>
      </c>
      <c r="CV16" s="450"/>
      <c r="CW16" s="493">
        <f>+I16</f>
        <v>2.5</v>
      </c>
      <c r="CX16" s="494">
        <v>2.5</v>
      </c>
      <c r="CY16"/>
      <c r="CZ16" s="479">
        <f>(CT16-CU16)*(CX16-CX$28)</f>
        <v>-0.13200000000000003</v>
      </c>
      <c r="DA16" s="473">
        <f>CT16*(CW16-CX16)</f>
        <v>0</v>
      </c>
      <c r="DC16" s="211">
        <f>+CU16*CX16</f>
        <v>0.25</v>
      </c>
    </row>
    <row r="17" spans="3:107" ht="15" x14ac:dyDescent="0.25">
      <c r="C17" s="448"/>
      <c r="D17" s="449"/>
      <c r="E17" s="450"/>
      <c r="F17" s="449"/>
      <c r="G17" s="449"/>
      <c r="H17" s="449"/>
      <c r="I17" s="494"/>
      <c r="J17"/>
      <c r="K17" s="211"/>
      <c r="AU17" s="486" t="s">
        <v>591</v>
      </c>
      <c r="AV17" s="462" t="s">
        <v>1</v>
      </c>
      <c r="AW17" s="462" t="s">
        <v>15</v>
      </c>
      <c r="AX17" s="462"/>
      <c r="AY17" s="462" t="s">
        <v>1</v>
      </c>
      <c r="AZ17" s="463" t="s">
        <v>548</v>
      </c>
      <c r="BA17"/>
      <c r="BB17" s="476" t="s">
        <v>483</v>
      </c>
      <c r="BC17" s="471" t="s">
        <v>484</v>
      </c>
      <c r="BD17" s="171"/>
      <c r="BE17" s="171"/>
      <c r="CS17" s="449"/>
      <c r="CT17" s="450"/>
      <c r="CU17" s="450"/>
      <c r="CV17" s="450"/>
      <c r="CW17" s="493"/>
      <c r="CX17" s="494"/>
      <c r="CY17"/>
      <c r="CZ17" s="478"/>
      <c r="DA17" s="473"/>
      <c r="DC17" s="211"/>
    </row>
    <row r="18" spans="3:107" ht="15.75" thickBot="1" x14ac:dyDescent="0.3">
      <c r="C18" s="448" t="s">
        <v>563</v>
      </c>
      <c r="D18" s="449" t="s">
        <v>557</v>
      </c>
      <c r="E18" s="450" t="s">
        <v>559</v>
      </c>
      <c r="F18" s="449" t="s">
        <v>556</v>
      </c>
      <c r="G18" s="449" t="s">
        <v>554</v>
      </c>
      <c r="H18" s="451">
        <v>0.09</v>
      </c>
      <c r="I18" s="494">
        <v>6</v>
      </c>
      <c r="J18"/>
      <c r="K18" s="214">
        <f>+H18*I18</f>
        <v>0.54</v>
      </c>
      <c r="AU18" s="487"/>
      <c r="AV18" s="464" t="s">
        <v>328</v>
      </c>
      <c r="AW18" s="464" t="s">
        <v>328</v>
      </c>
      <c r="AX18" s="464"/>
      <c r="AY18" s="464" t="s">
        <v>3</v>
      </c>
      <c r="AZ18" s="465" t="s">
        <v>3</v>
      </c>
      <c r="BA18"/>
      <c r="BB18" s="477"/>
      <c r="BC18" s="472"/>
      <c r="BD18" s="171"/>
      <c r="BE18" s="171"/>
      <c r="CS18" s="490" t="str">
        <f>+C18</f>
        <v>Security 6</v>
      </c>
      <c r="CT18" s="457">
        <f>+H18</f>
        <v>0.09</v>
      </c>
      <c r="CU18" s="457">
        <v>0.1</v>
      </c>
      <c r="CV18" s="450"/>
      <c r="CW18" s="493">
        <f>+I18</f>
        <v>6</v>
      </c>
      <c r="CX18" s="494">
        <v>6.4</v>
      </c>
      <c r="CY18"/>
      <c r="CZ18" s="479">
        <f>(CT18-CU18)*(CX18-CX$28)</f>
        <v>-2.5800000000000024E-2</v>
      </c>
      <c r="DA18" s="473">
        <f>CT18*(CW18-CX18)</f>
        <v>-3.6000000000000032E-2</v>
      </c>
      <c r="DC18" s="211">
        <f>+CU18*CX18</f>
        <v>0.64000000000000012</v>
      </c>
    </row>
    <row r="19" spans="3:107" ht="15" x14ac:dyDescent="0.25">
      <c r="C19" s="448"/>
      <c r="D19" s="449"/>
      <c r="E19" s="450"/>
      <c r="F19" s="449"/>
      <c r="G19" s="449"/>
      <c r="H19" s="449"/>
      <c r="I19" s="494"/>
      <c r="J19"/>
      <c r="K19" s="211"/>
      <c r="AU19" s="449"/>
      <c r="AV19" s="450"/>
      <c r="AW19" s="450"/>
      <c r="AX19" s="450"/>
      <c r="AY19" s="450"/>
      <c r="AZ19" s="453"/>
      <c r="BA19"/>
      <c r="BB19" s="478"/>
      <c r="BC19" s="470"/>
      <c r="CS19" s="449"/>
      <c r="CT19" s="450"/>
      <c r="CU19" s="450"/>
      <c r="CV19" s="450"/>
      <c r="CW19" s="493"/>
      <c r="CX19" s="494"/>
      <c r="CY19"/>
      <c r="CZ19" s="478"/>
      <c r="DA19" s="473"/>
      <c r="DC19" s="211"/>
    </row>
    <row r="20" spans="3:107" ht="15" x14ac:dyDescent="0.25">
      <c r="C20" s="448" t="s">
        <v>564</v>
      </c>
      <c r="D20" s="449" t="s">
        <v>561</v>
      </c>
      <c r="E20" s="450" t="s">
        <v>552</v>
      </c>
      <c r="F20" s="449" t="s">
        <v>556</v>
      </c>
      <c r="G20" s="449" t="s">
        <v>120</v>
      </c>
      <c r="H20" s="451">
        <v>0.12</v>
      </c>
      <c r="I20" s="494">
        <v>10</v>
      </c>
      <c r="J20"/>
      <c r="K20" s="214">
        <f>+H20*I20</f>
        <v>1.2</v>
      </c>
      <c r="AU20" s="490" t="str">
        <f>+CS20</f>
        <v>Security 7</v>
      </c>
      <c r="AV20" s="540">
        <f>(CT20/AV$12)</f>
        <v>0.3</v>
      </c>
      <c r="AW20" s="540">
        <f>(CU20/AW$12)</f>
        <v>0.25</v>
      </c>
      <c r="AX20" s="450"/>
      <c r="AY20" s="450">
        <f>+CW20</f>
        <v>10</v>
      </c>
      <c r="AZ20" s="453">
        <f>+CX20</f>
        <v>10</v>
      </c>
      <c r="BA20"/>
      <c r="BB20" s="479">
        <f>(AV20-AW20)*(AZ20-AZ$28)</f>
        <v>0.27999999999999997</v>
      </c>
      <c r="BC20" s="473">
        <f>AV20*(AY20-AZ20)</f>
        <v>0</v>
      </c>
      <c r="BD20" s="434"/>
      <c r="BE20" s="434"/>
      <c r="CS20" s="490" t="str">
        <f>+C20</f>
        <v>Security 7</v>
      </c>
      <c r="CT20" s="457">
        <f>+H20</f>
        <v>0.12</v>
      </c>
      <c r="CU20" s="457">
        <v>0.1</v>
      </c>
      <c r="CV20" s="450"/>
      <c r="CW20" s="493">
        <v>10</v>
      </c>
      <c r="CX20" s="494">
        <v>10</v>
      </c>
      <c r="CY20"/>
      <c r="CZ20" s="479">
        <f>(CT20-CU20)*(CX20-CX$28)</f>
        <v>0.12359999999999993</v>
      </c>
      <c r="DA20" s="473">
        <f>CT20*(CW20-CX20)</f>
        <v>0</v>
      </c>
      <c r="DC20" s="211">
        <f>+CU20*CX20</f>
        <v>1</v>
      </c>
    </row>
    <row r="21" spans="3:107" ht="15" x14ac:dyDescent="0.25">
      <c r="C21" s="448"/>
      <c r="D21" s="449"/>
      <c r="E21" s="450"/>
      <c r="F21" s="449"/>
      <c r="G21" s="449"/>
      <c r="H21" s="449"/>
      <c r="I21" s="494"/>
      <c r="J21"/>
      <c r="K21" s="211"/>
      <c r="AU21" s="449"/>
      <c r="AV21" s="450"/>
      <c r="AW21" s="450"/>
      <c r="AX21" s="450"/>
      <c r="AY21" s="450"/>
      <c r="AZ21" s="453"/>
      <c r="BA21"/>
      <c r="BB21" s="478"/>
      <c r="BC21" s="470"/>
      <c r="CS21" s="449"/>
      <c r="CT21" s="450"/>
      <c r="CU21" s="450"/>
      <c r="CV21" s="450"/>
      <c r="CW21" s="493"/>
      <c r="CX21" s="494"/>
      <c r="CY21"/>
      <c r="CZ21" s="478"/>
      <c r="DA21" s="473"/>
      <c r="DC21" s="211"/>
    </row>
    <row r="22" spans="3:107" ht="15" x14ac:dyDescent="0.25">
      <c r="C22" s="448" t="s">
        <v>565</v>
      </c>
      <c r="D22" s="449" t="s">
        <v>561</v>
      </c>
      <c r="E22" s="450" t="s">
        <v>555</v>
      </c>
      <c r="F22" s="449" t="s">
        <v>560</v>
      </c>
      <c r="G22" s="449" t="s">
        <v>554</v>
      </c>
      <c r="H22" s="451">
        <v>0.08</v>
      </c>
      <c r="I22" s="494">
        <v>5.6</v>
      </c>
      <c r="J22"/>
      <c r="K22" s="214">
        <f>+H22*I22</f>
        <v>0.44799999999999995</v>
      </c>
      <c r="AU22" s="490" t="str">
        <f>+CS22</f>
        <v>Security 8</v>
      </c>
      <c r="AV22" s="540">
        <f>(CT22/AV$12)</f>
        <v>0.19999999999999998</v>
      </c>
      <c r="AW22" s="540">
        <f>(CU22/AW$12)</f>
        <v>0.25</v>
      </c>
      <c r="AX22" s="450"/>
      <c r="AY22" s="450">
        <f>+CW22</f>
        <v>5.6</v>
      </c>
      <c r="AZ22" s="453">
        <f>+CX22</f>
        <v>5.2</v>
      </c>
      <c r="BA22"/>
      <c r="BB22" s="479">
        <f>(AV22-AW22)*(AZ22-AZ$28)</f>
        <v>-4.0000000000000049E-2</v>
      </c>
      <c r="BC22" s="473">
        <f>AV22*(AY22-AZ22)</f>
        <v>7.9999999999999891E-2</v>
      </c>
      <c r="BD22" s="434"/>
      <c r="BE22" s="434"/>
      <c r="CS22" s="490" t="str">
        <f>+C22</f>
        <v>Security 8</v>
      </c>
      <c r="CT22" s="457">
        <f>+H22</f>
        <v>0.08</v>
      </c>
      <c r="CU22" s="457">
        <v>0.1</v>
      </c>
      <c r="CV22" s="450"/>
      <c r="CW22" s="493">
        <f>+I22</f>
        <v>5.6</v>
      </c>
      <c r="CX22" s="494">
        <v>5.2</v>
      </c>
      <c r="CY22"/>
      <c r="CZ22" s="479">
        <f>(CT22-CU22)*(CX22-CX$28)</f>
        <v>-2.7600000000000003E-2</v>
      </c>
      <c r="DA22" s="473">
        <f>CT22*(CW22-CX22)</f>
        <v>3.1999999999999959E-2</v>
      </c>
      <c r="DC22" s="211">
        <f>+CU22*CX22</f>
        <v>0.52</v>
      </c>
    </row>
    <row r="23" spans="3:107" ht="15" x14ac:dyDescent="0.25">
      <c r="C23" s="448"/>
      <c r="D23" s="449"/>
      <c r="E23" s="450"/>
      <c r="F23" s="449"/>
      <c r="G23" s="449"/>
      <c r="H23" s="449"/>
      <c r="I23" s="494"/>
      <c r="J23"/>
      <c r="K23" s="211"/>
      <c r="AU23" s="449"/>
      <c r="AV23" s="450"/>
      <c r="AW23" s="450"/>
      <c r="AX23" s="450"/>
      <c r="AY23" s="450"/>
      <c r="AZ23" s="453"/>
      <c r="BA23"/>
      <c r="BB23" s="478"/>
      <c r="BC23" s="470"/>
      <c r="CS23" s="449"/>
      <c r="CT23" s="450"/>
      <c r="CU23" s="450"/>
      <c r="CV23" s="450"/>
      <c r="CW23" s="493"/>
      <c r="CX23" s="494"/>
      <c r="CY23"/>
      <c r="CZ23" s="478"/>
      <c r="DA23" s="473"/>
      <c r="DC23" s="211"/>
    </row>
    <row r="24" spans="3:107" ht="15" x14ac:dyDescent="0.25">
      <c r="C24" s="448" t="s">
        <v>566</v>
      </c>
      <c r="D24" s="449" t="s">
        <v>561</v>
      </c>
      <c r="E24" s="450" t="s">
        <v>552</v>
      </c>
      <c r="F24" s="449" t="s">
        <v>553</v>
      </c>
      <c r="G24" s="449" t="s">
        <v>120</v>
      </c>
      <c r="H24" s="451">
        <v>7.0000000000000007E-2</v>
      </c>
      <c r="I24" s="494">
        <v>8.1</v>
      </c>
      <c r="J24"/>
      <c r="K24" s="214">
        <f>+H24*I24</f>
        <v>0.56700000000000006</v>
      </c>
      <c r="AU24" s="490" t="str">
        <f>+CS24</f>
        <v>Security 9</v>
      </c>
      <c r="AV24" s="540">
        <f>(CT24/AV$12)</f>
        <v>0.17500000000000002</v>
      </c>
      <c r="AW24" s="540">
        <f>(CU24/AW$12)</f>
        <v>0.25</v>
      </c>
      <c r="AX24" s="450"/>
      <c r="AY24" s="450">
        <f>+CW24</f>
        <v>8.1</v>
      </c>
      <c r="AZ24" s="453">
        <f>+CX24</f>
        <v>8.1</v>
      </c>
      <c r="BA24"/>
      <c r="BB24" s="479">
        <f>(AV24-AW24)*(AZ24-AZ$28)</f>
        <v>-0.27749999999999997</v>
      </c>
      <c r="BC24" s="473">
        <f>AV24*(AY24-AZ24)</f>
        <v>0</v>
      </c>
      <c r="BD24" s="434"/>
      <c r="BE24" s="434"/>
      <c r="CS24" s="490" t="str">
        <f>+C24</f>
        <v>Security 9</v>
      </c>
      <c r="CT24" s="457">
        <f>+H24</f>
        <v>7.0000000000000007E-2</v>
      </c>
      <c r="CU24" s="457">
        <v>0.1</v>
      </c>
      <c r="CV24" s="450"/>
      <c r="CW24" s="493">
        <f>+I24</f>
        <v>8.1</v>
      </c>
      <c r="CX24" s="494">
        <v>8.1</v>
      </c>
      <c r="CY24"/>
      <c r="CZ24" s="479">
        <f>(CT24-CU24)*(CX24-CX$28)</f>
        <v>-0.12839999999999999</v>
      </c>
      <c r="DA24" s="473">
        <f>CT24*(CW24-CX24)</f>
        <v>0</v>
      </c>
      <c r="DC24" s="211">
        <f t="shared" ref="DC24:DC26" si="0">+CU24*CX24</f>
        <v>0.81</v>
      </c>
    </row>
    <row r="25" spans="3:107" ht="15" x14ac:dyDescent="0.25">
      <c r="C25" s="448"/>
      <c r="D25" s="449"/>
      <c r="E25" s="450"/>
      <c r="F25" s="449"/>
      <c r="G25" s="449"/>
      <c r="H25" s="449"/>
      <c r="I25" s="494"/>
      <c r="J25"/>
      <c r="K25" s="211"/>
      <c r="AU25" s="449"/>
      <c r="AV25" s="450"/>
      <c r="AW25" s="450"/>
      <c r="AX25" s="450"/>
      <c r="AY25" s="450"/>
      <c r="AZ25" s="453"/>
      <c r="BA25"/>
      <c r="BB25" s="478"/>
      <c r="BC25" s="470"/>
      <c r="CS25" s="449"/>
      <c r="CT25" s="450"/>
      <c r="CU25" s="450"/>
      <c r="CV25" s="450"/>
      <c r="CW25" s="493"/>
      <c r="CX25" s="494"/>
      <c r="CY25"/>
      <c r="CZ25" s="478"/>
      <c r="DA25" s="473"/>
      <c r="DC25" s="211"/>
    </row>
    <row r="26" spans="3:107" ht="15.75" thickBot="1" x14ac:dyDescent="0.3">
      <c r="C26" s="448" t="s">
        <v>567</v>
      </c>
      <c r="D26" s="449" t="s">
        <v>561</v>
      </c>
      <c r="E26" s="450" t="s">
        <v>559</v>
      </c>
      <c r="F26" s="449" t="s">
        <v>556</v>
      </c>
      <c r="G26" s="449" t="s">
        <v>120</v>
      </c>
      <c r="H26" s="451">
        <v>0.13</v>
      </c>
      <c r="I26" s="494">
        <v>-5.7</v>
      </c>
      <c r="J26"/>
      <c r="K26" s="214">
        <f>+H26*I26</f>
        <v>-0.7410000000000001</v>
      </c>
      <c r="AU26" s="490" t="str">
        <f>+CS26</f>
        <v>Security 10</v>
      </c>
      <c r="AV26" s="541">
        <f>(CT26/AV$12)</f>
        <v>0.32500000000000001</v>
      </c>
      <c r="AW26" s="541">
        <f>(CU26/AW$12)</f>
        <v>0.25</v>
      </c>
      <c r="AX26" s="467"/>
      <c r="AY26" s="467">
        <f>+CW26</f>
        <v>-5.7</v>
      </c>
      <c r="AZ26" s="495">
        <f>+CX26</f>
        <v>-5.7</v>
      </c>
      <c r="BA26"/>
      <c r="BB26" s="480">
        <f>(AV26-AW26)*(AZ26-AZ$28)</f>
        <v>-0.75750000000000006</v>
      </c>
      <c r="BC26" s="474">
        <f>AV26*(AY26-AZ26)</f>
        <v>0</v>
      </c>
      <c r="BD26" s="434"/>
      <c r="BE26" s="434"/>
      <c r="CS26" s="490" t="str">
        <f>+C26</f>
        <v>Security 10</v>
      </c>
      <c r="CT26" s="457">
        <f>+H26</f>
        <v>0.13</v>
      </c>
      <c r="CU26" s="457">
        <v>0.1</v>
      </c>
      <c r="CV26" s="450"/>
      <c r="CW26" s="493">
        <f>+I26</f>
        <v>-5.7</v>
      </c>
      <c r="CX26" s="494">
        <v>-5.7</v>
      </c>
      <c r="CY26"/>
      <c r="CZ26" s="479">
        <f>(CT26-CU26)*(CX26-CX$28)</f>
        <v>-0.28559999999999997</v>
      </c>
      <c r="DA26" s="473">
        <f>CT26*(CW26-CX26)</f>
        <v>0</v>
      </c>
      <c r="DC26" s="211">
        <f t="shared" si="0"/>
        <v>-0.57000000000000006</v>
      </c>
    </row>
    <row r="27" spans="3:107" ht="15" x14ac:dyDescent="0.25">
      <c r="C27" s="444" t="s">
        <v>0</v>
      </c>
      <c r="D27" s="445"/>
      <c r="E27" s="439"/>
      <c r="F27" s="445"/>
      <c r="G27" s="445"/>
      <c r="H27" s="445"/>
      <c r="I27" s="440"/>
      <c r="J27"/>
      <c r="K27" s="207"/>
      <c r="AU27" s="449"/>
      <c r="AV27" s="450"/>
      <c r="AW27" s="450"/>
      <c r="AX27" s="450"/>
      <c r="AY27" s="450"/>
      <c r="AZ27" s="453"/>
      <c r="BA27"/>
      <c r="BB27" s="478"/>
      <c r="BC27" s="470"/>
      <c r="CS27" s="488"/>
      <c r="CT27" s="467"/>
      <c r="CU27" s="467"/>
      <c r="CV27" s="467"/>
      <c r="CW27" s="467"/>
      <c r="CX27" s="495"/>
      <c r="CY27"/>
      <c r="CZ27" s="496"/>
      <c r="DA27" s="474"/>
      <c r="DC27" s="506" t="s">
        <v>0</v>
      </c>
    </row>
    <row r="28" spans="3:107" ht="15.75" thickBot="1" x14ac:dyDescent="0.3">
      <c r="C28" s="446"/>
      <c r="D28" s="447"/>
      <c r="E28" s="442"/>
      <c r="F28" s="447"/>
      <c r="G28" s="447"/>
      <c r="H28" s="454">
        <f>SUM(H8:H26)</f>
        <v>0.99999999999999989</v>
      </c>
      <c r="I28" s="456">
        <f>+K28</f>
        <v>3.9139999999999993</v>
      </c>
      <c r="J28"/>
      <c r="K28" s="215">
        <f>SUM(K8:K26)</f>
        <v>3.9139999999999993</v>
      </c>
      <c r="AU28" s="487" t="s">
        <v>16</v>
      </c>
      <c r="AV28" s="459">
        <f>SUM(AV20:AV26)</f>
        <v>1</v>
      </c>
      <c r="AW28" s="459">
        <f>SUM(AW20:AW26)</f>
        <v>1</v>
      </c>
      <c r="AX28" s="455"/>
      <c r="AY28" s="460">
        <f>+AY12</f>
        <v>3.6849999999999992</v>
      </c>
      <c r="AZ28" s="456">
        <f>+AZ12</f>
        <v>4.3999999999999995</v>
      </c>
      <c r="BA28"/>
      <c r="BB28" s="481">
        <f>SUM(BB20:BB26)</f>
        <v>-0.79500000000000015</v>
      </c>
      <c r="BC28" s="475">
        <f>SUM(BC20:BC26)</f>
        <v>7.9999999999999891E-2</v>
      </c>
      <c r="BD28" s="436"/>
      <c r="BE28" s="436"/>
      <c r="CS28" s="487" t="s">
        <v>16</v>
      </c>
      <c r="CT28" s="459">
        <f>SUM(CT8:CT26)</f>
        <v>0.99999999999999989</v>
      </c>
      <c r="CU28" s="459">
        <f>SUM(CU8:CU26)</f>
        <v>0.99999999999999989</v>
      </c>
      <c r="CV28" s="455"/>
      <c r="CW28" s="460">
        <f>+K28</f>
        <v>3.9139999999999993</v>
      </c>
      <c r="CX28" s="483">
        <f>+DC28</f>
        <v>3.8200000000000003</v>
      </c>
      <c r="CY28"/>
      <c r="CZ28" s="481">
        <f>SUM(CZ8:CZ26)</f>
        <v>0.12000000000000011</v>
      </c>
      <c r="DA28" s="475">
        <f>SUM(DA8:DA26)</f>
        <v>-2.6000000000000092E-2</v>
      </c>
      <c r="DC28" s="505">
        <f>SUM(DC8:DC26)</f>
        <v>3.8200000000000003</v>
      </c>
    </row>
    <row r="29" spans="3:107" ht="15" x14ac:dyDescent="0.25">
      <c r="BA29"/>
      <c r="CY29"/>
    </row>
    <row r="30" spans="3:107" ht="15" x14ac:dyDescent="0.25">
      <c r="AU30" s="171" t="s">
        <v>575</v>
      </c>
      <c r="BA30"/>
      <c r="BG30" s="171" t="s">
        <v>578</v>
      </c>
      <c r="BT30" s="171" t="s">
        <v>582</v>
      </c>
      <c r="CG30" s="171" t="s">
        <v>581</v>
      </c>
      <c r="CS30" s="171" t="s">
        <v>586</v>
      </c>
      <c r="CY30"/>
    </row>
    <row r="31" spans="3:107" ht="15.75" thickBot="1" x14ac:dyDescent="0.3">
      <c r="BA31"/>
      <c r="CY31"/>
    </row>
    <row r="32" spans="3:107" ht="15" x14ac:dyDescent="0.25">
      <c r="C32" s="486" t="s">
        <v>1136</v>
      </c>
      <c r="D32" s="444"/>
      <c r="E32" s="439"/>
      <c r="F32" s="439"/>
      <c r="G32" s="440"/>
      <c r="H32" s="461" t="s">
        <v>15</v>
      </c>
      <c r="I32" s="463" t="s">
        <v>15</v>
      </c>
      <c r="K32" s="207" t="s">
        <v>223</v>
      </c>
      <c r="AU32" s="486" t="s">
        <v>531</v>
      </c>
      <c r="AV32" s="462" t="s">
        <v>1</v>
      </c>
      <c r="AW32" s="462" t="s">
        <v>15</v>
      </c>
      <c r="AX32" s="462"/>
      <c r="AY32" s="462" t="s">
        <v>1</v>
      </c>
      <c r="AZ32" s="463" t="s">
        <v>548</v>
      </c>
      <c r="BA32"/>
      <c r="BB32" s="476" t="s">
        <v>483</v>
      </c>
      <c r="BC32" s="471" t="s">
        <v>484</v>
      </c>
      <c r="BD32" s="171"/>
      <c r="BE32" s="514" t="s">
        <v>587</v>
      </c>
      <c r="BG32" s="486" t="s">
        <v>576</v>
      </c>
      <c r="BH32" s="462" t="s">
        <v>1</v>
      </c>
      <c r="BI32" s="462" t="s">
        <v>15</v>
      </c>
      <c r="BJ32" s="462"/>
      <c r="BK32" s="462" t="s">
        <v>1</v>
      </c>
      <c r="BL32" s="463" t="s">
        <v>548</v>
      </c>
      <c r="BM32"/>
      <c r="BN32" s="476" t="s">
        <v>483</v>
      </c>
      <c r="BO32" s="471" t="s">
        <v>484</v>
      </c>
      <c r="BP32" s="171"/>
      <c r="BQ32" s="514" t="s">
        <v>587</v>
      </c>
      <c r="BT32" s="486" t="s">
        <v>550</v>
      </c>
      <c r="BU32" s="462" t="s">
        <v>1</v>
      </c>
      <c r="BV32" s="462" t="s">
        <v>15</v>
      </c>
      <c r="BW32" s="462"/>
      <c r="BX32" s="462" t="s">
        <v>1</v>
      </c>
      <c r="BY32" s="463" t="s">
        <v>548</v>
      </c>
      <c r="BZ32"/>
      <c r="CA32" s="476" t="s">
        <v>483</v>
      </c>
      <c r="CB32" s="471" t="s">
        <v>484</v>
      </c>
      <c r="CC32" s="171"/>
      <c r="CD32" s="514" t="s">
        <v>587</v>
      </c>
      <c r="CG32" s="486" t="s">
        <v>551</v>
      </c>
      <c r="CH32" s="461" t="s">
        <v>1</v>
      </c>
      <c r="CI32" s="462" t="s">
        <v>15</v>
      </c>
      <c r="CJ32" s="462"/>
      <c r="CK32" s="462" t="s">
        <v>1</v>
      </c>
      <c r="CL32" s="463" t="s">
        <v>548</v>
      </c>
      <c r="CM32" s="171"/>
      <c r="CN32" s="476" t="s">
        <v>483</v>
      </c>
      <c r="CO32" s="471" t="s">
        <v>484</v>
      </c>
      <c r="CP32" s="171"/>
      <c r="CQ32" s="514" t="s">
        <v>587</v>
      </c>
      <c r="CS32" s="486" t="s">
        <v>584</v>
      </c>
      <c r="CT32" s="462" t="s">
        <v>1</v>
      </c>
      <c r="CU32" s="462" t="s">
        <v>15</v>
      </c>
      <c r="CV32" s="462"/>
      <c r="CW32" s="462" t="s">
        <v>1</v>
      </c>
      <c r="CX32" s="463" t="s">
        <v>15</v>
      </c>
      <c r="CY32"/>
      <c r="CZ32" s="499" t="s">
        <v>477</v>
      </c>
      <c r="DA32" s="500" t="s">
        <v>520</v>
      </c>
      <c r="DC32" s="514" t="s">
        <v>587</v>
      </c>
    </row>
    <row r="33" spans="3:107" ht="15.75" thickBot="1" x14ac:dyDescent="0.3">
      <c r="C33" s="487" t="s">
        <v>0</v>
      </c>
      <c r="D33" s="446"/>
      <c r="E33" s="442"/>
      <c r="F33" s="442"/>
      <c r="G33" s="443"/>
      <c r="H33" s="469" t="s">
        <v>328</v>
      </c>
      <c r="I33" s="483" t="s">
        <v>3</v>
      </c>
      <c r="K33" s="209" t="s">
        <v>0</v>
      </c>
      <c r="AU33" s="487" t="s">
        <v>569</v>
      </c>
      <c r="AV33" s="455" t="s">
        <v>328</v>
      </c>
      <c r="AW33" s="455" t="s">
        <v>328</v>
      </c>
      <c r="AX33" s="455"/>
      <c r="AY33" s="455" t="s">
        <v>3</v>
      </c>
      <c r="AZ33" s="483" t="s">
        <v>3</v>
      </c>
      <c r="BA33"/>
      <c r="BB33" s="477"/>
      <c r="BC33" s="472"/>
      <c r="BD33" s="171"/>
      <c r="BE33" s="513" t="s">
        <v>3</v>
      </c>
      <c r="BG33" s="487" t="s">
        <v>569</v>
      </c>
      <c r="BH33" s="455" t="s">
        <v>328</v>
      </c>
      <c r="BI33" s="455" t="s">
        <v>328</v>
      </c>
      <c r="BJ33" s="455"/>
      <c r="BK33" s="455" t="s">
        <v>3</v>
      </c>
      <c r="BL33" s="483" t="s">
        <v>3</v>
      </c>
      <c r="BM33"/>
      <c r="BN33" s="484"/>
      <c r="BO33" s="485"/>
      <c r="BP33" s="171"/>
      <c r="BQ33" s="513" t="s">
        <v>3</v>
      </c>
      <c r="BT33" s="487" t="s">
        <v>569</v>
      </c>
      <c r="BU33" s="455" t="s">
        <v>328</v>
      </c>
      <c r="BV33" s="455" t="s">
        <v>328</v>
      </c>
      <c r="BW33" s="455"/>
      <c r="BX33" s="455" t="s">
        <v>3</v>
      </c>
      <c r="BY33" s="483" t="s">
        <v>3</v>
      </c>
      <c r="BZ33"/>
      <c r="CA33" s="477"/>
      <c r="CB33" s="472"/>
      <c r="CC33" s="171"/>
      <c r="CD33" s="513" t="s">
        <v>3</v>
      </c>
      <c r="CG33" s="487" t="s">
        <v>569</v>
      </c>
      <c r="CH33" s="469" t="s">
        <v>328</v>
      </c>
      <c r="CI33" s="455" t="s">
        <v>328</v>
      </c>
      <c r="CJ33" s="455"/>
      <c r="CK33" s="455" t="s">
        <v>3</v>
      </c>
      <c r="CL33" s="483" t="s">
        <v>3</v>
      </c>
      <c r="CM33" s="431"/>
      <c r="CN33" s="477"/>
      <c r="CO33" s="472"/>
      <c r="CP33" s="171"/>
      <c r="CQ33" s="513" t="s">
        <v>3</v>
      </c>
      <c r="CS33" s="487" t="s">
        <v>583</v>
      </c>
      <c r="CT33" s="455" t="s">
        <v>328</v>
      </c>
      <c r="CU33" s="455" t="s">
        <v>328</v>
      </c>
      <c r="CV33" s="455"/>
      <c r="CW33" s="455" t="s">
        <v>3</v>
      </c>
      <c r="CX33" s="483" t="s">
        <v>3</v>
      </c>
      <c r="CY33"/>
      <c r="CZ33" s="501" t="s">
        <v>483</v>
      </c>
      <c r="DA33" s="502"/>
      <c r="DC33" s="513" t="s">
        <v>3</v>
      </c>
    </row>
    <row r="34" spans="3:107" ht="15" x14ac:dyDescent="0.25">
      <c r="C34" s="449"/>
      <c r="D34" s="448"/>
      <c r="E34" s="450"/>
      <c r="F34" s="450"/>
      <c r="G34" s="453"/>
      <c r="H34" s="448"/>
      <c r="I34" s="453"/>
      <c r="K34" s="207"/>
      <c r="AU34" s="449"/>
      <c r="AV34" s="450"/>
      <c r="AW34" s="450"/>
      <c r="AX34" s="450"/>
      <c r="AY34" s="450"/>
      <c r="AZ34" s="453"/>
      <c r="BA34"/>
      <c r="BB34" s="478"/>
      <c r="BC34" s="470"/>
      <c r="BE34" s="510"/>
      <c r="BG34" s="449"/>
      <c r="BH34" s="450"/>
      <c r="BI34" s="450"/>
      <c r="BJ34" s="450"/>
      <c r="BK34" s="450"/>
      <c r="BL34" s="453"/>
      <c r="BM34"/>
      <c r="BN34" s="478"/>
      <c r="BO34" s="470"/>
      <c r="BQ34" s="510"/>
      <c r="BT34" s="449"/>
      <c r="BU34" s="450"/>
      <c r="BV34" s="450"/>
      <c r="BW34" s="450"/>
      <c r="BX34" s="450"/>
      <c r="BY34" s="453"/>
      <c r="BZ34"/>
      <c r="CA34" s="478"/>
      <c r="CB34" s="470"/>
      <c r="CD34" s="510"/>
      <c r="CG34" s="449"/>
      <c r="CH34" s="450"/>
      <c r="CI34" s="450"/>
      <c r="CJ34" s="450"/>
      <c r="CK34" s="450"/>
      <c r="CL34" s="453"/>
      <c r="CN34" s="478"/>
      <c r="CO34" s="470"/>
      <c r="CQ34" s="511"/>
      <c r="CS34" s="449"/>
      <c r="CT34" s="450"/>
      <c r="CU34" s="450"/>
      <c r="CV34" s="450"/>
      <c r="CW34" s="450"/>
      <c r="CX34" s="453"/>
      <c r="CY34"/>
      <c r="CZ34" s="478"/>
      <c r="DA34" s="470"/>
      <c r="DC34" s="511" t="s">
        <v>0</v>
      </c>
    </row>
    <row r="35" spans="3:107" ht="15" x14ac:dyDescent="0.25">
      <c r="C35" s="451" t="str">
        <f>+C8</f>
        <v>Security 1</v>
      </c>
      <c r="D35" s="448"/>
      <c r="E35" s="450"/>
      <c r="F35" s="450"/>
      <c r="G35" s="453"/>
      <c r="H35" s="1292">
        <v>0.1</v>
      </c>
      <c r="I35" s="494">
        <v>7</v>
      </c>
      <c r="K35" s="214">
        <f>+H35*I35</f>
        <v>0.70000000000000007</v>
      </c>
      <c r="AU35" s="451" t="str">
        <f>+AU8</f>
        <v>France</v>
      </c>
      <c r="AV35" s="457">
        <f>+AV8</f>
        <v>0.28000000000000003</v>
      </c>
      <c r="AW35" s="457">
        <f>+AW8</f>
        <v>0.30000000000000004</v>
      </c>
      <c r="AX35" s="450"/>
      <c r="AY35" s="458">
        <f>+AY8</f>
        <v>5.3214285714285712</v>
      </c>
      <c r="AZ35" s="452">
        <f>+AZ8</f>
        <v>4.9000000000000004</v>
      </c>
      <c r="BA35"/>
      <c r="BB35" s="479">
        <f>(AV35-AW35)*((1+AZ35/100)/(1+AZ$41/100)-1)*100</f>
        <v>-2.080523983818152E-2</v>
      </c>
      <c r="BC35" s="473">
        <f>AV35*((1+AY35/100)/(1+AZ35/100)-1)*(1+AZ35/100)/(1+BE$41/100)*100</f>
        <v>0.11372251705837796</v>
      </c>
      <c r="BD35" s="434"/>
      <c r="BE35" s="515">
        <f>+AV35*AZ35</f>
        <v>1.3720000000000003</v>
      </c>
      <c r="BG35" s="451" t="str">
        <f>+BG8</f>
        <v>Energy</v>
      </c>
      <c r="BH35" s="457">
        <f>+BH8</f>
        <v>0.35000000000000003</v>
      </c>
      <c r="BI35" s="457">
        <f>+BI8</f>
        <v>0.4</v>
      </c>
      <c r="BJ35" s="450"/>
      <c r="BK35" s="458">
        <f>+BK8</f>
        <v>7.3914285714285715</v>
      </c>
      <c r="BL35" s="452">
        <f>+BL8</f>
        <v>5.5249999999999995</v>
      </c>
      <c r="BM35"/>
      <c r="BN35" s="479">
        <f>(BH35-BI35)*((1+BL35/100)/(1+BL$41/100)-1)*100</f>
        <v>-8.211327297245273E-2</v>
      </c>
      <c r="BO35" s="473">
        <f>BH35*((1+BK35/100)/(1+BL35/100)-1)*(1+BL35/100)/(1+BQ$41/100)*100</f>
        <v>0.63014013564210791</v>
      </c>
      <c r="BP35" s="434"/>
      <c r="BQ35" s="515">
        <f>+BH35*BL35</f>
        <v>1.9337500000000001</v>
      </c>
      <c r="BT35" s="451" t="str">
        <f>+BT8</f>
        <v>Large</v>
      </c>
      <c r="BU35" s="457">
        <f>+BU8</f>
        <v>0.4</v>
      </c>
      <c r="BV35" s="457">
        <f>+BV8</f>
        <v>0.30000000000000004</v>
      </c>
      <c r="BW35" s="450"/>
      <c r="BX35" s="458">
        <f>+BX8</f>
        <v>4.9425000000000008</v>
      </c>
      <c r="BY35" s="452">
        <f>+BY8</f>
        <v>5.8666666666666663</v>
      </c>
      <c r="BZ35"/>
      <c r="CA35" s="479">
        <f>(BU35-BV35)*((1+BY35/100)/(1+BY$41/100)-1)*100</f>
        <v>0.19713606883708928</v>
      </c>
      <c r="CB35" s="473">
        <f>BU35*((1+BX35/100)/(1+BY35/100)-1)*(1+BY35/100)/(1+CD$41/100)*100</f>
        <v>-0.3548856781708486</v>
      </c>
      <c r="CC35" s="434"/>
      <c r="CD35" s="515">
        <f>+BU35*BY35</f>
        <v>2.3466666666666667</v>
      </c>
      <c r="CG35" s="451" t="str">
        <f>+CG8</f>
        <v>Growth</v>
      </c>
      <c r="CH35" s="457">
        <f>+CH8</f>
        <v>0.53</v>
      </c>
      <c r="CI35" s="457">
        <f>+CI8</f>
        <v>0.5</v>
      </c>
      <c r="CJ35" s="450"/>
      <c r="CK35" s="458">
        <f>+CK8</f>
        <v>5.0132075471698121</v>
      </c>
      <c r="CL35" s="452">
        <f>+CL8</f>
        <v>5.5000000000000009</v>
      </c>
      <c r="CM35" s="190"/>
      <c r="CN35" s="479">
        <f>(CH35-CI35)*((1+CL35/100)/(1+CL$41/100)-1)*100</f>
        <v>4.8545559622423393E-2</v>
      </c>
      <c r="CO35" s="473">
        <f>CH35*((1+CK35/100)/(1+CL35/100)-1)*(1+CL35/100)/(1+CQ$41/100)*100</f>
        <v>-0.2482659871748481</v>
      </c>
      <c r="CP35" s="434"/>
      <c r="CQ35" s="515">
        <f>+CH35*CL35</f>
        <v>2.9150000000000005</v>
      </c>
      <c r="CS35" s="451" t="str">
        <f>+CS8</f>
        <v>Security 1</v>
      </c>
      <c r="CT35" s="457">
        <f>+CT8</f>
        <v>0.13</v>
      </c>
      <c r="CU35" s="457">
        <f>+CU8</f>
        <v>0.1</v>
      </c>
      <c r="CV35" s="450"/>
      <c r="CW35" s="458">
        <f>+CW8</f>
        <v>7</v>
      </c>
      <c r="CX35" s="452">
        <f>+CX8</f>
        <v>7</v>
      </c>
      <c r="CY35"/>
      <c r="CZ35" s="479">
        <f>(CT35-CU35)*((1+CX35/100)/(1+CX$55/100)-1)*100</f>
        <v>9.1889809285301771E-2</v>
      </c>
      <c r="DA35" s="473">
        <f>CT35*((1+CW35/100)/(1+CX35/100)-1)*(1+CX35/100)/(1+DC$55/100)*100</f>
        <v>0</v>
      </c>
      <c r="DC35" s="511">
        <f>+CT35*CX35</f>
        <v>0.91</v>
      </c>
    </row>
    <row r="36" spans="3:107" ht="15" x14ac:dyDescent="0.25">
      <c r="C36" s="449"/>
      <c r="D36" s="448"/>
      <c r="E36" s="450"/>
      <c r="F36" s="450"/>
      <c r="G36" s="453"/>
      <c r="H36" s="448"/>
      <c r="I36" s="494"/>
      <c r="K36" s="211"/>
      <c r="AU36" s="449"/>
      <c r="AV36" s="450"/>
      <c r="AW36" s="450"/>
      <c r="AX36" s="450"/>
      <c r="AY36" s="450"/>
      <c r="AZ36" s="453"/>
      <c r="BA36"/>
      <c r="BB36" s="478"/>
      <c r="BC36" s="470"/>
      <c r="BE36" s="511"/>
      <c r="BG36" s="449"/>
      <c r="BH36" s="450"/>
      <c r="BI36" s="450"/>
      <c r="BJ36" s="450"/>
      <c r="BK36" s="450"/>
      <c r="BL36" s="453"/>
      <c r="BM36"/>
      <c r="BN36" s="478"/>
      <c r="BO36" s="470"/>
      <c r="BQ36" s="511"/>
      <c r="BT36" s="449"/>
      <c r="BU36" s="450"/>
      <c r="BV36" s="450"/>
      <c r="BW36" s="450"/>
      <c r="BX36" s="450"/>
      <c r="BY36" s="453"/>
      <c r="BZ36"/>
      <c r="CA36" s="478"/>
      <c r="CB36" s="470"/>
      <c r="CD36" s="511"/>
      <c r="CG36" s="449"/>
      <c r="CH36" s="450"/>
      <c r="CI36" s="450"/>
      <c r="CJ36" s="450"/>
      <c r="CK36" s="450"/>
      <c r="CL36" s="453"/>
      <c r="CN36" s="478"/>
      <c r="CO36" s="470"/>
      <c r="CQ36" s="511"/>
      <c r="CS36" s="449"/>
      <c r="CT36" s="450"/>
      <c r="CU36" s="450"/>
      <c r="CV36" s="450"/>
      <c r="CW36" s="450"/>
      <c r="CX36" s="453"/>
      <c r="CY36"/>
      <c r="CZ36" s="478"/>
      <c r="DA36" s="470"/>
      <c r="DC36" s="511"/>
    </row>
    <row r="37" spans="3:107" ht="15" x14ac:dyDescent="0.25">
      <c r="C37" s="451" t="str">
        <f>+C10</f>
        <v>Security 2</v>
      </c>
      <c r="D37" s="448"/>
      <c r="E37" s="450"/>
      <c r="F37" s="450"/>
      <c r="G37" s="453"/>
      <c r="H37" s="1292">
        <v>0.1</v>
      </c>
      <c r="I37" s="494">
        <v>3.5</v>
      </c>
      <c r="K37" s="214">
        <f>+H37*I37</f>
        <v>0.35000000000000003</v>
      </c>
      <c r="AU37" s="451" t="str">
        <f>+AU10</f>
        <v>Germany</v>
      </c>
      <c r="AV37" s="457">
        <f>+AV10</f>
        <v>0.32</v>
      </c>
      <c r="AW37" s="457">
        <f>+AW10</f>
        <v>0.30000000000000004</v>
      </c>
      <c r="AX37" s="450"/>
      <c r="AY37" s="458">
        <f>+AY10</f>
        <v>2.96875</v>
      </c>
      <c r="AZ37" s="452">
        <f>+AZ10</f>
        <v>1.9666666666666666</v>
      </c>
      <c r="BA37"/>
      <c r="BB37" s="479">
        <f>(AV37-AW37)*((1+AZ37/100)/(1+AZ$41/100)-1)*100</f>
        <v>-3.5702818981570614E-2</v>
      </c>
      <c r="BC37" s="473">
        <f>AV37*((1+AY37/100)/(1+AZ37/100)-1)*(1+AZ37/100)/(1+BE$41/100)*100</f>
        <v>0.30904254635638129</v>
      </c>
      <c r="BD37" s="434"/>
      <c r="BE37" s="515">
        <f>+AV37*AZ37</f>
        <v>0.6293333333333333</v>
      </c>
      <c r="BG37" s="451" t="str">
        <f>+BG10</f>
        <v>Health</v>
      </c>
      <c r="BH37" s="457">
        <f>+BH10</f>
        <v>0.32</v>
      </c>
      <c r="BI37" s="457">
        <f>+BI10</f>
        <v>0.30000000000000004</v>
      </c>
      <c r="BJ37" s="450"/>
      <c r="BK37" s="458">
        <f>+BK10</f>
        <v>3.4000000000000004</v>
      </c>
      <c r="BL37" s="452">
        <f>+BL10</f>
        <v>3.7333333333333329</v>
      </c>
      <c r="BM37"/>
      <c r="BN37" s="479">
        <f>(BH37-BI37)*((1+BL37/100)/(1+BL$41/100)-1)*100</f>
        <v>-1.6695562833111102E-3</v>
      </c>
      <c r="BO37" s="473">
        <f>BH37*((1+BK37/100)/(1+BL37/100)-1)*(1+BL37/100)/(1+BQ$41/100)*100</f>
        <v>-0.10289314627144636</v>
      </c>
      <c r="BP37" s="434"/>
      <c r="BQ37" s="515">
        <f>+BH37*BL37</f>
        <v>1.1946666666666665</v>
      </c>
      <c r="BT37" s="451" t="str">
        <f>+BT10</f>
        <v>Mid</v>
      </c>
      <c r="BU37" s="457">
        <f>+BU10</f>
        <v>0.38</v>
      </c>
      <c r="BV37" s="457">
        <f>+BV10</f>
        <v>0.4</v>
      </c>
      <c r="BW37" s="450"/>
      <c r="BX37" s="458">
        <f>+BX10</f>
        <v>2.9973684210526308</v>
      </c>
      <c r="BY37" s="452">
        <f>+BY10</f>
        <v>3.5500000000000003</v>
      </c>
      <c r="BZ37"/>
      <c r="CA37" s="479">
        <f>(BU37-BV37)*((1+BY37/100)/(1+BY$41/100)-1)*100</f>
        <v>5.2013099595451572E-3</v>
      </c>
      <c r="CB37" s="473">
        <f>BU37*((1+BX37/100)/(1+BY37/100)-1)*(1+BY37/100)/(1+CD$41/100)*100</f>
        <v>-0.20160322565161512</v>
      </c>
      <c r="CC37" s="434"/>
      <c r="CD37" s="515">
        <f>+BU37*BY37</f>
        <v>1.3490000000000002</v>
      </c>
      <c r="CG37" s="451" t="str">
        <f>+CG10</f>
        <v>Value</v>
      </c>
      <c r="CH37" s="457">
        <f>+CH10</f>
        <v>0.47000000000000003</v>
      </c>
      <c r="CI37" s="457">
        <f>+CI10</f>
        <v>0.5</v>
      </c>
      <c r="CJ37" s="450"/>
      <c r="CK37" s="458">
        <f>+CK10</f>
        <v>2.674468085106382</v>
      </c>
      <c r="CL37" s="452">
        <f>+CL10</f>
        <v>2.14</v>
      </c>
      <c r="CM37" s="190"/>
      <c r="CN37" s="479">
        <f>(CH37-CI37)*((1+CL37/100)/(1+CL$41/100)-1)*100</f>
        <v>4.8545559622423302E-2</v>
      </c>
      <c r="CO37" s="473">
        <f>CH37*((1+CK37/100)/(1+CL37/100)-1)*(1+CL37/100)/(1+CQ$41/100)*100</f>
        <v>0.24172254255163494</v>
      </c>
      <c r="CP37" s="434"/>
      <c r="CQ37" s="515">
        <f>+CH37*CL37</f>
        <v>1.0058</v>
      </c>
      <c r="CS37" s="451" t="str">
        <f>+CS10</f>
        <v>Security 2</v>
      </c>
      <c r="CT37" s="457">
        <f>+CT10</f>
        <v>0.04</v>
      </c>
      <c r="CU37" s="457">
        <f>+CU10</f>
        <v>0.1</v>
      </c>
      <c r="CV37" s="450"/>
      <c r="CW37" s="458">
        <f>+CW10</f>
        <v>3.5</v>
      </c>
      <c r="CX37" s="452">
        <f>+CX10</f>
        <v>3.5</v>
      </c>
      <c r="CY37"/>
      <c r="CZ37" s="479">
        <f>(CT37-CU37)*((1+CX37/100)/(1+CX$55/100)-1)*100</f>
        <v>1.8493546522828641E-2</v>
      </c>
      <c r="DA37" s="473">
        <f>CT37*((1+CW37/100)/(1+CX37/100)-1)*(1+CX37/100)/(1+DC$55/100)*100</f>
        <v>0</v>
      </c>
      <c r="DC37" s="511">
        <f>+CT37*CX37</f>
        <v>0.14000000000000001</v>
      </c>
    </row>
    <row r="38" spans="3:107" ht="15" x14ac:dyDescent="0.25">
      <c r="C38" s="449"/>
      <c r="D38" s="448"/>
      <c r="E38" s="450"/>
      <c r="F38" s="450"/>
      <c r="G38" s="453"/>
      <c r="H38" s="448"/>
      <c r="I38" s="494"/>
      <c r="K38" s="211"/>
      <c r="AU38" s="449"/>
      <c r="AV38" s="450"/>
      <c r="AW38" s="450"/>
      <c r="AX38" s="450"/>
      <c r="AY38" s="450"/>
      <c r="AZ38" s="453"/>
      <c r="BA38"/>
      <c r="BB38" s="478"/>
      <c r="BC38" s="470"/>
      <c r="BE38" s="511"/>
      <c r="BG38" s="449"/>
      <c r="BH38" s="450"/>
      <c r="BI38" s="450"/>
      <c r="BJ38" s="450"/>
      <c r="BK38" s="450"/>
      <c r="BL38" s="453"/>
      <c r="BM38"/>
      <c r="BN38" s="478"/>
      <c r="BO38" s="470"/>
      <c r="BQ38" s="511"/>
      <c r="BT38" s="449"/>
      <c r="BU38" s="450"/>
      <c r="BV38" s="450"/>
      <c r="BW38" s="450"/>
      <c r="BX38" s="450"/>
      <c r="BY38" s="453"/>
      <c r="BZ38"/>
      <c r="CA38" s="478"/>
      <c r="CB38" s="470"/>
      <c r="CD38" s="511"/>
      <c r="CG38" s="449"/>
      <c r="CH38" s="450"/>
      <c r="CI38" s="450"/>
      <c r="CJ38" s="450"/>
      <c r="CK38" s="450"/>
      <c r="CL38" s="453"/>
      <c r="CN38" s="478"/>
      <c r="CO38" s="470"/>
      <c r="CQ38" s="511"/>
      <c r="CS38" s="449"/>
      <c r="CT38" s="450"/>
      <c r="CU38" s="450"/>
      <c r="CV38" s="450"/>
      <c r="CW38" s="450"/>
      <c r="CX38" s="453"/>
      <c r="CY38"/>
      <c r="CZ38" s="478"/>
      <c r="DA38" s="470"/>
      <c r="DC38" s="511"/>
    </row>
    <row r="39" spans="3:107" ht="15" x14ac:dyDescent="0.25">
      <c r="C39" s="451" t="str">
        <f>+C12</f>
        <v>Security 3</v>
      </c>
      <c r="D39" s="448"/>
      <c r="E39" s="450"/>
      <c r="F39" s="450"/>
      <c r="G39" s="453"/>
      <c r="H39" s="1292">
        <v>0.1</v>
      </c>
      <c r="I39" s="494">
        <v>4.2</v>
      </c>
      <c r="K39" s="214">
        <f>+H39*I39</f>
        <v>0.42000000000000004</v>
      </c>
      <c r="AU39" s="489" t="str">
        <f>+AU12</f>
        <v>Italy</v>
      </c>
      <c r="AV39" s="466">
        <f>+AV12</f>
        <v>0.4</v>
      </c>
      <c r="AW39" s="466">
        <f>+AW12</f>
        <v>0.4</v>
      </c>
      <c r="AX39" s="467"/>
      <c r="AY39" s="468">
        <f>+AY12</f>
        <v>3.6849999999999992</v>
      </c>
      <c r="AZ39" s="482">
        <f>+AZ12</f>
        <v>4.3999999999999995</v>
      </c>
      <c r="BA39"/>
      <c r="BB39" s="480">
        <f>(AV39-AW39)*((1+AZ39/100)/(1+AZ$41/100)-1)*100</f>
        <v>0</v>
      </c>
      <c r="BC39" s="474">
        <f>AV39*((1+AY39/100)/(1+AZ39/100)-1)*(1+AZ39/100)/(1+BE$41/100)*100</f>
        <v>-0.27563254134487886</v>
      </c>
      <c r="BD39" s="434"/>
      <c r="BE39" s="517">
        <f>+AV39*AZ39</f>
        <v>1.7599999999999998</v>
      </c>
      <c r="BG39" s="489" t="str">
        <f>+BG12</f>
        <v>Financials</v>
      </c>
      <c r="BH39" s="466">
        <f>+BH12</f>
        <v>0.33</v>
      </c>
      <c r="BI39" s="466">
        <f>+BI12</f>
        <v>0.30000000000000004</v>
      </c>
      <c r="BJ39" s="467"/>
      <c r="BK39" s="468">
        <f>+BK12</f>
        <v>0.7242424242424238</v>
      </c>
      <c r="BL39" s="482">
        <f>+BL12</f>
        <v>1.6333333333333331</v>
      </c>
      <c r="BM39"/>
      <c r="BN39" s="480">
        <f>(BH39-BI39)*((1+BL39/100)/(1+BL$41/100)-1)*100</f>
        <v>-6.318628395299547E-2</v>
      </c>
      <c r="BO39" s="474">
        <f>BH39*((1+BK39/100)/(1+BL39/100)-1)*(1+BL39/100)/(1+BQ$41/100)*100</f>
        <v>-0.28938697388845114</v>
      </c>
      <c r="BP39" s="434"/>
      <c r="BQ39" s="517">
        <f>+BH39*BL39</f>
        <v>0.53899999999999992</v>
      </c>
      <c r="BT39" s="489" t="str">
        <f>+BT12</f>
        <v>Small</v>
      </c>
      <c r="BU39" s="466">
        <f>+BU12</f>
        <v>0.22000000000000003</v>
      </c>
      <c r="BV39" s="466">
        <f>+BV12</f>
        <v>0.30000000000000004</v>
      </c>
      <c r="BW39" s="467"/>
      <c r="BX39" s="468">
        <f>+BX12</f>
        <v>3.6272727272727265</v>
      </c>
      <c r="BY39" s="482">
        <f>+BY12</f>
        <v>2.1333333333333329</v>
      </c>
      <c r="BZ39"/>
      <c r="CA39" s="480">
        <f>(BU39-BV39)*((1+BY39/100)/(1+BY$41/100)-1)*100</f>
        <v>0.1299685352854292</v>
      </c>
      <c r="CB39" s="474">
        <f>BU39*((1+BX39/100)/(1+BY39/100)-1)*(1+BY39/100)/(1+CD$41/100)*100</f>
        <v>0.31552504840077278</v>
      </c>
      <c r="CC39" s="434"/>
      <c r="CD39" s="517">
        <f>+BU39*BY39</f>
        <v>0.46933333333333327</v>
      </c>
      <c r="CG39" s="489" t="str">
        <f>+CG12</f>
        <v xml:space="preserve"> </v>
      </c>
      <c r="CH39" s="466" t="str">
        <f>+CH12</f>
        <v xml:space="preserve"> </v>
      </c>
      <c r="CI39" s="466" t="str">
        <f>+CI12</f>
        <v xml:space="preserve"> </v>
      </c>
      <c r="CJ39" s="467"/>
      <c r="CK39" s="468" t="str">
        <f>+CK12</f>
        <v xml:space="preserve"> </v>
      </c>
      <c r="CL39" s="482" t="str">
        <f>+CL12</f>
        <v xml:space="preserve"> </v>
      </c>
      <c r="CM39" s="435"/>
      <c r="CN39" s="480" t="s">
        <v>0</v>
      </c>
      <c r="CO39" s="474" t="s">
        <v>0</v>
      </c>
      <c r="CP39" s="434"/>
      <c r="CQ39" s="517" t="s">
        <v>0</v>
      </c>
      <c r="CS39" s="451" t="str">
        <f>+CS12</f>
        <v>Security 3</v>
      </c>
      <c r="CT39" s="457">
        <f>+CT12</f>
        <v>0.11</v>
      </c>
      <c r="CU39" s="457">
        <f>+CU12</f>
        <v>0.1</v>
      </c>
      <c r="CV39" s="450"/>
      <c r="CW39" s="458">
        <f>+CW12</f>
        <v>4</v>
      </c>
      <c r="CX39" s="452">
        <f>+CX12</f>
        <v>4.2</v>
      </c>
      <c r="CY39"/>
      <c r="CZ39" s="479">
        <f>(CT39-CU39)*((1+CX39/100)/(1+CX$55/100)-1)*100</f>
        <v>3.660181082643097E-3</v>
      </c>
      <c r="DA39" s="473">
        <f>CT39*((1+CW39/100)/(1+CX39/100)-1)*(1+CX39/100)/(1+DC$55/100)*100</f>
        <v>-2.1166057340774109E-2</v>
      </c>
      <c r="DC39" s="511">
        <f>+CT39*CX39</f>
        <v>0.46200000000000002</v>
      </c>
    </row>
    <row r="40" spans="3:107" ht="15" x14ac:dyDescent="0.25">
      <c r="C40" s="449"/>
      <c r="D40" s="448"/>
      <c r="E40" s="450"/>
      <c r="F40" s="450"/>
      <c r="G40" s="453"/>
      <c r="H40" s="448"/>
      <c r="I40" s="494"/>
      <c r="K40" s="211"/>
      <c r="AU40" s="449"/>
      <c r="AV40" s="450"/>
      <c r="AW40" s="450"/>
      <c r="AX40" s="450"/>
      <c r="AY40" s="450"/>
      <c r="AZ40" s="453"/>
      <c r="BA40"/>
      <c r="BB40" s="478"/>
      <c r="BC40" s="470"/>
      <c r="BE40" s="511"/>
      <c r="BG40" s="449"/>
      <c r="BH40" s="450"/>
      <c r="BI40" s="450"/>
      <c r="BJ40" s="450"/>
      <c r="BK40" s="450"/>
      <c r="BL40" s="453"/>
      <c r="BM40"/>
      <c r="BN40" s="478"/>
      <c r="BO40" s="470"/>
      <c r="BQ40" s="511"/>
      <c r="BT40" s="449"/>
      <c r="BU40" s="450"/>
      <c r="BV40" s="450"/>
      <c r="BW40" s="450"/>
      <c r="BX40" s="450"/>
      <c r="BY40" s="453"/>
      <c r="BZ40"/>
      <c r="CA40" s="478"/>
      <c r="CB40" s="470"/>
      <c r="CD40" s="511"/>
      <c r="CG40" s="449"/>
      <c r="CH40" s="450"/>
      <c r="CI40" s="450"/>
      <c r="CJ40" s="450"/>
      <c r="CK40" s="450"/>
      <c r="CL40" s="453"/>
      <c r="CN40" s="478"/>
      <c r="CO40" s="470"/>
      <c r="CQ40" s="511"/>
      <c r="CS40" s="449"/>
      <c r="CT40" s="450"/>
      <c r="CU40" s="450"/>
      <c r="CV40" s="450"/>
      <c r="CW40" s="450"/>
      <c r="CX40" s="453"/>
      <c r="CY40"/>
      <c r="CZ40" s="478"/>
      <c r="DA40" s="470"/>
      <c r="DC40" s="511"/>
    </row>
    <row r="41" spans="3:107" ht="15.75" thickBot="1" x14ac:dyDescent="0.3">
      <c r="C41" s="451" t="str">
        <f>+C14</f>
        <v>Security 4</v>
      </c>
      <c r="D41" s="448"/>
      <c r="E41" s="450"/>
      <c r="F41" s="450"/>
      <c r="G41" s="453"/>
      <c r="H41" s="1292">
        <v>0.1</v>
      </c>
      <c r="I41" s="494">
        <v>-3</v>
      </c>
      <c r="K41" s="214">
        <f>+H41*I41</f>
        <v>-0.30000000000000004</v>
      </c>
      <c r="AU41" s="487" t="s">
        <v>16</v>
      </c>
      <c r="AV41" s="459">
        <f>SUM(AV35:AV39)</f>
        <v>1</v>
      </c>
      <c r="AW41" s="459">
        <f>SUM(AW35:AW39)</f>
        <v>1</v>
      </c>
      <c r="AX41" s="455"/>
      <c r="AY41" s="460">
        <f>+AY14</f>
        <v>3.9139999999999997</v>
      </c>
      <c r="AZ41" s="456">
        <f>+AZ14</f>
        <v>3.8200000000000003</v>
      </c>
      <c r="BA41"/>
      <c r="BB41" s="481">
        <f>SUM(BB35:BB39)</f>
        <v>-5.6508058819752134E-2</v>
      </c>
      <c r="BC41" s="475">
        <f>SUM(BC35:BC39)</f>
        <v>0.14713252206988042</v>
      </c>
      <c r="BD41" s="436"/>
      <c r="BE41" s="516">
        <f>SUM(BE35:BE39)</f>
        <v>3.7613333333333334</v>
      </c>
      <c r="BG41" s="487" t="s">
        <v>16</v>
      </c>
      <c r="BH41" s="459">
        <f>SUM(BH35:BH39)</f>
        <v>1</v>
      </c>
      <c r="BI41" s="459">
        <f>SUM(BI35:BI39)</f>
        <v>1</v>
      </c>
      <c r="BJ41" s="455"/>
      <c r="BK41" s="460">
        <f>+BK14</f>
        <v>3.9140000000000001</v>
      </c>
      <c r="BL41" s="456">
        <f>+BL14</f>
        <v>3.8200000000000003</v>
      </c>
      <c r="BM41"/>
      <c r="BN41" s="481">
        <f>SUM(BN35:BN39)</f>
        <v>-0.14696911320875933</v>
      </c>
      <c r="BO41" s="475">
        <f>SUM(BO35:BO39)</f>
        <v>0.23786001548221036</v>
      </c>
      <c r="BP41" s="436"/>
      <c r="BQ41" s="516">
        <f>SUM(BQ35:BQ39)</f>
        <v>3.6674166666666661</v>
      </c>
      <c r="BT41" s="487" t="s">
        <v>16</v>
      </c>
      <c r="BU41" s="459">
        <f>SUM(BU35:BU39)</f>
        <v>1</v>
      </c>
      <c r="BV41" s="459">
        <f>SUM(BV35:BV39)</f>
        <v>1</v>
      </c>
      <c r="BW41" s="455"/>
      <c r="BX41" s="460">
        <f>+BX14</f>
        <v>3.9140000000000001</v>
      </c>
      <c r="BY41" s="456">
        <f>+BY14</f>
        <v>3.8200000000000003</v>
      </c>
      <c r="BZ41"/>
      <c r="CA41" s="481">
        <f>SUM(CA35:CA39)</f>
        <v>0.33230591408206367</v>
      </c>
      <c r="CB41" s="475">
        <f>SUM(CB35:CB39)</f>
        <v>-0.24096385542169096</v>
      </c>
      <c r="CC41" s="436"/>
      <c r="CD41" s="516">
        <f>SUM(CD35:CD39)</f>
        <v>4.165</v>
      </c>
      <c r="CG41" s="487" t="s">
        <v>16</v>
      </c>
      <c r="CH41" s="459">
        <f>SUM(CH35:CH39)</f>
        <v>1</v>
      </c>
      <c r="CI41" s="459">
        <f>SUM(CI35:CI39)</f>
        <v>1</v>
      </c>
      <c r="CJ41" s="455"/>
      <c r="CK41" s="460">
        <f>+CK14</f>
        <v>3.9140000000000001</v>
      </c>
      <c r="CL41" s="456">
        <f>+CL14</f>
        <v>3.8200000000000003</v>
      </c>
      <c r="CM41" s="171"/>
      <c r="CN41" s="481">
        <f>SUM(CN35:CN39)</f>
        <v>9.7091119244846702E-2</v>
      </c>
      <c r="CO41" s="475">
        <f>SUM(CO35:CO39)</f>
        <v>-6.5434446232131571E-3</v>
      </c>
      <c r="CP41" s="436"/>
      <c r="CQ41" s="516">
        <f>SUM(CQ35:CQ39)</f>
        <v>3.9208000000000007</v>
      </c>
      <c r="CS41" s="451" t="str">
        <f>+CS14</f>
        <v>Security 4</v>
      </c>
      <c r="CT41" s="457">
        <f>+CT14</f>
        <v>0.03</v>
      </c>
      <c r="CU41" s="457">
        <f>+CU14</f>
        <v>0.1</v>
      </c>
      <c r="CV41" s="450"/>
      <c r="CW41" s="458">
        <f>+CW14</f>
        <v>-3</v>
      </c>
      <c r="CX41" s="452">
        <f>+CX14</f>
        <v>-3</v>
      </c>
      <c r="CY41"/>
      <c r="CZ41" s="479">
        <f>(CT41-CU41)*((1+CX41/100)/(1+CX$55/100)-1)*100</f>
        <v>0.45983432864573304</v>
      </c>
      <c r="DA41" s="473">
        <f>CT41*((1+CW41/100)/(1+CX41/100)-1)*(1+CX41/100)/(1+DC$55/100)*100</f>
        <v>0</v>
      </c>
      <c r="DC41" s="511">
        <f>+CT41*CX41</f>
        <v>-0.09</v>
      </c>
    </row>
    <row r="42" spans="3:107" ht="15.75" thickBot="1" x14ac:dyDescent="0.3">
      <c r="C42" s="449"/>
      <c r="D42" s="448"/>
      <c r="E42" s="450"/>
      <c r="F42" s="450"/>
      <c r="G42" s="453"/>
      <c r="H42" s="448"/>
      <c r="I42" s="494"/>
      <c r="K42" s="211"/>
      <c r="BA42"/>
      <c r="BM42"/>
      <c r="BZ42"/>
      <c r="CS42" s="449"/>
      <c r="CT42" s="450"/>
      <c r="CU42" s="450"/>
      <c r="CV42" s="450"/>
      <c r="CW42" s="450"/>
      <c r="CX42" s="453"/>
      <c r="CY42"/>
      <c r="CZ42" s="478"/>
      <c r="DA42" s="470"/>
      <c r="DC42" s="511"/>
    </row>
    <row r="43" spans="3:107" ht="15.75" thickBot="1" x14ac:dyDescent="0.3">
      <c r="C43" s="451" t="str">
        <f>+C16</f>
        <v>Security 5</v>
      </c>
      <c r="D43" s="448"/>
      <c r="E43" s="450"/>
      <c r="F43" s="450"/>
      <c r="G43" s="453"/>
      <c r="H43" s="1292">
        <v>0.1</v>
      </c>
      <c r="I43" s="494">
        <v>2.5</v>
      </c>
      <c r="K43" s="214">
        <f>+H43*I43</f>
        <v>0.25</v>
      </c>
      <c r="AV43" s="537" t="s">
        <v>589</v>
      </c>
      <c r="AW43" s="538"/>
      <c r="AX43" s="538"/>
      <c r="AY43" s="539">
        <f>((1+AY41/100)/(1+AZ41/100)-1)*100</f>
        <v>9.054132151800065E-2</v>
      </c>
      <c r="BA43"/>
      <c r="BH43" s="537" t="s">
        <v>589</v>
      </c>
      <c r="BI43" s="538"/>
      <c r="BJ43" s="538"/>
      <c r="BK43" s="539">
        <f>((1+BK41/100)/(1+BL41/100)-1)*100</f>
        <v>9.054132151800065E-2</v>
      </c>
      <c r="BU43" s="537" t="s">
        <v>589</v>
      </c>
      <c r="BV43" s="538"/>
      <c r="BW43" s="538"/>
      <c r="BX43" s="539">
        <f>((1+BX41/100)/(1+BY41/100)-1)*100</f>
        <v>9.054132151800065E-2</v>
      </c>
      <c r="CH43" s="537" t="s">
        <v>589</v>
      </c>
      <c r="CI43" s="538"/>
      <c r="CJ43" s="538"/>
      <c r="CK43" s="539">
        <f>((1+CK41/100)/(1+CL41/100)-1)*100</f>
        <v>9.054132151800065E-2</v>
      </c>
      <c r="CS43" s="451" t="str">
        <f>+CS16</f>
        <v>Security 5</v>
      </c>
      <c r="CT43" s="457">
        <f>+CT16</f>
        <v>0.2</v>
      </c>
      <c r="CU43" s="457">
        <f>+CU16</f>
        <v>0.1</v>
      </c>
      <c r="CV43" s="450"/>
      <c r="CW43" s="458">
        <f>+CW16</f>
        <v>2.5</v>
      </c>
      <c r="CX43" s="452">
        <f>+CX16</f>
        <v>2.5</v>
      </c>
      <c r="CY43"/>
      <c r="CZ43" s="479">
        <f>(CT43-CU43)*((1+CX43/100)/(1+CX$55/100)-1)*100</f>
        <v>-0.12714313234444274</v>
      </c>
      <c r="DA43" s="473">
        <f>CT43*((1+CW43/100)/(1+CX43/100)-1)*(1+CX43/100)/(1+DC$55/100)*100</f>
        <v>0</v>
      </c>
      <c r="DC43" s="511">
        <f>+CT43*CX43</f>
        <v>0.5</v>
      </c>
    </row>
    <row r="44" spans="3:107" ht="15.75" thickBot="1" x14ac:dyDescent="0.3">
      <c r="C44" s="449"/>
      <c r="D44" s="448"/>
      <c r="E44" s="450"/>
      <c r="F44" s="450"/>
      <c r="G44" s="453"/>
      <c r="H44" s="448"/>
      <c r="I44" s="494"/>
      <c r="K44" s="211"/>
      <c r="AU44" s="171" t="s">
        <v>590</v>
      </c>
      <c r="BA44"/>
      <c r="CS44" s="449"/>
      <c r="CT44" s="450"/>
      <c r="CU44" s="450"/>
      <c r="CV44" s="450"/>
      <c r="CW44" s="450"/>
      <c r="CX44" s="453"/>
      <c r="CY44"/>
      <c r="CZ44" s="478"/>
      <c r="DA44" s="470"/>
      <c r="DC44" s="511"/>
    </row>
    <row r="45" spans="3:107" ht="15" x14ac:dyDescent="0.25">
      <c r="C45" s="451" t="str">
        <f>+C18</f>
        <v>Security 6</v>
      </c>
      <c r="D45" s="448"/>
      <c r="E45" s="450"/>
      <c r="F45" s="450"/>
      <c r="G45" s="453"/>
      <c r="H45" s="1292">
        <v>0.1</v>
      </c>
      <c r="I45" s="494">
        <v>6.4</v>
      </c>
      <c r="K45" s="214">
        <f>+H45*I45</f>
        <v>0.64000000000000012</v>
      </c>
      <c r="AU45" s="486" t="s">
        <v>591</v>
      </c>
      <c r="AV45" s="462" t="s">
        <v>1</v>
      </c>
      <c r="AW45" s="462" t="s">
        <v>15</v>
      </c>
      <c r="AX45" s="462"/>
      <c r="AY45" s="462" t="s">
        <v>1</v>
      </c>
      <c r="AZ45" s="463" t="s">
        <v>548</v>
      </c>
      <c r="BA45"/>
      <c r="BB45" s="476" t="s">
        <v>483</v>
      </c>
      <c r="BC45" s="471" t="s">
        <v>484</v>
      </c>
      <c r="BE45" s="514" t="s">
        <v>587</v>
      </c>
      <c r="CS45" s="451" t="str">
        <f>+CS18</f>
        <v>Security 6</v>
      </c>
      <c r="CT45" s="457">
        <f>+CT18</f>
        <v>0.09</v>
      </c>
      <c r="CU45" s="457">
        <f>+CU18</f>
        <v>0.1</v>
      </c>
      <c r="CV45" s="450"/>
      <c r="CW45" s="458">
        <f>+CW18</f>
        <v>6</v>
      </c>
      <c r="CX45" s="452">
        <f>+CX18</f>
        <v>6.4</v>
      </c>
      <c r="CY45"/>
      <c r="CZ45" s="479">
        <f>(CT45-CU45)*((1+CX45/100)/(1+CX$55/100)-1)*100</f>
        <v>-2.4850703140050244E-2</v>
      </c>
      <c r="DA45" s="473">
        <f>CT45*((1+CW45/100)/(1+CX45/100)-1)*(1+CX45/100)/(1+DC$55/100)*100</f>
        <v>-3.4635366557629652E-2</v>
      </c>
      <c r="DC45" s="511">
        <f>+CT45*CX45</f>
        <v>0.57599999999999996</v>
      </c>
    </row>
    <row r="46" spans="3:107" ht="15.75" thickBot="1" x14ac:dyDescent="0.3">
      <c r="C46" s="449"/>
      <c r="D46" s="448"/>
      <c r="E46" s="450"/>
      <c r="F46" s="450"/>
      <c r="G46" s="453"/>
      <c r="H46" s="448"/>
      <c r="I46" s="494"/>
      <c r="K46" s="211"/>
      <c r="AU46" s="487"/>
      <c r="AV46" s="455" t="s">
        <v>328</v>
      </c>
      <c r="AW46" s="455" t="s">
        <v>328</v>
      </c>
      <c r="AX46" s="455"/>
      <c r="AY46" s="455" t="s">
        <v>3</v>
      </c>
      <c r="AZ46" s="483" t="s">
        <v>3</v>
      </c>
      <c r="BA46"/>
      <c r="BB46" s="477"/>
      <c r="BC46" s="472"/>
      <c r="BE46" s="513" t="s">
        <v>3</v>
      </c>
      <c r="CS46" s="449"/>
      <c r="CT46" s="450"/>
      <c r="CU46" s="450"/>
      <c r="CV46" s="450"/>
      <c r="CW46" s="450"/>
      <c r="CX46" s="453"/>
      <c r="CY46"/>
      <c r="CZ46" s="478"/>
      <c r="DA46" s="470"/>
      <c r="DC46" s="511"/>
    </row>
    <row r="47" spans="3:107" ht="15" x14ac:dyDescent="0.25">
      <c r="C47" s="451" t="str">
        <f>+C20</f>
        <v>Security 7</v>
      </c>
      <c r="D47" s="448"/>
      <c r="E47" s="450"/>
      <c r="F47" s="450"/>
      <c r="G47" s="453"/>
      <c r="H47" s="1292">
        <v>0.1</v>
      </c>
      <c r="I47" s="494">
        <v>10</v>
      </c>
      <c r="K47" s="214">
        <f>+H47*I47</f>
        <v>1</v>
      </c>
      <c r="AU47" s="449"/>
      <c r="AV47" s="450"/>
      <c r="AW47" s="450"/>
      <c r="AX47" s="450"/>
      <c r="AY47" s="450"/>
      <c r="AZ47" s="453"/>
      <c r="BA47"/>
      <c r="BB47" s="478"/>
      <c r="BC47" s="470"/>
      <c r="BE47" s="510"/>
      <c r="CS47" s="451" t="str">
        <f>+CS20</f>
        <v>Security 7</v>
      </c>
      <c r="CT47" s="457">
        <f>+CT20</f>
        <v>0.12</v>
      </c>
      <c r="CU47" s="457">
        <f>+CU20</f>
        <v>0.1</v>
      </c>
      <c r="CV47" s="450"/>
      <c r="CW47" s="458">
        <f>+CW20</f>
        <v>10</v>
      </c>
      <c r="CX47" s="452">
        <f>+CX20</f>
        <v>10</v>
      </c>
      <c r="CY47"/>
      <c r="CZ47" s="479">
        <f>(CT47-CU47)*((1+CX47/100)/(1+CX$55/100)-1)*100</f>
        <v>0.11905220574070523</v>
      </c>
      <c r="DA47" s="473">
        <f>CT47*((1+CW47/100)/(1+CX47/100)-1)*(1+CX47/100)/(1+DC$55/100)*100</f>
        <v>0</v>
      </c>
      <c r="DC47" s="511">
        <f>+CT47*CX47</f>
        <v>1.2</v>
      </c>
    </row>
    <row r="48" spans="3:107" ht="15" x14ac:dyDescent="0.25">
      <c r="C48" s="449"/>
      <c r="D48" s="448"/>
      <c r="E48" s="450"/>
      <c r="F48" s="450"/>
      <c r="G48" s="453"/>
      <c r="H48" s="448"/>
      <c r="I48" s="494"/>
      <c r="K48" s="211"/>
      <c r="AU48" s="451" t="str">
        <f>+AU20</f>
        <v>Security 7</v>
      </c>
      <c r="AV48" s="457">
        <f t="shared" ref="AV48:AW54" si="1">+AV20</f>
        <v>0.3</v>
      </c>
      <c r="AW48" s="457">
        <f t="shared" si="1"/>
        <v>0.25</v>
      </c>
      <c r="AX48" s="450"/>
      <c r="AY48" s="458">
        <f t="shared" ref="AY48:AZ56" si="2">+AY20</f>
        <v>10</v>
      </c>
      <c r="AZ48" s="452">
        <f t="shared" si="2"/>
        <v>10</v>
      </c>
      <c r="BA48"/>
      <c r="BB48" s="479">
        <f>(AV48-AW48)*((1+AZ48/100)/(1+AZ$56/100)-1)*100</f>
        <v>0.26819923371647508</v>
      </c>
      <c r="BC48" s="473">
        <f>AV48*((1+AY48/100)/(1+AZ48/100)-1)*(1+AZ48/100)/(1+BE$56/100)*100</f>
        <v>0</v>
      </c>
      <c r="BE48" s="515">
        <f>+AV48*AZ48</f>
        <v>3</v>
      </c>
      <c r="CS48" s="449"/>
      <c r="CT48" s="450"/>
      <c r="CU48" s="450"/>
      <c r="CV48" s="450"/>
      <c r="CW48" s="450"/>
      <c r="CX48" s="453"/>
      <c r="CY48"/>
      <c r="CZ48" s="478"/>
      <c r="DA48" s="470"/>
      <c r="DC48" s="511"/>
    </row>
    <row r="49" spans="3:107" ht="15" x14ac:dyDescent="0.25">
      <c r="C49" s="451" t="str">
        <f>+C22</f>
        <v>Security 8</v>
      </c>
      <c r="D49" s="448"/>
      <c r="E49" s="450"/>
      <c r="F49" s="450"/>
      <c r="G49" s="453"/>
      <c r="H49" s="1292">
        <v>0.1</v>
      </c>
      <c r="I49" s="494">
        <v>5.2</v>
      </c>
      <c r="K49" s="214">
        <f>+H49*I49</f>
        <v>0.52</v>
      </c>
      <c r="AU49" s="449"/>
      <c r="AV49" s="450"/>
      <c r="AW49" s="450"/>
      <c r="AX49" s="450"/>
      <c r="AY49" s="450"/>
      <c r="AZ49" s="453"/>
      <c r="BA49"/>
      <c r="BB49" s="478"/>
      <c r="BC49" s="470"/>
      <c r="BE49" s="511"/>
      <c r="CS49" s="451" t="str">
        <f>+CS22</f>
        <v>Security 8</v>
      </c>
      <c r="CT49" s="457">
        <f>+CT22</f>
        <v>0.08</v>
      </c>
      <c r="CU49" s="457">
        <f>+CU22</f>
        <v>0.1</v>
      </c>
      <c r="CV49" s="450"/>
      <c r="CW49" s="458">
        <f>+CW22</f>
        <v>5.6</v>
      </c>
      <c r="CX49" s="452">
        <f>+CX22</f>
        <v>5.2</v>
      </c>
      <c r="CY49"/>
      <c r="CZ49" s="479">
        <f>(CT49-CU49)*((1+CX49/100)/(1+CX$55/100)-1)*100</f>
        <v>-2.6584473126565204E-2</v>
      </c>
      <c r="DA49" s="473">
        <f>CT49*((1+CW49/100)/(1+CX49/100)-1)*(1+CX49/100)/(1+DC$55/100)*100</f>
        <v>3.0786992495669938E-2</v>
      </c>
      <c r="DC49" s="511">
        <f>+CT49*CX49</f>
        <v>0.41600000000000004</v>
      </c>
    </row>
    <row r="50" spans="3:107" ht="15" x14ac:dyDescent="0.25">
      <c r="C50" s="449"/>
      <c r="D50" s="448"/>
      <c r="E50" s="450"/>
      <c r="F50" s="450"/>
      <c r="G50" s="453"/>
      <c r="H50" s="448"/>
      <c r="I50" s="494"/>
      <c r="K50" s="211"/>
      <c r="AU50" s="451" t="str">
        <f>+AU22</f>
        <v>Security 8</v>
      </c>
      <c r="AV50" s="457">
        <f t="shared" si="1"/>
        <v>0.19999999999999998</v>
      </c>
      <c r="AW50" s="457">
        <f t="shared" si="1"/>
        <v>0.25</v>
      </c>
      <c r="AX50" s="450"/>
      <c r="AY50" s="458">
        <f t="shared" si="2"/>
        <v>5.6</v>
      </c>
      <c r="AZ50" s="452">
        <f t="shared" si="2"/>
        <v>5.2</v>
      </c>
      <c r="BA50"/>
      <c r="BB50" s="479">
        <f>(AV50-AW50)*((1+AZ50/100)/(1+AZ$56/100)-1)*100</f>
        <v>-3.8314176245211065E-2</v>
      </c>
      <c r="BC50" s="473">
        <f>AV50*((1+AY50/100)/(1+AZ50/100)-1)*(1+AZ50/100)/(1+BE$56/100)*100</f>
        <v>7.9518910590923253E-2</v>
      </c>
      <c r="BE50" s="515">
        <f>+AV50*AZ50</f>
        <v>1.04</v>
      </c>
      <c r="CS50" s="449"/>
      <c r="CT50" s="450"/>
      <c r="CU50" s="450"/>
      <c r="CV50" s="450"/>
      <c r="CW50" s="450"/>
      <c r="CX50" s="453"/>
      <c r="CY50"/>
      <c r="CZ50" s="478"/>
      <c r="DA50" s="470"/>
      <c r="DC50" s="511"/>
    </row>
    <row r="51" spans="3:107" ht="15" x14ac:dyDescent="0.25">
      <c r="C51" s="451" t="str">
        <f>+C24</f>
        <v>Security 9</v>
      </c>
      <c r="D51" s="448"/>
      <c r="E51" s="450"/>
      <c r="F51" s="450"/>
      <c r="G51" s="453"/>
      <c r="H51" s="1292">
        <v>0.1</v>
      </c>
      <c r="I51" s="494">
        <v>8.1</v>
      </c>
      <c r="K51" s="214">
        <f>+H51*I51</f>
        <v>0.81</v>
      </c>
      <c r="AU51" s="449"/>
      <c r="AV51" s="450"/>
      <c r="AW51" s="450"/>
      <c r="AX51" s="450"/>
      <c r="AY51" s="450"/>
      <c r="AZ51" s="453"/>
      <c r="BA51"/>
      <c r="BB51" s="478"/>
      <c r="BC51" s="470"/>
      <c r="BE51" s="511"/>
      <c r="CS51" s="451" t="str">
        <f>+CS24</f>
        <v>Security 9</v>
      </c>
      <c r="CT51" s="457">
        <f>+CT24</f>
        <v>7.0000000000000007E-2</v>
      </c>
      <c r="CU51" s="457">
        <f>+CU24</f>
        <v>0.1</v>
      </c>
      <c r="CV51" s="450"/>
      <c r="CW51" s="458">
        <f>+CW24</f>
        <v>8.1</v>
      </c>
      <c r="CX51" s="452">
        <f>+CX24</f>
        <v>8.1</v>
      </c>
      <c r="CY51"/>
      <c r="CZ51" s="479">
        <f>(CT51-CU51)*((1+CX51/100)/(1+CX$55/100)-1)*100</f>
        <v>-0.12367559237141212</v>
      </c>
      <c r="DA51" s="473">
        <f>CT51*((1+CW51/100)/(1+CX51/100)-1)*(1+CX51/100)/(1+DC$55/100)*100</f>
        <v>0</v>
      </c>
      <c r="DC51" s="511">
        <f>+CT51*CX51</f>
        <v>0.56700000000000006</v>
      </c>
    </row>
    <row r="52" spans="3:107" ht="15" x14ac:dyDescent="0.25">
      <c r="C52" s="449"/>
      <c r="D52" s="448"/>
      <c r="E52" s="450"/>
      <c r="F52" s="450"/>
      <c r="G52" s="453"/>
      <c r="H52" s="448"/>
      <c r="I52" s="494"/>
      <c r="K52" s="211"/>
      <c r="AU52" s="451" t="str">
        <f>+AU24</f>
        <v>Security 9</v>
      </c>
      <c r="AV52" s="457">
        <f t="shared" si="1"/>
        <v>0.17500000000000002</v>
      </c>
      <c r="AW52" s="457">
        <f t="shared" si="1"/>
        <v>0.25</v>
      </c>
      <c r="AX52" s="450"/>
      <c r="AY52" s="458">
        <f t="shared" si="2"/>
        <v>8.1</v>
      </c>
      <c r="AZ52" s="452">
        <f t="shared" si="2"/>
        <v>8.1</v>
      </c>
      <c r="BA52"/>
      <c r="BB52" s="479">
        <f>(AV52-AW52)*((1+AZ52/100)/(1+AZ$56/100)-1)*100</f>
        <v>-0.26580459770114911</v>
      </c>
      <c r="BC52" s="473">
        <f>AV52*((1+AY52/100)/(1+AZ52/100)-1)*(1+AZ52/100)/(1+BE$56/100)*100</f>
        <v>0</v>
      </c>
      <c r="BE52" s="515">
        <f>+AV52*AZ52</f>
        <v>1.4175</v>
      </c>
      <c r="CS52" s="449"/>
      <c r="CT52" s="450"/>
      <c r="CU52" s="450"/>
      <c r="CV52" s="450"/>
      <c r="CW52" s="450"/>
      <c r="CX52" s="453"/>
      <c r="CY52"/>
      <c r="CZ52" s="478"/>
      <c r="DA52" s="470"/>
      <c r="DC52" s="511"/>
    </row>
    <row r="53" spans="3:107" ht="15" x14ac:dyDescent="0.25">
      <c r="C53" s="451" t="str">
        <f>+C26</f>
        <v>Security 10</v>
      </c>
      <c r="D53" s="448"/>
      <c r="E53" s="450"/>
      <c r="F53" s="450"/>
      <c r="G53" s="453"/>
      <c r="H53" s="1292">
        <v>0.1</v>
      </c>
      <c r="I53" s="494">
        <v>-5.7</v>
      </c>
      <c r="K53" s="214">
        <f>+H53*I53</f>
        <v>-0.57000000000000006</v>
      </c>
      <c r="AU53" s="449"/>
      <c r="AV53" s="450"/>
      <c r="AW53" s="450"/>
      <c r="AX53" s="450"/>
      <c r="AY53" s="450"/>
      <c r="AZ53" s="453"/>
      <c r="BA53"/>
      <c r="BB53" s="478"/>
      <c r="BC53" s="470"/>
      <c r="BE53" s="511"/>
      <c r="CS53" s="451" t="str">
        <f>+CS26</f>
        <v>Security 10</v>
      </c>
      <c r="CT53" s="457">
        <f>+CT26</f>
        <v>0.13</v>
      </c>
      <c r="CU53" s="457">
        <f>+CU26</f>
        <v>0.1</v>
      </c>
      <c r="CV53" s="450"/>
      <c r="CW53" s="458">
        <f>+CW26</f>
        <v>-5.7</v>
      </c>
      <c r="CX53" s="452">
        <f>+CX26</f>
        <v>-5.7</v>
      </c>
      <c r="CY53"/>
      <c r="CZ53" s="479">
        <f>(CT53-CU53)*((1+CX53/100)/(1+CX$55/100)-1)*100</f>
        <v>-0.27509150452706621</v>
      </c>
      <c r="DA53" s="473">
        <f>CT53*((1+CW53/100)/(1+CX53/100)-1)*(1+CX53/100)/(1+DC$55/100)*100</f>
        <v>0</v>
      </c>
      <c r="DC53" s="511">
        <f>+CT53*CX53</f>
        <v>-0.7410000000000001</v>
      </c>
    </row>
    <row r="54" spans="3:107" ht="15" x14ac:dyDescent="0.25">
      <c r="C54" s="488"/>
      <c r="D54" s="1293"/>
      <c r="E54" s="467"/>
      <c r="F54" s="467"/>
      <c r="G54" s="495"/>
      <c r="H54" s="1293"/>
      <c r="I54" s="495"/>
      <c r="K54" s="211"/>
      <c r="AU54" s="489" t="str">
        <f>+AU26</f>
        <v>Security 10</v>
      </c>
      <c r="AV54" s="466">
        <f t="shared" si="1"/>
        <v>0.32500000000000001</v>
      </c>
      <c r="AW54" s="466">
        <f t="shared" si="1"/>
        <v>0.25</v>
      </c>
      <c r="AX54" s="467"/>
      <c r="AY54" s="468">
        <f t="shared" si="2"/>
        <v>-5.7</v>
      </c>
      <c r="AZ54" s="482">
        <f t="shared" si="2"/>
        <v>-5.7</v>
      </c>
      <c r="BA54"/>
      <c r="BB54" s="480">
        <f>(AV54-AW54)*((1+AZ54/100)/(1+AZ$56/100)-1)*100</f>
        <v>-0.72557471264367857</v>
      </c>
      <c r="BC54" s="474">
        <f>AV54*((1+AY54/100)/(1+AZ54/100)-1)*(1+AZ54/100)/(1+BE$56/100)*100</f>
        <v>0</v>
      </c>
      <c r="BE54" s="517">
        <f>+AV54*AZ54</f>
        <v>-1.8525</v>
      </c>
      <c r="CS54" s="488"/>
      <c r="CT54" s="467"/>
      <c r="CU54" s="467"/>
      <c r="CV54" s="467"/>
      <c r="CW54" s="467"/>
      <c r="CX54" s="495"/>
      <c r="CY54"/>
      <c r="CZ54" s="496"/>
      <c r="DA54" s="497"/>
      <c r="DC54" s="512"/>
    </row>
    <row r="55" spans="3:107" ht="15.75" thickBot="1" x14ac:dyDescent="0.3">
      <c r="C55" s="454" t="s">
        <v>0</v>
      </c>
      <c r="D55" s="446"/>
      <c r="E55" s="442"/>
      <c r="F55" s="442"/>
      <c r="G55" s="443"/>
      <c r="H55" s="1294">
        <f>+H28</f>
        <v>0.99999999999999989</v>
      </c>
      <c r="I55" s="483">
        <v>3.82</v>
      </c>
      <c r="K55" s="1295">
        <f>SUM(K35:K53)</f>
        <v>3.8200000000000003</v>
      </c>
      <c r="AU55" s="449"/>
      <c r="AV55" s="450"/>
      <c r="AW55" s="450"/>
      <c r="AX55" s="450"/>
      <c r="AY55" s="450"/>
      <c r="AZ55" s="453"/>
      <c r="BA55"/>
      <c r="BB55" s="478"/>
      <c r="BC55" s="470"/>
      <c r="BE55" s="511"/>
      <c r="CS55" s="454" t="str">
        <f>+CS28</f>
        <v>Total</v>
      </c>
      <c r="CT55" s="459">
        <f>+CT28</f>
        <v>0.99999999999999989</v>
      </c>
      <c r="CU55" s="459">
        <f>+CU28</f>
        <v>0.99999999999999989</v>
      </c>
      <c r="CV55" s="455"/>
      <c r="CW55" s="460">
        <f>+CW28</f>
        <v>3.9139999999999993</v>
      </c>
      <c r="CX55" s="456">
        <f>+CX28</f>
        <v>3.8200000000000003</v>
      </c>
      <c r="CY55"/>
      <c r="CZ55" s="481">
        <f>SUM(CZ35:CZ53)</f>
        <v>0.11558466576767523</v>
      </c>
      <c r="DA55" s="498">
        <f>SUM(DA35:DA53)</f>
        <v>-2.5014431402733819E-2</v>
      </c>
      <c r="DC55" s="513">
        <f>SUM(DC35:DC53)</f>
        <v>3.94</v>
      </c>
    </row>
    <row r="56" spans="3:107" ht="15.75" thickBot="1" x14ac:dyDescent="0.3">
      <c r="C56" s="158" t="s">
        <v>0</v>
      </c>
      <c r="AU56" s="487" t="s">
        <v>16</v>
      </c>
      <c r="AV56" s="459">
        <f>SUM(AV48:AV54)</f>
        <v>1</v>
      </c>
      <c r="AW56" s="459">
        <f>SUM(AW48:AW54)</f>
        <v>1</v>
      </c>
      <c r="AX56" s="455"/>
      <c r="AY56" s="460">
        <f t="shared" si="2"/>
        <v>3.6849999999999992</v>
      </c>
      <c r="AZ56" s="456">
        <f t="shared" si="2"/>
        <v>4.3999999999999995</v>
      </c>
      <c r="BA56"/>
      <c r="BB56" s="481">
        <f>SUM(BB48:BB54)</f>
        <v>-0.76149425287356365</v>
      </c>
      <c r="BC56" s="475">
        <f>SUM(BC48:BC54)</f>
        <v>7.9518910590923253E-2</v>
      </c>
      <c r="BE56" s="516">
        <f>SUM(BE50:BE54)</f>
        <v>0.60499999999999998</v>
      </c>
      <c r="CS56" s="171"/>
      <c r="CT56" s="171"/>
      <c r="CU56" s="171"/>
      <c r="CY56"/>
    </row>
    <row r="57" spans="3:107" ht="15.75" thickBot="1" x14ac:dyDescent="0.3">
      <c r="BA57"/>
      <c r="CT57" s="537" t="s">
        <v>589</v>
      </c>
      <c r="CU57" s="538"/>
      <c r="CV57" s="538"/>
      <c r="CW57" s="539">
        <f>((1+CW55/100)/(1+CX55/100)-1)*100</f>
        <v>9.054132151800065E-2</v>
      </c>
      <c r="CY57"/>
    </row>
    <row r="58" spans="3:107" ht="15.75" thickBot="1" x14ac:dyDescent="0.3">
      <c r="AV58" s="537" t="s">
        <v>589</v>
      </c>
      <c r="AW58" s="538"/>
      <c r="AX58" s="538"/>
      <c r="AY58" s="539">
        <f>((1+AY56/100)/(1+AZ56/100)-1)*100</f>
        <v>-0.68486590038313588</v>
      </c>
      <c r="BA58"/>
    </row>
  </sheetData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8320-607E-461A-BA8D-B59A7FF94A3E}">
  <dimension ref="B6:W96"/>
  <sheetViews>
    <sheetView topLeftCell="A57" workbookViewId="0">
      <selection activeCell="S84" sqref="S84"/>
    </sheetView>
  </sheetViews>
  <sheetFormatPr defaultRowHeight="12.75" x14ac:dyDescent="0.2"/>
  <cols>
    <col min="1" max="1" width="9.140625" style="158"/>
    <col min="2" max="2" width="22.7109375" style="158" customWidth="1"/>
    <col min="3" max="4" width="10.7109375" style="158" customWidth="1"/>
    <col min="5" max="5" width="3.7109375" style="158" customWidth="1"/>
    <col min="6" max="7" width="10.7109375" style="158" customWidth="1"/>
    <col min="8" max="8" width="2.7109375" style="158" customWidth="1"/>
    <col min="9" max="9" width="9.140625" style="158"/>
    <col min="10" max="11" width="10.7109375" style="158" customWidth="1"/>
    <col min="12" max="12" width="9.140625" style="158"/>
    <col min="13" max="13" width="1.7109375" style="158" customWidth="1"/>
    <col min="14" max="15" width="10.7109375" style="158" customWidth="1"/>
    <col min="16" max="16" width="9.140625" style="158"/>
    <col min="17" max="18" width="1.7109375" style="158" customWidth="1"/>
    <col min="19" max="20" width="10.7109375" style="158" customWidth="1"/>
    <col min="21" max="257" width="9.140625" style="158"/>
    <col min="258" max="258" width="22.7109375" style="158" customWidth="1"/>
    <col min="259" max="260" width="10.7109375" style="158" customWidth="1"/>
    <col min="261" max="261" width="3.7109375" style="158" customWidth="1"/>
    <col min="262" max="263" width="10.7109375" style="158" customWidth="1"/>
    <col min="264" max="264" width="2.7109375" style="158" customWidth="1"/>
    <col min="265" max="265" width="9.140625" style="158"/>
    <col min="266" max="267" width="10.7109375" style="158" customWidth="1"/>
    <col min="268" max="268" width="9.140625" style="158"/>
    <col min="269" max="269" width="1.7109375" style="158" customWidth="1"/>
    <col min="270" max="271" width="10.7109375" style="158" customWidth="1"/>
    <col min="272" max="272" width="9.140625" style="158"/>
    <col min="273" max="274" width="1.7109375" style="158" customWidth="1"/>
    <col min="275" max="276" width="10.7109375" style="158" customWidth="1"/>
    <col min="277" max="513" width="9.140625" style="158"/>
    <col min="514" max="514" width="22.7109375" style="158" customWidth="1"/>
    <col min="515" max="516" width="10.7109375" style="158" customWidth="1"/>
    <col min="517" max="517" width="3.7109375" style="158" customWidth="1"/>
    <col min="518" max="519" width="10.7109375" style="158" customWidth="1"/>
    <col min="520" max="520" width="2.7109375" style="158" customWidth="1"/>
    <col min="521" max="521" width="9.140625" style="158"/>
    <col min="522" max="523" width="10.7109375" style="158" customWidth="1"/>
    <col min="524" max="524" width="9.140625" style="158"/>
    <col min="525" max="525" width="1.7109375" style="158" customWidth="1"/>
    <col min="526" max="527" width="10.7109375" style="158" customWidth="1"/>
    <col min="528" max="528" width="9.140625" style="158"/>
    <col min="529" max="530" width="1.7109375" style="158" customWidth="1"/>
    <col min="531" max="532" width="10.7109375" style="158" customWidth="1"/>
    <col min="533" max="769" width="9.140625" style="158"/>
    <col min="770" max="770" width="22.7109375" style="158" customWidth="1"/>
    <col min="771" max="772" width="10.7109375" style="158" customWidth="1"/>
    <col min="773" max="773" width="3.7109375" style="158" customWidth="1"/>
    <col min="774" max="775" width="10.7109375" style="158" customWidth="1"/>
    <col min="776" max="776" width="2.7109375" style="158" customWidth="1"/>
    <col min="777" max="777" width="9.140625" style="158"/>
    <col min="778" max="779" width="10.7109375" style="158" customWidth="1"/>
    <col min="780" max="780" width="9.140625" style="158"/>
    <col min="781" max="781" width="1.7109375" style="158" customWidth="1"/>
    <col min="782" max="783" width="10.7109375" style="158" customWidth="1"/>
    <col min="784" max="784" width="9.140625" style="158"/>
    <col min="785" max="786" width="1.7109375" style="158" customWidth="1"/>
    <col min="787" max="788" width="10.7109375" style="158" customWidth="1"/>
    <col min="789" max="1025" width="9.140625" style="158"/>
    <col min="1026" max="1026" width="22.7109375" style="158" customWidth="1"/>
    <col min="1027" max="1028" width="10.7109375" style="158" customWidth="1"/>
    <col min="1029" max="1029" width="3.7109375" style="158" customWidth="1"/>
    <col min="1030" max="1031" width="10.7109375" style="158" customWidth="1"/>
    <col min="1032" max="1032" width="2.7109375" style="158" customWidth="1"/>
    <col min="1033" max="1033" width="9.140625" style="158"/>
    <col min="1034" max="1035" width="10.7109375" style="158" customWidth="1"/>
    <col min="1036" max="1036" width="9.140625" style="158"/>
    <col min="1037" max="1037" width="1.7109375" style="158" customWidth="1"/>
    <col min="1038" max="1039" width="10.7109375" style="158" customWidth="1"/>
    <col min="1040" max="1040" width="9.140625" style="158"/>
    <col min="1041" max="1042" width="1.7109375" style="158" customWidth="1"/>
    <col min="1043" max="1044" width="10.7109375" style="158" customWidth="1"/>
    <col min="1045" max="1281" width="9.140625" style="158"/>
    <col min="1282" max="1282" width="22.7109375" style="158" customWidth="1"/>
    <col min="1283" max="1284" width="10.7109375" style="158" customWidth="1"/>
    <col min="1285" max="1285" width="3.7109375" style="158" customWidth="1"/>
    <col min="1286" max="1287" width="10.7109375" style="158" customWidth="1"/>
    <col min="1288" max="1288" width="2.7109375" style="158" customWidth="1"/>
    <col min="1289" max="1289" width="9.140625" style="158"/>
    <col min="1290" max="1291" width="10.7109375" style="158" customWidth="1"/>
    <col min="1292" max="1292" width="9.140625" style="158"/>
    <col min="1293" max="1293" width="1.7109375" style="158" customWidth="1"/>
    <col min="1294" max="1295" width="10.7109375" style="158" customWidth="1"/>
    <col min="1296" max="1296" width="9.140625" style="158"/>
    <col min="1297" max="1298" width="1.7109375" style="158" customWidth="1"/>
    <col min="1299" max="1300" width="10.7109375" style="158" customWidth="1"/>
    <col min="1301" max="1537" width="9.140625" style="158"/>
    <col min="1538" max="1538" width="22.7109375" style="158" customWidth="1"/>
    <col min="1539" max="1540" width="10.7109375" style="158" customWidth="1"/>
    <col min="1541" max="1541" width="3.7109375" style="158" customWidth="1"/>
    <col min="1542" max="1543" width="10.7109375" style="158" customWidth="1"/>
    <col min="1544" max="1544" width="2.7109375" style="158" customWidth="1"/>
    <col min="1545" max="1545" width="9.140625" style="158"/>
    <col min="1546" max="1547" width="10.7109375" style="158" customWidth="1"/>
    <col min="1548" max="1548" width="9.140625" style="158"/>
    <col min="1549" max="1549" width="1.7109375" style="158" customWidth="1"/>
    <col min="1550" max="1551" width="10.7109375" style="158" customWidth="1"/>
    <col min="1552" max="1552" width="9.140625" style="158"/>
    <col min="1553" max="1554" width="1.7109375" style="158" customWidth="1"/>
    <col min="1555" max="1556" width="10.7109375" style="158" customWidth="1"/>
    <col min="1557" max="1793" width="9.140625" style="158"/>
    <col min="1794" max="1794" width="22.7109375" style="158" customWidth="1"/>
    <col min="1795" max="1796" width="10.7109375" style="158" customWidth="1"/>
    <col min="1797" max="1797" width="3.7109375" style="158" customWidth="1"/>
    <col min="1798" max="1799" width="10.7109375" style="158" customWidth="1"/>
    <col min="1800" max="1800" width="2.7109375" style="158" customWidth="1"/>
    <col min="1801" max="1801" width="9.140625" style="158"/>
    <col min="1802" max="1803" width="10.7109375" style="158" customWidth="1"/>
    <col min="1804" max="1804" width="9.140625" style="158"/>
    <col min="1805" max="1805" width="1.7109375" style="158" customWidth="1"/>
    <col min="1806" max="1807" width="10.7109375" style="158" customWidth="1"/>
    <col min="1808" max="1808" width="9.140625" style="158"/>
    <col min="1809" max="1810" width="1.7109375" style="158" customWidth="1"/>
    <col min="1811" max="1812" width="10.7109375" style="158" customWidth="1"/>
    <col min="1813" max="2049" width="9.140625" style="158"/>
    <col min="2050" max="2050" width="22.7109375" style="158" customWidth="1"/>
    <col min="2051" max="2052" width="10.7109375" style="158" customWidth="1"/>
    <col min="2053" max="2053" width="3.7109375" style="158" customWidth="1"/>
    <col min="2054" max="2055" width="10.7109375" style="158" customWidth="1"/>
    <col min="2056" max="2056" width="2.7109375" style="158" customWidth="1"/>
    <col min="2057" max="2057" width="9.140625" style="158"/>
    <col min="2058" max="2059" width="10.7109375" style="158" customWidth="1"/>
    <col min="2060" max="2060" width="9.140625" style="158"/>
    <col min="2061" max="2061" width="1.7109375" style="158" customWidth="1"/>
    <col min="2062" max="2063" width="10.7109375" style="158" customWidth="1"/>
    <col min="2064" max="2064" width="9.140625" style="158"/>
    <col min="2065" max="2066" width="1.7109375" style="158" customWidth="1"/>
    <col min="2067" max="2068" width="10.7109375" style="158" customWidth="1"/>
    <col min="2069" max="2305" width="9.140625" style="158"/>
    <col min="2306" max="2306" width="22.7109375" style="158" customWidth="1"/>
    <col min="2307" max="2308" width="10.7109375" style="158" customWidth="1"/>
    <col min="2309" max="2309" width="3.7109375" style="158" customWidth="1"/>
    <col min="2310" max="2311" width="10.7109375" style="158" customWidth="1"/>
    <col min="2312" max="2312" width="2.7109375" style="158" customWidth="1"/>
    <col min="2313" max="2313" width="9.140625" style="158"/>
    <col min="2314" max="2315" width="10.7109375" style="158" customWidth="1"/>
    <col min="2316" max="2316" width="9.140625" style="158"/>
    <col min="2317" max="2317" width="1.7109375" style="158" customWidth="1"/>
    <col min="2318" max="2319" width="10.7109375" style="158" customWidth="1"/>
    <col min="2320" max="2320" width="9.140625" style="158"/>
    <col min="2321" max="2322" width="1.7109375" style="158" customWidth="1"/>
    <col min="2323" max="2324" width="10.7109375" style="158" customWidth="1"/>
    <col min="2325" max="2561" width="9.140625" style="158"/>
    <col min="2562" max="2562" width="22.7109375" style="158" customWidth="1"/>
    <col min="2563" max="2564" width="10.7109375" style="158" customWidth="1"/>
    <col min="2565" max="2565" width="3.7109375" style="158" customWidth="1"/>
    <col min="2566" max="2567" width="10.7109375" style="158" customWidth="1"/>
    <col min="2568" max="2568" width="2.7109375" style="158" customWidth="1"/>
    <col min="2569" max="2569" width="9.140625" style="158"/>
    <col min="2570" max="2571" width="10.7109375" style="158" customWidth="1"/>
    <col min="2572" max="2572" width="9.140625" style="158"/>
    <col min="2573" max="2573" width="1.7109375" style="158" customWidth="1"/>
    <col min="2574" max="2575" width="10.7109375" style="158" customWidth="1"/>
    <col min="2576" max="2576" width="9.140625" style="158"/>
    <col min="2577" max="2578" width="1.7109375" style="158" customWidth="1"/>
    <col min="2579" max="2580" width="10.7109375" style="158" customWidth="1"/>
    <col min="2581" max="2817" width="9.140625" style="158"/>
    <col min="2818" max="2818" width="22.7109375" style="158" customWidth="1"/>
    <col min="2819" max="2820" width="10.7109375" style="158" customWidth="1"/>
    <col min="2821" max="2821" width="3.7109375" style="158" customWidth="1"/>
    <col min="2822" max="2823" width="10.7109375" style="158" customWidth="1"/>
    <col min="2824" max="2824" width="2.7109375" style="158" customWidth="1"/>
    <col min="2825" max="2825" width="9.140625" style="158"/>
    <col min="2826" max="2827" width="10.7109375" style="158" customWidth="1"/>
    <col min="2828" max="2828" width="9.140625" style="158"/>
    <col min="2829" max="2829" width="1.7109375" style="158" customWidth="1"/>
    <col min="2830" max="2831" width="10.7109375" style="158" customWidth="1"/>
    <col min="2832" max="2832" width="9.140625" style="158"/>
    <col min="2833" max="2834" width="1.7109375" style="158" customWidth="1"/>
    <col min="2835" max="2836" width="10.7109375" style="158" customWidth="1"/>
    <col min="2837" max="3073" width="9.140625" style="158"/>
    <col min="3074" max="3074" width="22.7109375" style="158" customWidth="1"/>
    <col min="3075" max="3076" width="10.7109375" style="158" customWidth="1"/>
    <col min="3077" max="3077" width="3.7109375" style="158" customWidth="1"/>
    <col min="3078" max="3079" width="10.7109375" style="158" customWidth="1"/>
    <col min="3080" max="3080" width="2.7109375" style="158" customWidth="1"/>
    <col min="3081" max="3081" width="9.140625" style="158"/>
    <col min="3082" max="3083" width="10.7109375" style="158" customWidth="1"/>
    <col min="3084" max="3084" width="9.140625" style="158"/>
    <col min="3085" max="3085" width="1.7109375" style="158" customWidth="1"/>
    <col min="3086" max="3087" width="10.7109375" style="158" customWidth="1"/>
    <col min="3088" max="3088" width="9.140625" style="158"/>
    <col min="3089" max="3090" width="1.7109375" style="158" customWidth="1"/>
    <col min="3091" max="3092" width="10.7109375" style="158" customWidth="1"/>
    <col min="3093" max="3329" width="9.140625" style="158"/>
    <col min="3330" max="3330" width="22.7109375" style="158" customWidth="1"/>
    <col min="3331" max="3332" width="10.7109375" style="158" customWidth="1"/>
    <col min="3333" max="3333" width="3.7109375" style="158" customWidth="1"/>
    <col min="3334" max="3335" width="10.7109375" style="158" customWidth="1"/>
    <col min="3336" max="3336" width="2.7109375" style="158" customWidth="1"/>
    <col min="3337" max="3337" width="9.140625" style="158"/>
    <col min="3338" max="3339" width="10.7109375" style="158" customWidth="1"/>
    <col min="3340" max="3340" width="9.140625" style="158"/>
    <col min="3341" max="3341" width="1.7109375" style="158" customWidth="1"/>
    <col min="3342" max="3343" width="10.7109375" style="158" customWidth="1"/>
    <col min="3344" max="3344" width="9.140625" style="158"/>
    <col min="3345" max="3346" width="1.7109375" style="158" customWidth="1"/>
    <col min="3347" max="3348" width="10.7109375" style="158" customWidth="1"/>
    <col min="3349" max="3585" width="9.140625" style="158"/>
    <col min="3586" max="3586" width="22.7109375" style="158" customWidth="1"/>
    <col min="3587" max="3588" width="10.7109375" style="158" customWidth="1"/>
    <col min="3589" max="3589" width="3.7109375" style="158" customWidth="1"/>
    <col min="3590" max="3591" width="10.7109375" style="158" customWidth="1"/>
    <col min="3592" max="3592" width="2.7109375" style="158" customWidth="1"/>
    <col min="3593" max="3593" width="9.140625" style="158"/>
    <col min="3594" max="3595" width="10.7109375" style="158" customWidth="1"/>
    <col min="3596" max="3596" width="9.140625" style="158"/>
    <col min="3597" max="3597" width="1.7109375" style="158" customWidth="1"/>
    <col min="3598" max="3599" width="10.7109375" style="158" customWidth="1"/>
    <col min="3600" max="3600" width="9.140625" style="158"/>
    <col min="3601" max="3602" width="1.7109375" style="158" customWidth="1"/>
    <col min="3603" max="3604" width="10.7109375" style="158" customWidth="1"/>
    <col min="3605" max="3841" width="9.140625" style="158"/>
    <col min="3842" max="3842" width="22.7109375" style="158" customWidth="1"/>
    <col min="3843" max="3844" width="10.7109375" style="158" customWidth="1"/>
    <col min="3845" max="3845" width="3.7109375" style="158" customWidth="1"/>
    <col min="3846" max="3847" width="10.7109375" style="158" customWidth="1"/>
    <col min="3848" max="3848" width="2.7109375" style="158" customWidth="1"/>
    <col min="3849" max="3849" width="9.140625" style="158"/>
    <col min="3850" max="3851" width="10.7109375" style="158" customWidth="1"/>
    <col min="3852" max="3852" width="9.140625" style="158"/>
    <col min="3853" max="3853" width="1.7109375" style="158" customWidth="1"/>
    <col min="3854" max="3855" width="10.7109375" style="158" customWidth="1"/>
    <col min="3856" max="3856" width="9.140625" style="158"/>
    <col min="3857" max="3858" width="1.7109375" style="158" customWidth="1"/>
    <col min="3859" max="3860" width="10.7109375" style="158" customWidth="1"/>
    <col min="3861" max="4097" width="9.140625" style="158"/>
    <col min="4098" max="4098" width="22.7109375" style="158" customWidth="1"/>
    <col min="4099" max="4100" width="10.7109375" style="158" customWidth="1"/>
    <col min="4101" max="4101" width="3.7109375" style="158" customWidth="1"/>
    <col min="4102" max="4103" width="10.7109375" style="158" customWidth="1"/>
    <col min="4104" max="4104" width="2.7109375" style="158" customWidth="1"/>
    <col min="4105" max="4105" width="9.140625" style="158"/>
    <col min="4106" max="4107" width="10.7109375" style="158" customWidth="1"/>
    <col min="4108" max="4108" width="9.140625" style="158"/>
    <col min="4109" max="4109" width="1.7109375" style="158" customWidth="1"/>
    <col min="4110" max="4111" width="10.7109375" style="158" customWidth="1"/>
    <col min="4112" max="4112" width="9.140625" style="158"/>
    <col min="4113" max="4114" width="1.7109375" style="158" customWidth="1"/>
    <col min="4115" max="4116" width="10.7109375" style="158" customWidth="1"/>
    <col min="4117" max="4353" width="9.140625" style="158"/>
    <col min="4354" max="4354" width="22.7109375" style="158" customWidth="1"/>
    <col min="4355" max="4356" width="10.7109375" style="158" customWidth="1"/>
    <col min="4357" max="4357" width="3.7109375" style="158" customWidth="1"/>
    <col min="4358" max="4359" width="10.7109375" style="158" customWidth="1"/>
    <col min="4360" max="4360" width="2.7109375" style="158" customWidth="1"/>
    <col min="4361" max="4361" width="9.140625" style="158"/>
    <col min="4362" max="4363" width="10.7109375" style="158" customWidth="1"/>
    <col min="4364" max="4364" width="9.140625" style="158"/>
    <col min="4365" max="4365" width="1.7109375" style="158" customWidth="1"/>
    <col min="4366" max="4367" width="10.7109375" style="158" customWidth="1"/>
    <col min="4368" max="4368" width="9.140625" style="158"/>
    <col min="4369" max="4370" width="1.7109375" style="158" customWidth="1"/>
    <col min="4371" max="4372" width="10.7109375" style="158" customWidth="1"/>
    <col min="4373" max="4609" width="9.140625" style="158"/>
    <col min="4610" max="4610" width="22.7109375" style="158" customWidth="1"/>
    <col min="4611" max="4612" width="10.7109375" style="158" customWidth="1"/>
    <col min="4613" max="4613" width="3.7109375" style="158" customWidth="1"/>
    <col min="4614" max="4615" width="10.7109375" style="158" customWidth="1"/>
    <col min="4616" max="4616" width="2.7109375" style="158" customWidth="1"/>
    <col min="4617" max="4617" width="9.140625" style="158"/>
    <col min="4618" max="4619" width="10.7109375" style="158" customWidth="1"/>
    <col min="4620" max="4620" width="9.140625" style="158"/>
    <col min="4621" max="4621" width="1.7109375" style="158" customWidth="1"/>
    <col min="4622" max="4623" width="10.7109375" style="158" customWidth="1"/>
    <col min="4624" max="4624" width="9.140625" style="158"/>
    <col min="4625" max="4626" width="1.7109375" style="158" customWidth="1"/>
    <col min="4627" max="4628" width="10.7109375" style="158" customWidth="1"/>
    <col min="4629" max="4865" width="9.140625" style="158"/>
    <col min="4866" max="4866" width="22.7109375" style="158" customWidth="1"/>
    <col min="4867" max="4868" width="10.7109375" style="158" customWidth="1"/>
    <col min="4869" max="4869" width="3.7109375" style="158" customWidth="1"/>
    <col min="4870" max="4871" width="10.7109375" style="158" customWidth="1"/>
    <col min="4872" max="4872" width="2.7109375" style="158" customWidth="1"/>
    <col min="4873" max="4873" width="9.140625" style="158"/>
    <col min="4874" max="4875" width="10.7109375" style="158" customWidth="1"/>
    <col min="4876" max="4876" width="9.140625" style="158"/>
    <col min="4877" max="4877" width="1.7109375" style="158" customWidth="1"/>
    <col min="4878" max="4879" width="10.7109375" style="158" customWidth="1"/>
    <col min="4880" max="4880" width="9.140625" style="158"/>
    <col min="4881" max="4882" width="1.7109375" style="158" customWidth="1"/>
    <col min="4883" max="4884" width="10.7109375" style="158" customWidth="1"/>
    <col min="4885" max="5121" width="9.140625" style="158"/>
    <col min="5122" max="5122" width="22.7109375" style="158" customWidth="1"/>
    <col min="5123" max="5124" width="10.7109375" style="158" customWidth="1"/>
    <col min="5125" max="5125" width="3.7109375" style="158" customWidth="1"/>
    <col min="5126" max="5127" width="10.7109375" style="158" customWidth="1"/>
    <col min="5128" max="5128" width="2.7109375" style="158" customWidth="1"/>
    <col min="5129" max="5129" width="9.140625" style="158"/>
    <col min="5130" max="5131" width="10.7109375" style="158" customWidth="1"/>
    <col min="5132" max="5132" width="9.140625" style="158"/>
    <col min="5133" max="5133" width="1.7109375" style="158" customWidth="1"/>
    <col min="5134" max="5135" width="10.7109375" style="158" customWidth="1"/>
    <col min="5136" max="5136" width="9.140625" style="158"/>
    <col min="5137" max="5138" width="1.7109375" style="158" customWidth="1"/>
    <col min="5139" max="5140" width="10.7109375" style="158" customWidth="1"/>
    <col min="5141" max="5377" width="9.140625" style="158"/>
    <col min="5378" max="5378" width="22.7109375" style="158" customWidth="1"/>
    <col min="5379" max="5380" width="10.7109375" style="158" customWidth="1"/>
    <col min="5381" max="5381" width="3.7109375" style="158" customWidth="1"/>
    <col min="5382" max="5383" width="10.7109375" style="158" customWidth="1"/>
    <col min="5384" max="5384" width="2.7109375" style="158" customWidth="1"/>
    <col min="5385" max="5385" width="9.140625" style="158"/>
    <col min="5386" max="5387" width="10.7109375" style="158" customWidth="1"/>
    <col min="5388" max="5388" width="9.140625" style="158"/>
    <col min="5389" max="5389" width="1.7109375" style="158" customWidth="1"/>
    <col min="5390" max="5391" width="10.7109375" style="158" customWidth="1"/>
    <col min="5392" max="5392" width="9.140625" style="158"/>
    <col min="5393" max="5394" width="1.7109375" style="158" customWidth="1"/>
    <col min="5395" max="5396" width="10.7109375" style="158" customWidth="1"/>
    <col min="5397" max="5633" width="9.140625" style="158"/>
    <col min="5634" max="5634" width="22.7109375" style="158" customWidth="1"/>
    <col min="5635" max="5636" width="10.7109375" style="158" customWidth="1"/>
    <col min="5637" max="5637" width="3.7109375" style="158" customWidth="1"/>
    <col min="5638" max="5639" width="10.7109375" style="158" customWidth="1"/>
    <col min="5640" max="5640" width="2.7109375" style="158" customWidth="1"/>
    <col min="5641" max="5641" width="9.140625" style="158"/>
    <col min="5642" max="5643" width="10.7109375" style="158" customWidth="1"/>
    <col min="5644" max="5644" width="9.140625" style="158"/>
    <col min="5645" max="5645" width="1.7109375" style="158" customWidth="1"/>
    <col min="5646" max="5647" width="10.7109375" style="158" customWidth="1"/>
    <col min="5648" max="5648" width="9.140625" style="158"/>
    <col min="5649" max="5650" width="1.7109375" style="158" customWidth="1"/>
    <col min="5651" max="5652" width="10.7109375" style="158" customWidth="1"/>
    <col min="5653" max="5889" width="9.140625" style="158"/>
    <col min="5890" max="5890" width="22.7109375" style="158" customWidth="1"/>
    <col min="5891" max="5892" width="10.7109375" style="158" customWidth="1"/>
    <col min="5893" max="5893" width="3.7109375" style="158" customWidth="1"/>
    <col min="5894" max="5895" width="10.7109375" style="158" customWidth="1"/>
    <col min="5896" max="5896" width="2.7109375" style="158" customWidth="1"/>
    <col min="5897" max="5897" width="9.140625" style="158"/>
    <col min="5898" max="5899" width="10.7109375" style="158" customWidth="1"/>
    <col min="5900" max="5900" width="9.140625" style="158"/>
    <col min="5901" max="5901" width="1.7109375" style="158" customWidth="1"/>
    <col min="5902" max="5903" width="10.7109375" style="158" customWidth="1"/>
    <col min="5904" max="5904" width="9.140625" style="158"/>
    <col min="5905" max="5906" width="1.7109375" style="158" customWidth="1"/>
    <col min="5907" max="5908" width="10.7109375" style="158" customWidth="1"/>
    <col min="5909" max="6145" width="9.140625" style="158"/>
    <col min="6146" max="6146" width="22.7109375" style="158" customWidth="1"/>
    <col min="6147" max="6148" width="10.7109375" style="158" customWidth="1"/>
    <col min="6149" max="6149" width="3.7109375" style="158" customWidth="1"/>
    <col min="6150" max="6151" width="10.7109375" style="158" customWidth="1"/>
    <col min="6152" max="6152" width="2.7109375" style="158" customWidth="1"/>
    <col min="6153" max="6153" width="9.140625" style="158"/>
    <col min="6154" max="6155" width="10.7109375" style="158" customWidth="1"/>
    <col min="6156" max="6156" width="9.140625" style="158"/>
    <col min="6157" max="6157" width="1.7109375" style="158" customWidth="1"/>
    <col min="6158" max="6159" width="10.7109375" style="158" customWidth="1"/>
    <col min="6160" max="6160" width="9.140625" style="158"/>
    <col min="6161" max="6162" width="1.7109375" style="158" customWidth="1"/>
    <col min="6163" max="6164" width="10.7109375" style="158" customWidth="1"/>
    <col min="6165" max="6401" width="9.140625" style="158"/>
    <col min="6402" max="6402" width="22.7109375" style="158" customWidth="1"/>
    <col min="6403" max="6404" width="10.7109375" style="158" customWidth="1"/>
    <col min="6405" max="6405" width="3.7109375" style="158" customWidth="1"/>
    <col min="6406" max="6407" width="10.7109375" style="158" customWidth="1"/>
    <col min="6408" max="6408" width="2.7109375" style="158" customWidth="1"/>
    <col min="6409" max="6409" width="9.140625" style="158"/>
    <col min="6410" max="6411" width="10.7109375" style="158" customWidth="1"/>
    <col min="6412" max="6412" width="9.140625" style="158"/>
    <col min="6413" max="6413" width="1.7109375" style="158" customWidth="1"/>
    <col min="6414" max="6415" width="10.7109375" style="158" customWidth="1"/>
    <col min="6416" max="6416" width="9.140625" style="158"/>
    <col min="6417" max="6418" width="1.7109375" style="158" customWidth="1"/>
    <col min="6419" max="6420" width="10.7109375" style="158" customWidth="1"/>
    <col min="6421" max="6657" width="9.140625" style="158"/>
    <col min="6658" max="6658" width="22.7109375" style="158" customWidth="1"/>
    <col min="6659" max="6660" width="10.7109375" style="158" customWidth="1"/>
    <col min="6661" max="6661" width="3.7109375" style="158" customWidth="1"/>
    <col min="6662" max="6663" width="10.7109375" style="158" customWidth="1"/>
    <col min="6664" max="6664" width="2.7109375" style="158" customWidth="1"/>
    <col min="6665" max="6665" width="9.140625" style="158"/>
    <col min="6666" max="6667" width="10.7109375" style="158" customWidth="1"/>
    <col min="6668" max="6668" width="9.140625" style="158"/>
    <col min="6669" max="6669" width="1.7109375" style="158" customWidth="1"/>
    <col min="6670" max="6671" width="10.7109375" style="158" customWidth="1"/>
    <col min="6672" max="6672" width="9.140625" style="158"/>
    <col min="6673" max="6674" width="1.7109375" style="158" customWidth="1"/>
    <col min="6675" max="6676" width="10.7109375" style="158" customWidth="1"/>
    <col min="6677" max="6913" width="9.140625" style="158"/>
    <col min="6914" max="6914" width="22.7109375" style="158" customWidth="1"/>
    <col min="6915" max="6916" width="10.7109375" style="158" customWidth="1"/>
    <col min="6917" max="6917" width="3.7109375" style="158" customWidth="1"/>
    <col min="6918" max="6919" width="10.7109375" style="158" customWidth="1"/>
    <col min="6920" max="6920" width="2.7109375" style="158" customWidth="1"/>
    <col min="6921" max="6921" width="9.140625" style="158"/>
    <col min="6922" max="6923" width="10.7109375" style="158" customWidth="1"/>
    <col min="6924" max="6924" width="9.140625" style="158"/>
    <col min="6925" max="6925" width="1.7109375" style="158" customWidth="1"/>
    <col min="6926" max="6927" width="10.7109375" style="158" customWidth="1"/>
    <col min="6928" max="6928" width="9.140625" style="158"/>
    <col min="6929" max="6930" width="1.7109375" style="158" customWidth="1"/>
    <col min="6931" max="6932" width="10.7109375" style="158" customWidth="1"/>
    <col min="6933" max="7169" width="9.140625" style="158"/>
    <col min="7170" max="7170" width="22.7109375" style="158" customWidth="1"/>
    <col min="7171" max="7172" width="10.7109375" style="158" customWidth="1"/>
    <col min="7173" max="7173" width="3.7109375" style="158" customWidth="1"/>
    <col min="7174" max="7175" width="10.7109375" style="158" customWidth="1"/>
    <col min="7176" max="7176" width="2.7109375" style="158" customWidth="1"/>
    <col min="7177" max="7177" width="9.140625" style="158"/>
    <col min="7178" max="7179" width="10.7109375" style="158" customWidth="1"/>
    <col min="7180" max="7180" width="9.140625" style="158"/>
    <col min="7181" max="7181" width="1.7109375" style="158" customWidth="1"/>
    <col min="7182" max="7183" width="10.7109375" style="158" customWidth="1"/>
    <col min="7184" max="7184" width="9.140625" style="158"/>
    <col min="7185" max="7186" width="1.7109375" style="158" customWidth="1"/>
    <col min="7187" max="7188" width="10.7109375" style="158" customWidth="1"/>
    <col min="7189" max="7425" width="9.140625" style="158"/>
    <col min="7426" max="7426" width="22.7109375" style="158" customWidth="1"/>
    <col min="7427" max="7428" width="10.7109375" style="158" customWidth="1"/>
    <col min="7429" max="7429" width="3.7109375" style="158" customWidth="1"/>
    <col min="7430" max="7431" width="10.7109375" style="158" customWidth="1"/>
    <col min="7432" max="7432" width="2.7109375" style="158" customWidth="1"/>
    <col min="7433" max="7433" width="9.140625" style="158"/>
    <col min="7434" max="7435" width="10.7109375" style="158" customWidth="1"/>
    <col min="7436" max="7436" width="9.140625" style="158"/>
    <col min="7437" max="7437" width="1.7109375" style="158" customWidth="1"/>
    <col min="7438" max="7439" width="10.7109375" style="158" customWidth="1"/>
    <col min="7440" max="7440" width="9.140625" style="158"/>
    <col min="7441" max="7442" width="1.7109375" style="158" customWidth="1"/>
    <col min="7443" max="7444" width="10.7109375" style="158" customWidth="1"/>
    <col min="7445" max="7681" width="9.140625" style="158"/>
    <col min="7682" max="7682" width="22.7109375" style="158" customWidth="1"/>
    <col min="7683" max="7684" width="10.7109375" style="158" customWidth="1"/>
    <col min="7685" max="7685" width="3.7109375" style="158" customWidth="1"/>
    <col min="7686" max="7687" width="10.7109375" style="158" customWidth="1"/>
    <col min="7688" max="7688" width="2.7109375" style="158" customWidth="1"/>
    <col min="7689" max="7689" width="9.140625" style="158"/>
    <col min="7690" max="7691" width="10.7109375" style="158" customWidth="1"/>
    <col min="7692" max="7692" width="9.140625" style="158"/>
    <col min="7693" max="7693" width="1.7109375" style="158" customWidth="1"/>
    <col min="7694" max="7695" width="10.7109375" style="158" customWidth="1"/>
    <col min="7696" max="7696" width="9.140625" style="158"/>
    <col min="7697" max="7698" width="1.7109375" style="158" customWidth="1"/>
    <col min="7699" max="7700" width="10.7109375" style="158" customWidth="1"/>
    <col min="7701" max="7937" width="9.140625" style="158"/>
    <col min="7938" max="7938" width="22.7109375" style="158" customWidth="1"/>
    <col min="7939" max="7940" width="10.7109375" style="158" customWidth="1"/>
    <col min="7941" max="7941" width="3.7109375" style="158" customWidth="1"/>
    <col min="7942" max="7943" width="10.7109375" style="158" customWidth="1"/>
    <col min="7944" max="7944" width="2.7109375" style="158" customWidth="1"/>
    <col min="7945" max="7945" width="9.140625" style="158"/>
    <col min="7946" max="7947" width="10.7109375" style="158" customWidth="1"/>
    <col min="7948" max="7948" width="9.140625" style="158"/>
    <col min="7949" max="7949" width="1.7109375" style="158" customWidth="1"/>
    <col min="7950" max="7951" width="10.7109375" style="158" customWidth="1"/>
    <col min="7952" max="7952" width="9.140625" style="158"/>
    <col min="7953" max="7954" width="1.7109375" style="158" customWidth="1"/>
    <col min="7955" max="7956" width="10.7109375" style="158" customWidth="1"/>
    <col min="7957" max="8193" width="9.140625" style="158"/>
    <col min="8194" max="8194" width="22.7109375" style="158" customWidth="1"/>
    <col min="8195" max="8196" width="10.7109375" style="158" customWidth="1"/>
    <col min="8197" max="8197" width="3.7109375" style="158" customWidth="1"/>
    <col min="8198" max="8199" width="10.7109375" style="158" customWidth="1"/>
    <col min="8200" max="8200" width="2.7109375" style="158" customWidth="1"/>
    <col min="8201" max="8201" width="9.140625" style="158"/>
    <col min="8202" max="8203" width="10.7109375" style="158" customWidth="1"/>
    <col min="8204" max="8204" width="9.140625" style="158"/>
    <col min="8205" max="8205" width="1.7109375" style="158" customWidth="1"/>
    <col min="8206" max="8207" width="10.7109375" style="158" customWidth="1"/>
    <col min="8208" max="8208" width="9.140625" style="158"/>
    <col min="8209" max="8210" width="1.7109375" style="158" customWidth="1"/>
    <col min="8211" max="8212" width="10.7109375" style="158" customWidth="1"/>
    <col min="8213" max="8449" width="9.140625" style="158"/>
    <col min="8450" max="8450" width="22.7109375" style="158" customWidth="1"/>
    <col min="8451" max="8452" width="10.7109375" style="158" customWidth="1"/>
    <col min="8453" max="8453" width="3.7109375" style="158" customWidth="1"/>
    <col min="8454" max="8455" width="10.7109375" style="158" customWidth="1"/>
    <col min="8456" max="8456" width="2.7109375" style="158" customWidth="1"/>
    <col min="8457" max="8457" width="9.140625" style="158"/>
    <col min="8458" max="8459" width="10.7109375" style="158" customWidth="1"/>
    <col min="8460" max="8460" width="9.140625" style="158"/>
    <col min="8461" max="8461" width="1.7109375" style="158" customWidth="1"/>
    <col min="8462" max="8463" width="10.7109375" style="158" customWidth="1"/>
    <col min="8464" max="8464" width="9.140625" style="158"/>
    <col min="8465" max="8466" width="1.7109375" style="158" customWidth="1"/>
    <col min="8467" max="8468" width="10.7109375" style="158" customWidth="1"/>
    <col min="8469" max="8705" width="9.140625" style="158"/>
    <col min="8706" max="8706" width="22.7109375" style="158" customWidth="1"/>
    <col min="8707" max="8708" width="10.7109375" style="158" customWidth="1"/>
    <col min="8709" max="8709" width="3.7109375" style="158" customWidth="1"/>
    <col min="8710" max="8711" width="10.7109375" style="158" customWidth="1"/>
    <col min="8712" max="8712" width="2.7109375" style="158" customWidth="1"/>
    <col min="8713" max="8713" width="9.140625" style="158"/>
    <col min="8714" max="8715" width="10.7109375" style="158" customWidth="1"/>
    <col min="8716" max="8716" width="9.140625" style="158"/>
    <col min="8717" max="8717" width="1.7109375" style="158" customWidth="1"/>
    <col min="8718" max="8719" width="10.7109375" style="158" customWidth="1"/>
    <col min="8720" max="8720" width="9.140625" style="158"/>
    <col min="8721" max="8722" width="1.7109375" style="158" customWidth="1"/>
    <col min="8723" max="8724" width="10.7109375" style="158" customWidth="1"/>
    <col min="8725" max="8961" width="9.140625" style="158"/>
    <col min="8962" max="8962" width="22.7109375" style="158" customWidth="1"/>
    <col min="8963" max="8964" width="10.7109375" style="158" customWidth="1"/>
    <col min="8965" max="8965" width="3.7109375" style="158" customWidth="1"/>
    <col min="8966" max="8967" width="10.7109375" style="158" customWidth="1"/>
    <col min="8968" max="8968" width="2.7109375" style="158" customWidth="1"/>
    <col min="8969" max="8969" width="9.140625" style="158"/>
    <col min="8970" max="8971" width="10.7109375" style="158" customWidth="1"/>
    <col min="8972" max="8972" width="9.140625" style="158"/>
    <col min="8973" max="8973" width="1.7109375" style="158" customWidth="1"/>
    <col min="8974" max="8975" width="10.7109375" style="158" customWidth="1"/>
    <col min="8976" max="8976" width="9.140625" style="158"/>
    <col min="8977" max="8978" width="1.7109375" style="158" customWidth="1"/>
    <col min="8979" max="8980" width="10.7109375" style="158" customWidth="1"/>
    <col min="8981" max="9217" width="9.140625" style="158"/>
    <col min="9218" max="9218" width="22.7109375" style="158" customWidth="1"/>
    <col min="9219" max="9220" width="10.7109375" style="158" customWidth="1"/>
    <col min="9221" max="9221" width="3.7109375" style="158" customWidth="1"/>
    <col min="9222" max="9223" width="10.7109375" style="158" customWidth="1"/>
    <col min="9224" max="9224" width="2.7109375" style="158" customWidth="1"/>
    <col min="9225" max="9225" width="9.140625" style="158"/>
    <col min="9226" max="9227" width="10.7109375" style="158" customWidth="1"/>
    <col min="9228" max="9228" width="9.140625" style="158"/>
    <col min="9229" max="9229" width="1.7109375" style="158" customWidth="1"/>
    <col min="9230" max="9231" width="10.7109375" style="158" customWidth="1"/>
    <col min="9232" max="9232" width="9.140625" style="158"/>
    <col min="9233" max="9234" width="1.7109375" style="158" customWidth="1"/>
    <col min="9235" max="9236" width="10.7109375" style="158" customWidth="1"/>
    <col min="9237" max="9473" width="9.140625" style="158"/>
    <col min="9474" max="9474" width="22.7109375" style="158" customWidth="1"/>
    <col min="9475" max="9476" width="10.7109375" style="158" customWidth="1"/>
    <col min="9477" max="9477" width="3.7109375" style="158" customWidth="1"/>
    <col min="9478" max="9479" width="10.7109375" style="158" customWidth="1"/>
    <col min="9480" max="9480" width="2.7109375" style="158" customWidth="1"/>
    <col min="9481" max="9481" width="9.140625" style="158"/>
    <col min="9482" max="9483" width="10.7109375" style="158" customWidth="1"/>
    <col min="9484" max="9484" width="9.140625" style="158"/>
    <col min="9485" max="9485" width="1.7109375" style="158" customWidth="1"/>
    <col min="9486" max="9487" width="10.7109375" style="158" customWidth="1"/>
    <col min="9488" max="9488" width="9.140625" style="158"/>
    <col min="9489" max="9490" width="1.7109375" style="158" customWidth="1"/>
    <col min="9491" max="9492" width="10.7109375" style="158" customWidth="1"/>
    <col min="9493" max="9729" width="9.140625" style="158"/>
    <col min="9730" max="9730" width="22.7109375" style="158" customWidth="1"/>
    <col min="9731" max="9732" width="10.7109375" style="158" customWidth="1"/>
    <col min="9733" max="9733" width="3.7109375" style="158" customWidth="1"/>
    <col min="9734" max="9735" width="10.7109375" style="158" customWidth="1"/>
    <col min="9736" max="9736" width="2.7109375" style="158" customWidth="1"/>
    <col min="9737" max="9737" width="9.140625" style="158"/>
    <col min="9738" max="9739" width="10.7109375" style="158" customWidth="1"/>
    <col min="9740" max="9740" width="9.140625" style="158"/>
    <col min="9741" max="9741" width="1.7109375" style="158" customWidth="1"/>
    <col min="9742" max="9743" width="10.7109375" style="158" customWidth="1"/>
    <col min="9744" max="9744" width="9.140625" style="158"/>
    <col min="9745" max="9746" width="1.7109375" style="158" customWidth="1"/>
    <col min="9747" max="9748" width="10.7109375" style="158" customWidth="1"/>
    <col min="9749" max="9985" width="9.140625" style="158"/>
    <col min="9986" max="9986" width="22.7109375" style="158" customWidth="1"/>
    <col min="9987" max="9988" width="10.7109375" style="158" customWidth="1"/>
    <col min="9989" max="9989" width="3.7109375" style="158" customWidth="1"/>
    <col min="9990" max="9991" width="10.7109375" style="158" customWidth="1"/>
    <col min="9992" max="9992" width="2.7109375" style="158" customWidth="1"/>
    <col min="9993" max="9993" width="9.140625" style="158"/>
    <col min="9994" max="9995" width="10.7109375" style="158" customWidth="1"/>
    <col min="9996" max="9996" width="9.140625" style="158"/>
    <col min="9997" max="9997" width="1.7109375" style="158" customWidth="1"/>
    <col min="9998" max="9999" width="10.7109375" style="158" customWidth="1"/>
    <col min="10000" max="10000" width="9.140625" style="158"/>
    <col min="10001" max="10002" width="1.7109375" style="158" customWidth="1"/>
    <col min="10003" max="10004" width="10.7109375" style="158" customWidth="1"/>
    <col min="10005" max="10241" width="9.140625" style="158"/>
    <col min="10242" max="10242" width="22.7109375" style="158" customWidth="1"/>
    <col min="10243" max="10244" width="10.7109375" style="158" customWidth="1"/>
    <col min="10245" max="10245" width="3.7109375" style="158" customWidth="1"/>
    <col min="10246" max="10247" width="10.7109375" style="158" customWidth="1"/>
    <col min="10248" max="10248" width="2.7109375" style="158" customWidth="1"/>
    <col min="10249" max="10249" width="9.140625" style="158"/>
    <col min="10250" max="10251" width="10.7109375" style="158" customWidth="1"/>
    <col min="10252" max="10252" width="9.140625" style="158"/>
    <col min="10253" max="10253" width="1.7109375" style="158" customWidth="1"/>
    <col min="10254" max="10255" width="10.7109375" style="158" customWidth="1"/>
    <col min="10256" max="10256" width="9.140625" style="158"/>
    <col min="10257" max="10258" width="1.7109375" style="158" customWidth="1"/>
    <col min="10259" max="10260" width="10.7109375" style="158" customWidth="1"/>
    <col min="10261" max="10497" width="9.140625" style="158"/>
    <col min="10498" max="10498" width="22.7109375" style="158" customWidth="1"/>
    <col min="10499" max="10500" width="10.7109375" style="158" customWidth="1"/>
    <col min="10501" max="10501" width="3.7109375" style="158" customWidth="1"/>
    <col min="10502" max="10503" width="10.7109375" style="158" customWidth="1"/>
    <col min="10504" max="10504" width="2.7109375" style="158" customWidth="1"/>
    <col min="10505" max="10505" width="9.140625" style="158"/>
    <col min="10506" max="10507" width="10.7109375" style="158" customWidth="1"/>
    <col min="10508" max="10508" width="9.140625" style="158"/>
    <col min="10509" max="10509" width="1.7109375" style="158" customWidth="1"/>
    <col min="10510" max="10511" width="10.7109375" style="158" customWidth="1"/>
    <col min="10512" max="10512" width="9.140625" style="158"/>
    <col min="10513" max="10514" width="1.7109375" style="158" customWidth="1"/>
    <col min="10515" max="10516" width="10.7109375" style="158" customWidth="1"/>
    <col min="10517" max="10753" width="9.140625" style="158"/>
    <col min="10754" max="10754" width="22.7109375" style="158" customWidth="1"/>
    <col min="10755" max="10756" width="10.7109375" style="158" customWidth="1"/>
    <col min="10757" max="10757" width="3.7109375" style="158" customWidth="1"/>
    <col min="10758" max="10759" width="10.7109375" style="158" customWidth="1"/>
    <col min="10760" max="10760" width="2.7109375" style="158" customWidth="1"/>
    <col min="10761" max="10761" width="9.140625" style="158"/>
    <col min="10762" max="10763" width="10.7109375" style="158" customWidth="1"/>
    <col min="10764" max="10764" width="9.140625" style="158"/>
    <col min="10765" max="10765" width="1.7109375" style="158" customWidth="1"/>
    <col min="10766" max="10767" width="10.7109375" style="158" customWidth="1"/>
    <col min="10768" max="10768" width="9.140625" style="158"/>
    <col min="10769" max="10770" width="1.7109375" style="158" customWidth="1"/>
    <col min="10771" max="10772" width="10.7109375" style="158" customWidth="1"/>
    <col min="10773" max="11009" width="9.140625" style="158"/>
    <col min="11010" max="11010" width="22.7109375" style="158" customWidth="1"/>
    <col min="11011" max="11012" width="10.7109375" style="158" customWidth="1"/>
    <col min="11013" max="11013" width="3.7109375" style="158" customWidth="1"/>
    <col min="11014" max="11015" width="10.7109375" style="158" customWidth="1"/>
    <col min="11016" max="11016" width="2.7109375" style="158" customWidth="1"/>
    <col min="11017" max="11017" width="9.140625" style="158"/>
    <col min="11018" max="11019" width="10.7109375" style="158" customWidth="1"/>
    <col min="11020" max="11020" width="9.140625" style="158"/>
    <col min="11021" max="11021" width="1.7109375" style="158" customWidth="1"/>
    <col min="11022" max="11023" width="10.7109375" style="158" customWidth="1"/>
    <col min="11024" max="11024" width="9.140625" style="158"/>
    <col min="11025" max="11026" width="1.7109375" style="158" customWidth="1"/>
    <col min="11027" max="11028" width="10.7109375" style="158" customWidth="1"/>
    <col min="11029" max="11265" width="9.140625" style="158"/>
    <col min="11266" max="11266" width="22.7109375" style="158" customWidth="1"/>
    <col min="11267" max="11268" width="10.7109375" style="158" customWidth="1"/>
    <col min="11269" max="11269" width="3.7109375" style="158" customWidth="1"/>
    <col min="11270" max="11271" width="10.7109375" style="158" customWidth="1"/>
    <col min="11272" max="11272" width="2.7109375" style="158" customWidth="1"/>
    <col min="11273" max="11273" width="9.140625" style="158"/>
    <col min="11274" max="11275" width="10.7109375" style="158" customWidth="1"/>
    <col min="11276" max="11276" width="9.140625" style="158"/>
    <col min="11277" max="11277" width="1.7109375" style="158" customWidth="1"/>
    <col min="11278" max="11279" width="10.7109375" style="158" customWidth="1"/>
    <col min="11280" max="11280" width="9.140625" style="158"/>
    <col min="11281" max="11282" width="1.7109375" style="158" customWidth="1"/>
    <col min="11283" max="11284" width="10.7109375" style="158" customWidth="1"/>
    <col min="11285" max="11521" width="9.140625" style="158"/>
    <col min="11522" max="11522" width="22.7109375" style="158" customWidth="1"/>
    <col min="11523" max="11524" width="10.7109375" style="158" customWidth="1"/>
    <col min="11525" max="11525" width="3.7109375" style="158" customWidth="1"/>
    <col min="11526" max="11527" width="10.7109375" style="158" customWidth="1"/>
    <col min="11528" max="11528" width="2.7109375" style="158" customWidth="1"/>
    <col min="11529" max="11529" width="9.140625" style="158"/>
    <col min="11530" max="11531" width="10.7109375" style="158" customWidth="1"/>
    <col min="11532" max="11532" width="9.140625" style="158"/>
    <col min="11533" max="11533" width="1.7109375" style="158" customWidth="1"/>
    <col min="11534" max="11535" width="10.7109375" style="158" customWidth="1"/>
    <col min="11536" max="11536" width="9.140625" style="158"/>
    <col min="11537" max="11538" width="1.7109375" style="158" customWidth="1"/>
    <col min="11539" max="11540" width="10.7109375" style="158" customWidth="1"/>
    <col min="11541" max="11777" width="9.140625" style="158"/>
    <col min="11778" max="11778" width="22.7109375" style="158" customWidth="1"/>
    <col min="11779" max="11780" width="10.7109375" style="158" customWidth="1"/>
    <col min="11781" max="11781" width="3.7109375" style="158" customWidth="1"/>
    <col min="11782" max="11783" width="10.7109375" style="158" customWidth="1"/>
    <col min="11784" max="11784" width="2.7109375" style="158" customWidth="1"/>
    <col min="11785" max="11785" width="9.140625" style="158"/>
    <col min="11786" max="11787" width="10.7109375" style="158" customWidth="1"/>
    <col min="11788" max="11788" width="9.140625" style="158"/>
    <col min="11789" max="11789" width="1.7109375" style="158" customWidth="1"/>
    <col min="11790" max="11791" width="10.7109375" style="158" customWidth="1"/>
    <col min="11792" max="11792" width="9.140625" style="158"/>
    <col min="11793" max="11794" width="1.7109375" style="158" customWidth="1"/>
    <col min="11795" max="11796" width="10.7109375" style="158" customWidth="1"/>
    <col min="11797" max="12033" width="9.140625" style="158"/>
    <col min="12034" max="12034" width="22.7109375" style="158" customWidth="1"/>
    <col min="12035" max="12036" width="10.7109375" style="158" customWidth="1"/>
    <col min="12037" max="12037" width="3.7109375" style="158" customWidth="1"/>
    <col min="12038" max="12039" width="10.7109375" style="158" customWidth="1"/>
    <col min="12040" max="12040" width="2.7109375" style="158" customWidth="1"/>
    <col min="12041" max="12041" width="9.140625" style="158"/>
    <col min="12042" max="12043" width="10.7109375" style="158" customWidth="1"/>
    <col min="12044" max="12044" width="9.140625" style="158"/>
    <col min="12045" max="12045" width="1.7109375" style="158" customWidth="1"/>
    <col min="12046" max="12047" width="10.7109375" style="158" customWidth="1"/>
    <col min="12048" max="12048" width="9.140625" style="158"/>
    <col min="12049" max="12050" width="1.7109375" style="158" customWidth="1"/>
    <col min="12051" max="12052" width="10.7109375" style="158" customWidth="1"/>
    <col min="12053" max="12289" width="9.140625" style="158"/>
    <col min="12290" max="12290" width="22.7109375" style="158" customWidth="1"/>
    <col min="12291" max="12292" width="10.7109375" style="158" customWidth="1"/>
    <col min="12293" max="12293" width="3.7109375" style="158" customWidth="1"/>
    <col min="12294" max="12295" width="10.7109375" style="158" customWidth="1"/>
    <col min="12296" max="12296" width="2.7109375" style="158" customWidth="1"/>
    <col min="12297" max="12297" width="9.140625" style="158"/>
    <col min="12298" max="12299" width="10.7109375" style="158" customWidth="1"/>
    <col min="12300" max="12300" width="9.140625" style="158"/>
    <col min="12301" max="12301" width="1.7109375" style="158" customWidth="1"/>
    <col min="12302" max="12303" width="10.7109375" style="158" customWidth="1"/>
    <col min="12304" max="12304" width="9.140625" style="158"/>
    <col min="12305" max="12306" width="1.7109375" style="158" customWidth="1"/>
    <col min="12307" max="12308" width="10.7109375" style="158" customWidth="1"/>
    <col min="12309" max="12545" width="9.140625" style="158"/>
    <col min="12546" max="12546" width="22.7109375" style="158" customWidth="1"/>
    <col min="12547" max="12548" width="10.7109375" style="158" customWidth="1"/>
    <col min="12549" max="12549" width="3.7109375" style="158" customWidth="1"/>
    <col min="12550" max="12551" width="10.7109375" style="158" customWidth="1"/>
    <col min="12552" max="12552" width="2.7109375" style="158" customWidth="1"/>
    <col min="12553" max="12553" width="9.140625" style="158"/>
    <col min="12554" max="12555" width="10.7109375" style="158" customWidth="1"/>
    <col min="12556" max="12556" width="9.140625" style="158"/>
    <col min="12557" max="12557" width="1.7109375" style="158" customWidth="1"/>
    <col min="12558" max="12559" width="10.7109375" style="158" customWidth="1"/>
    <col min="12560" max="12560" width="9.140625" style="158"/>
    <col min="12561" max="12562" width="1.7109375" style="158" customWidth="1"/>
    <col min="12563" max="12564" width="10.7109375" style="158" customWidth="1"/>
    <col min="12565" max="12801" width="9.140625" style="158"/>
    <col min="12802" max="12802" width="22.7109375" style="158" customWidth="1"/>
    <col min="12803" max="12804" width="10.7109375" style="158" customWidth="1"/>
    <col min="12805" max="12805" width="3.7109375" style="158" customWidth="1"/>
    <col min="12806" max="12807" width="10.7109375" style="158" customWidth="1"/>
    <col min="12808" max="12808" width="2.7109375" style="158" customWidth="1"/>
    <col min="12809" max="12809" width="9.140625" style="158"/>
    <col min="12810" max="12811" width="10.7109375" style="158" customWidth="1"/>
    <col min="12812" max="12812" width="9.140625" style="158"/>
    <col min="12813" max="12813" width="1.7109375" style="158" customWidth="1"/>
    <col min="12814" max="12815" width="10.7109375" style="158" customWidth="1"/>
    <col min="12816" max="12816" width="9.140625" style="158"/>
    <col min="12817" max="12818" width="1.7109375" style="158" customWidth="1"/>
    <col min="12819" max="12820" width="10.7109375" style="158" customWidth="1"/>
    <col min="12821" max="13057" width="9.140625" style="158"/>
    <col min="13058" max="13058" width="22.7109375" style="158" customWidth="1"/>
    <col min="13059" max="13060" width="10.7109375" style="158" customWidth="1"/>
    <col min="13061" max="13061" width="3.7109375" style="158" customWidth="1"/>
    <col min="13062" max="13063" width="10.7109375" style="158" customWidth="1"/>
    <col min="13064" max="13064" width="2.7109375" style="158" customWidth="1"/>
    <col min="13065" max="13065" width="9.140625" style="158"/>
    <col min="13066" max="13067" width="10.7109375" style="158" customWidth="1"/>
    <col min="13068" max="13068" width="9.140625" style="158"/>
    <col min="13069" max="13069" width="1.7109375" style="158" customWidth="1"/>
    <col min="13070" max="13071" width="10.7109375" style="158" customWidth="1"/>
    <col min="13072" max="13072" width="9.140625" style="158"/>
    <col min="13073" max="13074" width="1.7109375" style="158" customWidth="1"/>
    <col min="13075" max="13076" width="10.7109375" style="158" customWidth="1"/>
    <col min="13077" max="13313" width="9.140625" style="158"/>
    <col min="13314" max="13314" width="22.7109375" style="158" customWidth="1"/>
    <col min="13315" max="13316" width="10.7109375" style="158" customWidth="1"/>
    <col min="13317" max="13317" width="3.7109375" style="158" customWidth="1"/>
    <col min="13318" max="13319" width="10.7109375" style="158" customWidth="1"/>
    <col min="13320" max="13320" width="2.7109375" style="158" customWidth="1"/>
    <col min="13321" max="13321" width="9.140625" style="158"/>
    <col min="13322" max="13323" width="10.7109375" style="158" customWidth="1"/>
    <col min="13324" max="13324" width="9.140625" style="158"/>
    <col min="13325" max="13325" width="1.7109375" style="158" customWidth="1"/>
    <col min="13326" max="13327" width="10.7109375" style="158" customWidth="1"/>
    <col min="13328" max="13328" width="9.140625" style="158"/>
    <col min="13329" max="13330" width="1.7109375" style="158" customWidth="1"/>
    <col min="13331" max="13332" width="10.7109375" style="158" customWidth="1"/>
    <col min="13333" max="13569" width="9.140625" style="158"/>
    <col min="13570" max="13570" width="22.7109375" style="158" customWidth="1"/>
    <col min="13571" max="13572" width="10.7109375" style="158" customWidth="1"/>
    <col min="13573" max="13573" width="3.7109375" style="158" customWidth="1"/>
    <col min="13574" max="13575" width="10.7109375" style="158" customWidth="1"/>
    <col min="13576" max="13576" width="2.7109375" style="158" customWidth="1"/>
    <col min="13577" max="13577" width="9.140625" style="158"/>
    <col min="13578" max="13579" width="10.7109375" style="158" customWidth="1"/>
    <col min="13580" max="13580" width="9.140625" style="158"/>
    <col min="13581" max="13581" width="1.7109375" style="158" customWidth="1"/>
    <col min="13582" max="13583" width="10.7109375" style="158" customWidth="1"/>
    <col min="13584" max="13584" width="9.140625" style="158"/>
    <col min="13585" max="13586" width="1.7109375" style="158" customWidth="1"/>
    <col min="13587" max="13588" width="10.7109375" style="158" customWidth="1"/>
    <col min="13589" max="13825" width="9.140625" style="158"/>
    <col min="13826" max="13826" width="22.7109375" style="158" customWidth="1"/>
    <col min="13827" max="13828" width="10.7109375" style="158" customWidth="1"/>
    <col min="13829" max="13829" width="3.7109375" style="158" customWidth="1"/>
    <col min="13830" max="13831" width="10.7109375" style="158" customWidth="1"/>
    <col min="13832" max="13832" width="2.7109375" style="158" customWidth="1"/>
    <col min="13833" max="13833" width="9.140625" style="158"/>
    <col min="13834" max="13835" width="10.7109375" style="158" customWidth="1"/>
    <col min="13836" max="13836" width="9.140625" style="158"/>
    <col min="13837" max="13837" width="1.7109375" style="158" customWidth="1"/>
    <col min="13838" max="13839" width="10.7109375" style="158" customWidth="1"/>
    <col min="13840" max="13840" width="9.140625" style="158"/>
    <col min="13841" max="13842" width="1.7109375" style="158" customWidth="1"/>
    <col min="13843" max="13844" width="10.7109375" style="158" customWidth="1"/>
    <col min="13845" max="14081" width="9.140625" style="158"/>
    <col min="14082" max="14082" width="22.7109375" style="158" customWidth="1"/>
    <col min="14083" max="14084" width="10.7109375" style="158" customWidth="1"/>
    <col min="14085" max="14085" width="3.7109375" style="158" customWidth="1"/>
    <col min="14086" max="14087" width="10.7109375" style="158" customWidth="1"/>
    <col min="14088" max="14088" width="2.7109375" style="158" customWidth="1"/>
    <col min="14089" max="14089" width="9.140625" style="158"/>
    <col min="14090" max="14091" width="10.7109375" style="158" customWidth="1"/>
    <col min="14092" max="14092" width="9.140625" style="158"/>
    <col min="14093" max="14093" width="1.7109375" style="158" customWidth="1"/>
    <col min="14094" max="14095" width="10.7109375" style="158" customWidth="1"/>
    <col min="14096" max="14096" width="9.140625" style="158"/>
    <col min="14097" max="14098" width="1.7109375" style="158" customWidth="1"/>
    <col min="14099" max="14100" width="10.7109375" style="158" customWidth="1"/>
    <col min="14101" max="14337" width="9.140625" style="158"/>
    <col min="14338" max="14338" width="22.7109375" style="158" customWidth="1"/>
    <col min="14339" max="14340" width="10.7109375" style="158" customWidth="1"/>
    <col min="14341" max="14341" width="3.7109375" style="158" customWidth="1"/>
    <col min="14342" max="14343" width="10.7109375" style="158" customWidth="1"/>
    <col min="14344" max="14344" width="2.7109375" style="158" customWidth="1"/>
    <col min="14345" max="14345" width="9.140625" style="158"/>
    <col min="14346" max="14347" width="10.7109375" style="158" customWidth="1"/>
    <col min="14348" max="14348" width="9.140625" style="158"/>
    <col min="14349" max="14349" width="1.7109375" style="158" customWidth="1"/>
    <col min="14350" max="14351" width="10.7109375" style="158" customWidth="1"/>
    <col min="14352" max="14352" width="9.140625" style="158"/>
    <col min="14353" max="14354" width="1.7109375" style="158" customWidth="1"/>
    <col min="14355" max="14356" width="10.7109375" style="158" customWidth="1"/>
    <col min="14357" max="14593" width="9.140625" style="158"/>
    <col min="14594" max="14594" width="22.7109375" style="158" customWidth="1"/>
    <col min="14595" max="14596" width="10.7109375" style="158" customWidth="1"/>
    <col min="14597" max="14597" width="3.7109375" style="158" customWidth="1"/>
    <col min="14598" max="14599" width="10.7109375" style="158" customWidth="1"/>
    <col min="14600" max="14600" width="2.7109375" style="158" customWidth="1"/>
    <col min="14601" max="14601" width="9.140625" style="158"/>
    <col min="14602" max="14603" width="10.7109375" style="158" customWidth="1"/>
    <col min="14604" max="14604" width="9.140625" style="158"/>
    <col min="14605" max="14605" width="1.7109375" style="158" customWidth="1"/>
    <col min="14606" max="14607" width="10.7109375" style="158" customWidth="1"/>
    <col min="14608" max="14608" width="9.140625" style="158"/>
    <col min="14609" max="14610" width="1.7109375" style="158" customWidth="1"/>
    <col min="14611" max="14612" width="10.7109375" style="158" customWidth="1"/>
    <col min="14613" max="14849" width="9.140625" style="158"/>
    <col min="14850" max="14850" width="22.7109375" style="158" customWidth="1"/>
    <col min="14851" max="14852" width="10.7109375" style="158" customWidth="1"/>
    <col min="14853" max="14853" width="3.7109375" style="158" customWidth="1"/>
    <col min="14854" max="14855" width="10.7109375" style="158" customWidth="1"/>
    <col min="14856" max="14856" width="2.7109375" style="158" customWidth="1"/>
    <col min="14857" max="14857" width="9.140625" style="158"/>
    <col min="14858" max="14859" width="10.7109375" style="158" customWidth="1"/>
    <col min="14860" max="14860" width="9.140625" style="158"/>
    <col min="14861" max="14861" width="1.7109375" style="158" customWidth="1"/>
    <col min="14862" max="14863" width="10.7109375" style="158" customWidth="1"/>
    <col min="14864" max="14864" width="9.140625" style="158"/>
    <col min="14865" max="14866" width="1.7109375" style="158" customWidth="1"/>
    <col min="14867" max="14868" width="10.7109375" style="158" customWidth="1"/>
    <col min="14869" max="15105" width="9.140625" style="158"/>
    <col min="15106" max="15106" width="22.7109375" style="158" customWidth="1"/>
    <col min="15107" max="15108" width="10.7109375" style="158" customWidth="1"/>
    <col min="15109" max="15109" width="3.7109375" style="158" customWidth="1"/>
    <col min="15110" max="15111" width="10.7109375" style="158" customWidth="1"/>
    <col min="15112" max="15112" width="2.7109375" style="158" customWidth="1"/>
    <col min="15113" max="15113" width="9.140625" style="158"/>
    <col min="15114" max="15115" width="10.7109375" style="158" customWidth="1"/>
    <col min="15116" max="15116" width="9.140625" style="158"/>
    <col min="15117" max="15117" width="1.7109375" style="158" customWidth="1"/>
    <col min="15118" max="15119" width="10.7109375" style="158" customWidth="1"/>
    <col min="15120" max="15120" width="9.140625" style="158"/>
    <col min="15121" max="15122" width="1.7109375" style="158" customWidth="1"/>
    <col min="15123" max="15124" width="10.7109375" style="158" customWidth="1"/>
    <col min="15125" max="15361" width="9.140625" style="158"/>
    <col min="15362" max="15362" width="22.7109375" style="158" customWidth="1"/>
    <col min="15363" max="15364" width="10.7109375" style="158" customWidth="1"/>
    <col min="15365" max="15365" width="3.7109375" style="158" customWidth="1"/>
    <col min="15366" max="15367" width="10.7109375" style="158" customWidth="1"/>
    <col min="15368" max="15368" width="2.7109375" style="158" customWidth="1"/>
    <col min="15369" max="15369" width="9.140625" style="158"/>
    <col min="15370" max="15371" width="10.7109375" style="158" customWidth="1"/>
    <col min="15372" max="15372" width="9.140625" style="158"/>
    <col min="15373" max="15373" width="1.7109375" style="158" customWidth="1"/>
    <col min="15374" max="15375" width="10.7109375" style="158" customWidth="1"/>
    <col min="15376" max="15376" width="9.140625" style="158"/>
    <col min="15377" max="15378" width="1.7109375" style="158" customWidth="1"/>
    <col min="15379" max="15380" width="10.7109375" style="158" customWidth="1"/>
    <col min="15381" max="15617" width="9.140625" style="158"/>
    <col min="15618" max="15618" width="22.7109375" style="158" customWidth="1"/>
    <col min="15619" max="15620" width="10.7109375" style="158" customWidth="1"/>
    <col min="15621" max="15621" width="3.7109375" style="158" customWidth="1"/>
    <col min="15622" max="15623" width="10.7109375" style="158" customWidth="1"/>
    <col min="15624" max="15624" width="2.7109375" style="158" customWidth="1"/>
    <col min="15625" max="15625" width="9.140625" style="158"/>
    <col min="15626" max="15627" width="10.7109375" style="158" customWidth="1"/>
    <col min="15628" max="15628" width="9.140625" style="158"/>
    <col min="15629" max="15629" width="1.7109375" style="158" customWidth="1"/>
    <col min="15630" max="15631" width="10.7109375" style="158" customWidth="1"/>
    <col min="15632" max="15632" width="9.140625" style="158"/>
    <col min="15633" max="15634" width="1.7109375" style="158" customWidth="1"/>
    <col min="15635" max="15636" width="10.7109375" style="158" customWidth="1"/>
    <col min="15637" max="15873" width="9.140625" style="158"/>
    <col min="15874" max="15874" width="22.7109375" style="158" customWidth="1"/>
    <col min="15875" max="15876" width="10.7109375" style="158" customWidth="1"/>
    <col min="15877" max="15877" width="3.7109375" style="158" customWidth="1"/>
    <col min="15878" max="15879" width="10.7109375" style="158" customWidth="1"/>
    <col min="15880" max="15880" width="2.7109375" style="158" customWidth="1"/>
    <col min="15881" max="15881" width="9.140625" style="158"/>
    <col min="15882" max="15883" width="10.7109375" style="158" customWidth="1"/>
    <col min="15884" max="15884" width="9.140625" style="158"/>
    <col min="15885" max="15885" width="1.7109375" style="158" customWidth="1"/>
    <col min="15886" max="15887" width="10.7109375" style="158" customWidth="1"/>
    <col min="15888" max="15888" width="9.140625" style="158"/>
    <col min="15889" max="15890" width="1.7109375" style="158" customWidth="1"/>
    <col min="15891" max="15892" width="10.7109375" style="158" customWidth="1"/>
    <col min="15893" max="16129" width="9.140625" style="158"/>
    <col min="16130" max="16130" width="22.7109375" style="158" customWidth="1"/>
    <col min="16131" max="16132" width="10.7109375" style="158" customWidth="1"/>
    <col min="16133" max="16133" width="3.7109375" style="158" customWidth="1"/>
    <col min="16134" max="16135" width="10.7109375" style="158" customWidth="1"/>
    <col min="16136" max="16136" width="2.7109375" style="158" customWidth="1"/>
    <col min="16137" max="16137" width="9.140625" style="158"/>
    <col min="16138" max="16139" width="10.7109375" style="158" customWidth="1"/>
    <col min="16140" max="16140" width="9.140625" style="158"/>
    <col min="16141" max="16141" width="1.7109375" style="158" customWidth="1"/>
    <col min="16142" max="16143" width="10.7109375" style="158" customWidth="1"/>
    <col min="16144" max="16144" width="9.140625" style="158"/>
    <col min="16145" max="16146" width="1.7109375" style="158" customWidth="1"/>
    <col min="16147" max="16148" width="10.7109375" style="158" customWidth="1"/>
    <col min="16149" max="16384" width="9.140625" style="158"/>
  </cols>
  <sheetData>
    <row r="6" spans="2:20" ht="20.25" x14ac:dyDescent="0.3">
      <c r="B6" s="164" t="s">
        <v>1137</v>
      </c>
    </row>
    <row r="8" spans="2:20" ht="13.5" thickBot="1" x14ac:dyDescent="0.25"/>
    <row r="9" spans="2:20" ht="15.75" x14ac:dyDescent="0.25">
      <c r="B9" s="346" t="s">
        <v>603</v>
      </c>
      <c r="C9" s="397" t="s">
        <v>1</v>
      </c>
      <c r="D9" s="397" t="s">
        <v>15</v>
      </c>
      <c r="E9" s="294"/>
      <c r="F9" s="293" t="s">
        <v>473</v>
      </c>
      <c r="G9" s="296" t="s">
        <v>15</v>
      </c>
      <c r="J9" s="542" t="s">
        <v>498</v>
      </c>
      <c r="K9" s="299"/>
      <c r="N9" s="348" t="s">
        <v>1</v>
      </c>
      <c r="O9" s="349" t="s">
        <v>15</v>
      </c>
      <c r="P9" s="408" t="s">
        <v>504</v>
      </c>
      <c r="S9" s="542" t="s">
        <v>600</v>
      </c>
      <c r="T9" s="299"/>
    </row>
    <row r="10" spans="2:20" x14ac:dyDescent="0.2">
      <c r="B10" s="316"/>
      <c r="C10" s="302" t="s">
        <v>328</v>
      </c>
      <c r="D10" s="302" t="s">
        <v>328</v>
      </c>
      <c r="E10" s="317"/>
      <c r="F10" s="301" t="s">
        <v>3</v>
      </c>
      <c r="G10" s="304" t="s">
        <v>3</v>
      </c>
      <c r="J10" s="320"/>
      <c r="K10" s="322"/>
      <c r="N10" s="351" t="s">
        <v>3</v>
      </c>
      <c r="O10" s="352" t="s">
        <v>3</v>
      </c>
      <c r="P10" s="362" t="s">
        <v>506</v>
      </c>
      <c r="S10" s="320"/>
      <c r="T10" s="322"/>
    </row>
    <row r="11" spans="2:20" x14ac:dyDescent="0.2">
      <c r="B11" s="308" t="s">
        <v>0</v>
      </c>
      <c r="C11" s="398" t="s">
        <v>0</v>
      </c>
      <c r="D11" s="398" t="s">
        <v>0</v>
      </c>
      <c r="E11" s="358"/>
      <c r="F11" s="399" t="s">
        <v>0</v>
      </c>
      <c r="G11" s="400" t="s">
        <v>0</v>
      </c>
      <c r="J11" s="313" t="s">
        <v>476</v>
      </c>
      <c r="K11" s="315" t="s">
        <v>477</v>
      </c>
      <c r="N11" s="351" t="s">
        <v>223</v>
      </c>
      <c r="O11" s="352" t="s">
        <v>223</v>
      </c>
      <c r="P11" s="362" t="s">
        <v>3</v>
      </c>
      <c r="S11" s="313" t="s">
        <v>476</v>
      </c>
      <c r="T11" s="315" t="s">
        <v>477</v>
      </c>
    </row>
    <row r="12" spans="2:20" x14ac:dyDescent="0.2">
      <c r="B12" s="316"/>
      <c r="C12" s="317"/>
      <c r="D12" s="317"/>
      <c r="E12" s="317"/>
      <c r="F12" s="318"/>
      <c r="G12" s="319"/>
      <c r="J12" s="320"/>
      <c r="K12" s="322"/>
      <c r="N12" s="167"/>
      <c r="O12" s="191"/>
      <c r="P12" s="362"/>
      <c r="S12" s="320"/>
      <c r="T12" s="322"/>
    </row>
    <row r="13" spans="2:20" x14ac:dyDescent="0.2">
      <c r="B13" s="316"/>
      <c r="C13" s="317"/>
      <c r="D13" s="317"/>
      <c r="E13" s="317"/>
      <c r="F13" s="318"/>
      <c r="G13" s="319"/>
      <c r="J13" s="320"/>
      <c r="K13" s="322"/>
      <c r="N13" s="167"/>
      <c r="O13" s="191"/>
      <c r="P13" s="362"/>
      <c r="S13" s="320"/>
      <c r="T13" s="322"/>
    </row>
    <row r="14" spans="2:20" x14ac:dyDescent="0.2">
      <c r="B14" s="316" t="s">
        <v>604</v>
      </c>
      <c r="C14" s="323">
        <v>0.3</v>
      </c>
      <c r="D14" s="323">
        <v>0.4</v>
      </c>
      <c r="E14" s="317"/>
      <c r="F14" s="324">
        <v>20</v>
      </c>
      <c r="G14" s="325">
        <v>10</v>
      </c>
      <c r="J14" s="326">
        <f>+(C14-D14)*(G14-G$25)/100</f>
        <v>-7.0000000000000019E-3</v>
      </c>
      <c r="K14" s="328">
        <f>+C14*(F14-G14)/100</f>
        <v>0.03</v>
      </c>
      <c r="N14" s="167">
        <f>+C14*F14</f>
        <v>6</v>
      </c>
      <c r="O14" s="191">
        <f>+D14*G14</f>
        <v>4</v>
      </c>
      <c r="P14" s="362">
        <f>+C14*G14</f>
        <v>3</v>
      </c>
      <c r="S14" s="326">
        <f>(C14-D14)*((1+G14/100)/(1+G$25/100)-1)</f>
        <v>-6.796116504854368E-3</v>
      </c>
      <c r="T14" s="328">
        <f>C14*((1+F14/100)/(1+G14/100)-1)*(1+G14/100)/(1+P$25/100)</f>
        <v>2.9325513196480916E-2</v>
      </c>
    </row>
    <row r="15" spans="2:20" x14ac:dyDescent="0.2">
      <c r="B15" s="316"/>
      <c r="C15" s="323"/>
      <c r="D15" s="323"/>
      <c r="E15" s="317"/>
      <c r="F15" s="324"/>
      <c r="G15" s="325"/>
      <c r="J15" s="320"/>
      <c r="K15" s="322"/>
      <c r="N15" s="167"/>
      <c r="O15" s="191"/>
      <c r="P15" s="362"/>
      <c r="S15" s="320"/>
      <c r="T15" s="322"/>
    </row>
    <row r="16" spans="2:20" x14ac:dyDescent="0.2">
      <c r="B16" s="316" t="s">
        <v>605</v>
      </c>
      <c r="C16" s="323">
        <v>0.7</v>
      </c>
      <c r="D16" s="323">
        <v>0.6</v>
      </c>
      <c r="E16" s="317"/>
      <c r="F16" s="324">
        <v>-5</v>
      </c>
      <c r="G16" s="325">
        <v>-4</v>
      </c>
      <c r="J16" s="326">
        <f>+(C16-D16)*(G16-G$25)/100</f>
        <v>-6.9999999999999984E-3</v>
      </c>
      <c r="K16" s="328">
        <f>+C16*(F16-G16)/100</f>
        <v>-6.9999999999999993E-3</v>
      </c>
      <c r="N16" s="167">
        <f>+C16*F16</f>
        <v>-3.5</v>
      </c>
      <c r="O16" s="191">
        <f>+D16*G16</f>
        <v>-2.4</v>
      </c>
      <c r="P16" s="362">
        <f>+C16*G16</f>
        <v>-2.8</v>
      </c>
      <c r="S16" s="326">
        <f>(C16-D16)*((1+G16/100)/(1+G$25/100)-1)</f>
        <v>-6.7961165048543758E-3</v>
      </c>
      <c r="T16" s="328">
        <f>C16*((1+F16/100)/(1+G16/100)-1)*(1+G16/100)/(1+P$25/100)</f>
        <v>-6.842619745845528E-3</v>
      </c>
    </row>
    <row r="17" spans="2:23" x14ac:dyDescent="0.2">
      <c r="B17" s="316"/>
      <c r="C17" s="323"/>
      <c r="D17" s="323"/>
      <c r="E17" s="317"/>
      <c r="F17" s="324"/>
      <c r="G17" s="325"/>
      <c r="J17" s="326"/>
      <c r="K17" s="328"/>
      <c r="N17" s="167" t="s">
        <v>0</v>
      </c>
      <c r="O17" s="191" t="s">
        <v>0</v>
      </c>
      <c r="P17" s="362" t="s">
        <v>0</v>
      </c>
      <c r="S17" s="326"/>
      <c r="T17" s="328"/>
    </row>
    <row r="18" spans="2:23" x14ac:dyDescent="0.2">
      <c r="B18" s="316" t="s">
        <v>606</v>
      </c>
      <c r="C18" s="323">
        <v>-0.3</v>
      </c>
      <c r="D18" s="323">
        <v>-0.4</v>
      </c>
      <c r="E18" s="317"/>
      <c r="F18" s="324">
        <v>6</v>
      </c>
      <c r="G18" s="325">
        <v>10</v>
      </c>
      <c r="J18" s="326">
        <f>+(C18-D18)*(G18-G$25)/100</f>
        <v>7.0000000000000019E-3</v>
      </c>
      <c r="K18" s="328">
        <f>+C18*(F18-G18)/100</f>
        <v>1.2E-2</v>
      </c>
      <c r="N18" s="167">
        <f>+C18*F18</f>
        <v>-1.7999999999999998</v>
      </c>
      <c r="O18" s="191">
        <f>+D18*G18</f>
        <v>-4</v>
      </c>
      <c r="P18" s="362">
        <f>+C18*G18</f>
        <v>-3</v>
      </c>
      <c r="S18" s="326">
        <f>(C18-D18)*((1+G18/100)/(1+G$25/100)-1)</f>
        <v>6.796116504854368E-3</v>
      </c>
      <c r="T18" s="328">
        <f>C18*((1+F18/100)/(1+G18/100)-1)*(1+G18/100)/(1+P$25/100)</f>
        <v>1.1730205278592381E-2</v>
      </c>
    </row>
    <row r="19" spans="2:23" x14ac:dyDescent="0.2">
      <c r="B19" s="316"/>
      <c r="C19" s="323"/>
      <c r="D19" s="323"/>
      <c r="E19" s="317"/>
      <c r="F19" s="324"/>
      <c r="G19" s="325"/>
      <c r="J19" s="326"/>
      <c r="K19" s="328"/>
      <c r="N19" s="167" t="s">
        <v>0</v>
      </c>
      <c r="O19" s="191" t="s">
        <v>99</v>
      </c>
      <c r="P19" s="362" t="s">
        <v>0</v>
      </c>
      <c r="S19" s="326" t="s">
        <v>0</v>
      </c>
      <c r="T19" s="328"/>
    </row>
    <row r="20" spans="2:23" x14ac:dyDescent="0.2">
      <c r="B20" s="316" t="s">
        <v>607</v>
      </c>
      <c r="C20" s="323">
        <v>-0.6</v>
      </c>
      <c r="D20" s="323">
        <v>-0.6</v>
      </c>
      <c r="E20" s="317"/>
      <c r="F20" s="324">
        <v>-7</v>
      </c>
      <c r="G20" s="325">
        <v>-4</v>
      </c>
      <c r="J20" s="326">
        <f>+(C20-D20)*(G20-G$25)/100</f>
        <v>0</v>
      </c>
      <c r="K20" s="328">
        <f>+C20*(F20-G20)/100</f>
        <v>1.7999999999999999E-2</v>
      </c>
      <c r="N20" s="167">
        <f>+C20*F20</f>
        <v>4.2</v>
      </c>
      <c r="O20" s="191">
        <f>+D20*G20</f>
        <v>2.4</v>
      </c>
      <c r="P20" s="362">
        <f>+C20*G20</f>
        <v>2.4</v>
      </c>
      <c r="S20" s="326">
        <f>(C20-D20)*((1+G20/100)/(1+G$25/100)-1)</f>
        <v>0</v>
      </c>
      <c r="T20" s="328">
        <f>C20*((1+F20/100)/(1+G20/100)-1)*(1+G20/100)/(1+P$25/100)</f>
        <v>1.7595307917888565E-2</v>
      </c>
    </row>
    <row r="21" spans="2:23" x14ac:dyDescent="0.2">
      <c r="B21" s="316"/>
      <c r="C21" s="323"/>
      <c r="D21" s="323"/>
      <c r="E21" s="317"/>
      <c r="F21" s="324"/>
      <c r="G21" s="325"/>
      <c r="J21" s="320"/>
      <c r="K21" s="322"/>
      <c r="N21" s="167" t="s">
        <v>0</v>
      </c>
      <c r="O21" s="191" t="s">
        <v>0</v>
      </c>
      <c r="P21" s="362" t="s">
        <v>0</v>
      </c>
      <c r="S21" s="326" t="s">
        <v>0</v>
      </c>
      <c r="T21" s="328"/>
    </row>
    <row r="22" spans="2:23" x14ac:dyDescent="0.2">
      <c r="B22" s="316" t="s">
        <v>116</v>
      </c>
      <c r="C22" s="323">
        <v>0.9</v>
      </c>
      <c r="D22" s="323">
        <v>1</v>
      </c>
      <c r="E22" s="317"/>
      <c r="F22" s="324">
        <v>3</v>
      </c>
      <c r="G22" s="325">
        <v>3</v>
      </c>
      <c r="J22" s="326">
        <f>+(C22-D22)*(G22-G$25)/100</f>
        <v>0</v>
      </c>
      <c r="K22" s="328">
        <f>+C22*(F22-G22)/100</f>
        <v>0</v>
      </c>
      <c r="N22" s="167">
        <f>+C22*F22</f>
        <v>2.7</v>
      </c>
      <c r="O22" s="191">
        <f>+D22*G22</f>
        <v>3</v>
      </c>
      <c r="P22" s="362">
        <f>+C22*G22</f>
        <v>2.7</v>
      </c>
      <c r="S22" s="326">
        <f>(C22-D22)*((1+G22/100)/(1+G$25/100)-1)</f>
        <v>0</v>
      </c>
      <c r="T22" s="328">
        <f>C22*((1+F22/100)/(1+G22/100)-1)*(1+G22/100)/(1+P$25/100)</f>
        <v>0</v>
      </c>
    </row>
    <row r="23" spans="2:23" x14ac:dyDescent="0.2">
      <c r="B23" s="316"/>
      <c r="C23" s="323"/>
      <c r="D23" s="323"/>
      <c r="E23" s="317"/>
      <c r="F23" s="318"/>
      <c r="G23" s="319"/>
      <c r="J23" s="320"/>
      <c r="K23" s="322"/>
      <c r="N23" s="167" t="s">
        <v>0</v>
      </c>
      <c r="O23" s="191"/>
      <c r="P23" s="362"/>
      <c r="S23" s="320"/>
      <c r="T23" s="322"/>
    </row>
    <row r="24" spans="2:23" x14ac:dyDescent="0.2">
      <c r="B24" s="316"/>
      <c r="C24" s="323"/>
      <c r="D24" s="323"/>
      <c r="E24" s="317"/>
      <c r="F24" s="318"/>
      <c r="G24" s="319"/>
      <c r="J24" s="320"/>
      <c r="K24" s="322"/>
      <c r="N24" s="167"/>
      <c r="O24" s="191"/>
      <c r="P24" s="362"/>
      <c r="S24" s="320"/>
      <c r="T24" s="322"/>
    </row>
    <row r="25" spans="2:23" ht="13.5" thickBot="1" x14ac:dyDescent="0.25">
      <c r="B25" s="329" t="s">
        <v>16</v>
      </c>
      <c r="C25" s="330">
        <f>SUM(C14:C22)</f>
        <v>1</v>
      </c>
      <c r="D25" s="330">
        <f>SUM(D14:D22)</f>
        <v>1</v>
      </c>
      <c r="E25" s="331"/>
      <c r="F25" s="332">
        <f>+N25</f>
        <v>7.6000000000000005</v>
      </c>
      <c r="G25" s="333">
        <f>+O25</f>
        <v>3</v>
      </c>
      <c r="H25" s="171"/>
      <c r="I25" s="171"/>
      <c r="J25" s="334">
        <f>SUM(J14:J22)</f>
        <v>-6.9999999999999984E-3</v>
      </c>
      <c r="K25" s="336">
        <f>SUM(K14:K22)</f>
        <v>5.3000000000000005E-2</v>
      </c>
      <c r="L25" s="171"/>
      <c r="N25" s="169">
        <f>SUM(N14:N22)</f>
        <v>7.6000000000000005</v>
      </c>
      <c r="O25" s="179">
        <f>SUM(O14:O22)</f>
        <v>3</v>
      </c>
      <c r="P25" s="545">
        <f>SUM(P14:P22)</f>
        <v>2.3000000000000003</v>
      </c>
      <c r="S25" s="334">
        <f>SUM(S14:S22)</f>
        <v>-6.7961165048543749E-3</v>
      </c>
      <c r="T25" s="336">
        <f>SUM(T14:T22)</f>
        <v>5.1808406647116334E-2</v>
      </c>
    </row>
    <row r="28" spans="2:23" ht="13.5" thickBot="1" x14ac:dyDescent="0.25"/>
    <row r="29" spans="2:23" ht="15.75" x14ac:dyDescent="0.25">
      <c r="J29" s="422" t="s">
        <v>488</v>
      </c>
      <c r="K29" s="546"/>
      <c r="L29" s="424">
        <f>+(F25-G25)/100</f>
        <v>4.6000000000000006E-2</v>
      </c>
      <c r="S29" s="337" t="s">
        <v>601</v>
      </c>
      <c r="T29" s="338"/>
      <c r="U29" s="339">
        <f>(1+F25/100)/(1+G25/100)-1</f>
        <v>4.4660194174757306E-2</v>
      </c>
    </row>
    <row r="30" spans="2:23" ht="13.5" thickBot="1" x14ac:dyDescent="0.25">
      <c r="J30" s="425"/>
      <c r="K30" s="321"/>
      <c r="L30" s="547"/>
      <c r="S30" s="320"/>
      <c r="T30" s="321"/>
      <c r="U30" s="322"/>
      <c r="W30" s="158" t="s">
        <v>223</v>
      </c>
    </row>
    <row r="31" spans="2:23" x14ac:dyDescent="0.2">
      <c r="J31" s="425" t="s">
        <v>476</v>
      </c>
      <c r="K31" s="321"/>
      <c r="L31" s="427">
        <f>+J25</f>
        <v>-6.9999999999999984E-3</v>
      </c>
      <c r="S31" s="320" t="s">
        <v>476</v>
      </c>
      <c r="T31" s="321"/>
      <c r="U31" s="340">
        <f>+S25</f>
        <v>-6.7961165048543749E-3</v>
      </c>
      <c r="W31" s="368">
        <f>+(1+P25/100)/(1+G25/100)-1</f>
        <v>-6.7961165048544547E-3</v>
      </c>
    </row>
    <row r="32" spans="2:23" ht="13.5" thickBot="1" x14ac:dyDescent="0.25">
      <c r="J32" s="425" t="s">
        <v>477</v>
      </c>
      <c r="K32" s="321"/>
      <c r="L32" s="427">
        <f>+K25</f>
        <v>5.3000000000000005E-2</v>
      </c>
      <c r="S32" s="320" t="s">
        <v>477</v>
      </c>
      <c r="T32" s="321"/>
      <c r="U32" s="340">
        <f>+T25</f>
        <v>5.1808406647116334E-2</v>
      </c>
      <c r="W32" s="369">
        <f>+(1+F25/100)/(1+P25/100)-1</f>
        <v>5.1808406647116501E-2</v>
      </c>
    </row>
    <row r="33" spans="2:21" x14ac:dyDescent="0.2">
      <c r="J33" s="425" t="s">
        <v>0</v>
      </c>
      <c r="K33" s="321"/>
      <c r="L33" s="427" t="s">
        <v>0</v>
      </c>
      <c r="S33" s="320" t="s">
        <v>0</v>
      </c>
      <c r="T33" s="321"/>
      <c r="U33" s="340" t="s">
        <v>0</v>
      </c>
    </row>
    <row r="34" spans="2:21" ht="13.5" thickBot="1" x14ac:dyDescent="0.25">
      <c r="J34" s="428" t="s">
        <v>524</v>
      </c>
      <c r="K34" s="429"/>
      <c r="L34" s="430">
        <f>+L29-L31-L32</f>
        <v>0</v>
      </c>
      <c r="S34" s="341" t="s">
        <v>524</v>
      </c>
      <c r="T34" s="342"/>
      <c r="U34" s="343">
        <f>(1+U29)/((1+U31)*(1+U32))-1</f>
        <v>0</v>
      </c>
    </row>
    <row r="39" spans="2:21" ht="20.25" x14ac:dyDescent="0.3">
      <c r="B39" s="164" t="s">
        <v>1138</v>
      </c>
    </row>
    <row r="41" spans="2:21" ht="13.5" thickBot="1" x14ac:dyDescent="0.25"/>
    <row r="42" spans="2:21" ht="15.75" x14ac:dyDescent="0.25">
      <c r="B42" s="346" t="s">
        <v>608</v>
      </c>
      <c r="C42" s="397" t="s">
        <v>1</v>
      </c>
      <c r="D42" s="397" t="s">
        <v>15</v>
      </c>
      <c r="E42" s="294"/>
      <c r="F42" s="293" t="s">
        <v>473</v>
      </c>
      <c r="G42" s="296" t="s">
        <v>15</v>
      </c>
      <c r="J42" s="542" t="s">
        <v>498</v>
      </c>
      <c r="K42" s="299"/>
      <c r="N42" s="348" t="s">
        <v>1</v>
      </c>
      <c r="O42" s="349" t="s">
        <v>15</v>
      </c>
      <c r="P42" s="408" t="s">
        <v>504</v>
      </c>
      <c r="S42" s="542" t="s">
        <v>600</v>
      </c>
      <c r="T42" s="299"/>
    </row>
    <row r="43" spans="2:21" x14ac:dyDescent="0.2">
      <c r="B43" s="316"/>
      <c r="C43" s="302" t="s">
        <v>328</v>
      </c>
      <c r="D43" s="302" t="s">
        <v>328</v>
      </c>
      <c r="E43" s="317"/>
      <c r="F43" s="301" t="s">
        <v>3</v>
      </c>
      <c r="G43" s="304" t="s">
        <v>3</v>
      </c>
      <c r="J43" s="320"/>
      <c r="K43" s="322"/>
      <c r="N43" s="351" t="s">
        <v>3</v>
      </c>
      <c r="O43" s="352" t="s">
        <v>3</v>
      </c>
      <c r="P43" s="362" t="s">
        <v>506</v>
      </c>
      <c r="S43" s="320"/>
      <c r="T43" s="322"/>
    </row>
    <row r="44" spans="2:21" x14ac:dyDescent="0.2">
      <c r="B44" s="308" t="s">
        <v>0</v>
      </c>
      <c r="C44" s="398" t="s">
        <v>0</v>
      </c>
      <c r="D44" s="398" t="s">
        <v>0</v>
      </c>
      <c r="E44" s="358"/>
      <c r="F44" s="399" t="s">
        <v>0</v>
      </c>
      <c r="G44" s="400" t="s">
        <v>0</v>
      </c>
      <c r="J44" s="313" t="s">
        <v>476</v>
      </c>
      <c r="K44" s="315" t="s">
        <v>477</v>
      </c>
      <c r="N44" s="351" t="s">
        <v>223</v>
      </c>
      <c r="O44" s="352" t="s">
        <v>223</v>
      </c>
      <c r="P44" s="362" t="s">
        <v>3</v>
      </c>
      <c r="S44" s="313" t="s">
        <v>476</v>
      </c>
      <c r="T44" s="315" t="s">
        <v>477</v>
      </c>
    </row>
    <row r="45" spans="2:21" x14ac:dyDescent="0.2">
      <c r="B45" s="316"/>
      <c r="C45" s="317"/>
      <c r="D45" s="317"/>
      <c r="E45" s="317"/>
      <c r="F45" s="318"/>
      <c r="G45" s="319"/>
      <c r="J45" s="320"/>
      <c r="K45" s="322"/>
      <c r="N45" s="167"/>
      <c r="O45" s="191"/>
      <c r="P45" s="362"/>
      <c r="S45" s="320"/>
      <c r="T45" s="322"/>
    </row>
    <row r="46" spans="2:21" x14ac:dyDescent="0.2">
      <c r="B46" s="316"/>
      <c r="C46" s="317"/>
      <c r="D46" s="317"/>
      <c r="E46" s="317"/>
      <c r="F46" s="318"/>
      <c r="G46" s="319"/>
      <c r="J46" s="320"/>
      <c r="K46" s="322"/>
      <c r="N46" s="167"/>
      <c r="O46" s="191"/>
      <c r="P46" s="362"/>
      <c r="S46" s="320"/>
      <c r="T46" s="322"/>
    </row>
    <row r="47" spans="2:21" x14ac:dyDescent="0.2">
      <c r="B47" s="316" t="s">
        <v>609</v>
      </c>
      <c r="C47" s="323">
        <v>1.2</v>
      </c>
      <c r="D47" s="323">
        <v>1.3</v>
      </c>
      <c r="E47" s="317"/>
      <c r="F47" s="324">
        <v>14</v>
      </c>
      <c r="G47" s="325">
        <v>10</v>
      </c>
      <c r="J47" s="326">
        <f>+(C47-D47)*(G47-G$54)/100</f>
        <v>0</v>
      </c>
      <c r="K47" s="328">
        <f>+C47*(F47-G47)/100</f>
        <v>4.8000000000000001E-2</v>
      </c>
      <c r="N47" s="167">
        <f>+C47*F47</f>
        <v>16.8</v>
      </c>
      <c r="O47" s="191">
        <f>+D47*G47</f>
        <v>13</v>
      </c>
      <c r="P47" s="362">
        <f>+C47*G47</f>
        <v>12</v>
      </c>
      <c r="S47" s="326">
        <f>(C47-D47)*((1+G47/100)/(1+G$54/100)-1)</f>
        <v>0</v>
      </c>
      <c r="T47" s="328">
        <f>C47*((1+F47/100)/(1+G47/100)-1)*(1+G47/100)/(1+P$54/100)</f>
        <v>4.3915827996340362E-2</v>
      </c>
    </row>
    <row r="48" spans="2:21" x14ac:dyDescent="0.2">
      <c r="B48" s="316"/>
      <c r="C48" s="323"/>
      <c r="D48" s="323"/>
      <c r="E48" s="317"/>
      <c r="F48" s="324"/>
      <c r="G48" s="325"/>
      <c r="J48" s="320"/>
      <c r="K48" s="322"/>
      <c r="N48" s="167"/>
      <c r="O48" s="191"/>
      <c r="P48" s="362"/>
      <c r="S48" s="320"/>
      <c r="T48" s="322"/>
    </row>
    <row r="49" spans="2:23" x14ac:dyDescent="0.2">
      <c r="B49" s="316" t="s">
        <v>606</v>
      </c>
      <c r="C49" s="323">
        <v>-0.3</v>
      </c>
      <c r="D49" s="323">
        <v>-0.3</v>
      </c>
      <c r="E49" s="317"/>
      <c r="F49" s="324">
        <v>9</v>
      </c>
      <c r="G49" s="325">
        <v>10</v>
      </c>
      <c r="J49" s="326">
        <f>+(C49-D49)*(G49-G$54)/100</f>
        <v>0</v>
      </c>
      <c r="K49" s="328">
        <f>+C49*(F49-G49)/100</f>
        <v>3.0000000000000001E-3</v>
      </c>
      <c r="N49" s="167">
        <f>+C49*F49</f>
        <v>-2.6999999999999997</v>
      </c>
      <c r="O49" s="191">
        <f>+D49*G49</f>
        <v>-3</v>
      </c>
      <c r="P49" s="362">
        <f>+C49*G49</f>
        <v>-3</v>
      </c>
      <c r="S49" s="326">
        <f>(C49-D49)*((1+G49/100)/(1+G$54/100)-1)</f>
        <v>0</v>
      </c>
      <c r="T49" s="328">
        <f>C49*((1+F49/100)/(1+G49/100)-1)*(1+G49/100)/(1+P$54/100)</f>
        <v>2.7447392497712895E-3</v>
      </c>
    </row>
    <row r="50" spans="2:23" x14ac:dyDescent="0.2">
      <c r="B50" s="316"/>
      <c r="C50" s="323"/>
      <c r="D50" s="323"/>
      <c r="E50" s="317"/>
      <c r="F50" s="324"/>
      <c r="G50" s="325"/>
      <c r="J50" s="326"/>
      <c r="K50" s="328"/>
      <c r="N50" s="167" t="s">
        <v>0</v>
      </c>
      <c r="O50" s="191" t="s">
        <v>0</v>
      </c>
      <c r="P50" s="362" t="s">
        <v>0</v>
      </c>
      <c r="S50" s="326"/>
      <c r="T50" s="328"/>
    </row>
    <row r="51" spans="2:23" x14ac:dyDescent="0.2">
      <c r="B51" s="316" t="s">
        <v>116</v>
      </c>
      <c r="C51" s="323">
        <v>0.1</v>
      </c>
      <c r="D51" s="323">
        <v>0</v>
      </c>
      <c r="E51" s="317"/>
      <c r="F51" s="324">
        <v>3</v>
      </c>
      <c r="G51" s="325">
        <v>3</v>
      </c>
      <c r="J51" s="326">
        <f>+(C51-D51)*(G51-G$54)/100</f>
        <v>-7.000000000000001E-3</v>
      </c>
      <c r="K51" s="328">
        <f>+C51*(F51-G51)/100</f>
        <v>0</v>
      </c>
      <c r="N51" s="167">
        <f>+C51*F51</f>
        <v>0.30000000000000004</v>
      </c>
      <c r="O51" s="191">
        <f>+D51*G51</f>
        <v>0</v>
      </c>
      <c r="P51" s="362">
        <f>+C51*G51</f>
        <v>0.30000000000000004</v>
      </c>
      <c r="S51" s="326">
        <f>(C51-D51)*((1+G51/100)/(1+G$54/100)-1)</f>
        <v>-6.3636363636363717E-3</v>
      </c>
      <c r="T51" s="328">
        <f>C51*((1+F51/100)/(1+G51/100)-1)*(1+G51/100)/(1+P$54/100)</f>
        <v>0</v>
      </c>
    </row>
    <row r="52" spans="2:23" x14ac:dyDescent="0.2">
      <c r="B52" s="316"/>
      <c r="C52" s="323"/>
      <c r="D52" s="323"/>
      <c r="E52" s="317"/>
      <c r="F52" s="318"/>
      <c r="G52" s="319"/>
      <c r="J52" s="320"/>
      <c r="K52" s="322"/>
      <c r="N52" s="167" t="s">
        <v>0</v>
      </c>
      <c r="O52" s="191"/>
      <c r="P52" s="362"/>
      <c r="S52" s="320"/>
      <c r="T52" s="322"/>
    </row>
    <row r="53" spans="2:23" x14ac:dyDescent="0.2">
      <c r="B53" s="316"/>
      <c r="C53" s="323"/>
      <c r="D53" s="323"/>
      <c r="E53" s="317"/>
      <c r="F53" s="318"/>
      <c r="G53" s="319"/>
      <c r="J53" s="320"/>
      <c r="K53" s="322"/>
      <c r="N53" s="167"/>
      <c r="O53" s="191"/>
      <c r="P53" s="362"/>
      <c r="S53" s="320"/>
      <c r="T53" s="322"/>
    </row>
    <row r="54" spans="2:23" ht="13.5" thickBot="1" x14ac:dyDescent="0.25">
      <c r="B54" s="329" t="s">
        <v>16</v>
      </c>
      <c r="C54" s="330">
        <f>SUM(C47:C51)</f>
        <v>0.99999999999999989</v>
      </c>
      <c r="D54" s="330">
        <f>SUM(D47:D51)</f>
        <v>1</v>
      </c>
      <c r="E54" s="331"/>
      <c r="F54" s="332">
        <f>+N54</f>
        <v>14.400000000000002</v>
      </c>
      <c r="G54" s="333">
        <f>+O54</f>
        <v>10</v>
      </c>
      <c r="H54" s="171"/>
      <c r="I54" s="171"/>
      <c r="J54" s="334">
        <f>SUM(J47:J51)</f>
        <v>-7.000000000000001E-3</v>
      </c>
      <c r="K54" s="336">
        <f>SUM(K47:K51)</f>
        <v>5.1000000000000004E-2</v>
      </c>
      <c r="L54" s="171"/>
      <c r="N54" s="169">
        <f>SUM(N47:N51)</f>
        <v>14.400000000000002</v>
      </c>
      <c r="O54" s="179">
        <f>SUM(O47:O51)</f>
        <v>10</v>
      </c>
      <c r="P54" s="417">
        <f>SUM(P47:P51)</f>
        <v>9.3000000000000007</v>
      </c>
      <c r="S54" s="334">
        <f>SUM(S47:S51)</f>
        <v>-6.3636363636363717E-3</v>
      </c>
      <c r="T54" s="336">
        <f>SUM(T47:T51)</f>
        <v>4.6660567246111652E-2</v>
      </c>
    </row>
    <row r="57" spans="2:23" ht="13.5" thickBot="1" x14ac:dyDescent="0.25"/>
    <row r="58" spans="2:23" ht="15.75" x14ac:dyDescent="0.25">
      <c r="J58" s="337" t="s">
        <v>488</v>
      </c>
      <c r="K58" s="338"/>
      <c r="L58" s="339">
        <f>+(F54-G54)/100</f>
        <v>4.4000000000000018E-2</v>
      </c>
      <c r="S58" s="337" t="s">
        <v>601</v>
      </c>
      <c r="T58" s="338"/>
      <c r="U58" s="339">
        <f>(1+F54/100)/(1+G54/100)-1</f>
        <v>4.0000000000000036E-2</v>
      </c>
    </row>
    <row r="59" spans="2:23" ht="13.5" thickBot="1" x14ac:dyDescent="0.25">
      <c r="J59" s="320"/>
      <c r="K59" s="321"/>
      <c r="L59" s="322"/>
      <c r="S59" s="320"/>
      <c r="T59" s="321"/>
      <c r="U59" s="322"/>
      <c r="W59" s="158" t="s">
        <v>223</v>
      </c>
    </row>
    <row r="60" spans="2:23" x14ac:dyDescent="0.2">
      <c r="J60" s="320" t="s">
        <v>476</v>
      </c>
      <c r="K60" s="321"/>
      <c r="L60" s="340">
        <f>+J54</f>
        <v>-7.000000000000001E-3</v>
      </c>
      <c r="S60" s="320" t="s">
        <v>476</v>
      </c>
      <c r="T60" s="321"/>
      <c r="U60" s="340">
        <f>+S54</f>
        <v>-6.3636363636363717E-3</v>
      </c>
      <c r="W60" s="368">
        <f>+(1+P54/100)/(1+G54/100)-1</f>
        <v>-6.3636363636364601E-3</v>
      </c>
    </row>
    <row r="61" spans="2:23" ht="13.5" thickBot="1" x14ac:dyDescent="0.25">
      <c r="J61" s="320" t="s">
        <v>477</v>
      </c>
      <c r="K61" s="321"/>
      <c r="L61" s="340">
        <f>+K54</f>
        <v>5.1000000000000004E-2</v>
      </c>
      <c r="S61" s="320" t="s">
        <v>477</v>
      </c>
      <c r="T61" s="321"/>
      <c r="U61" s="340">
        <f>+T54</f>
        <v>4.6660567246111652E-2</v>
      </c>
      <c r="W61" s="369">
        <f>+(1+F54/100)/(1+P54/100)-1</f>
        <v>4.6660567246111784E-2</v>
      </c>
    </row>
    <row r="62" spans="2:23" x14ac:dyDescent="0.2">
      <c r="J62" s="320" t="s">
        <v>0</v>
      </c>
      <c r="K62" s="321"/>
      <c r="L62" s="340" t="s">
        <v>0</v>
      </c>
      <c r="S62" s="320" t="s">
        <v>0</v>
      </c>
      <c r="T62" s="321"/>
      <c r="U62" s="340" t="s">
        <v>0</v>
      </c>
    </row>
    <row r="63" spans="2:23" ht="13.5" thickBot="1" x14ac:dyDescent="0.25">
      <c r="J63" s="341" t="s">
        <v>524</v>
      </c>
      <c r="K63" s="342"/>
      <c r="L63" s="343">
        <f>+L58-L60-L61</f>
        <v>0</v>
      </c>
      <c r="S63" s="341" t="s">
        <v>524</v>
      </c>
      <c r="T63" s="342"/>
      <c r="U63" s="343">
        <f>(1+U58)/((1+U60)*(1+U61))-1</f>
        <v>0</v>
      </c>
    </row>
    <row r="70" spans="2:20" ht="20.25" x14ac:dyDescent="0.3">
      <c r="B70" s="164" t="s">
        <v>1139</v>
      </c>
    </row>
    <row r="72" spans="2:20" ht="13.5" thickBot="1" x14ac:dyDescent="0.25"/>
    <row r="73" spans="2:20" ht="15.75" x14ac:dyDescent="0.25">
      <c r="B73" s="346" t="s">
        <v>599</v>
      </c>
      <c r="C73" s="397" t="s">
        <v>1</v>
      </c>
      <c r="D73" s="397" t="s">
        <v>15</v>
      </c>
      <c r="E73" s="294"/>
      <c r="F73" s="293" t="s">
        <v>473</v>
      </c>
      <c r="G73" s="296" t="s">
        <v>15</v>
      </c>
      <c r="J73" s="542" t="s">
        <v>498</v>
      </c>
      <c r="K73" s="299"/>
      <c r="N73" s="348" t="s">
        <v>1</v>
      </c>
      <c r="O73" s="349" t="s">
        <v>15</v>
      </c>
      <c r="P73" s="408" t="s">
        <v>504</v>
      </c>
      <c r="S73" s="542" t="s">
        <v>600</v>
      </c>
      <c r="T73" s="299"/>
    </row>
    <row r="74" spans="2:20" x14ac:dyDescent="0.2">
      <c r="B74" s="316"/>
      <c r="C74" s="302" t="s">
        <v>328</v>
      </c>
      <c r="D74" s="302" t="s">
        <v>328</v>
      </c>
      <c r="E74" s="317"/>
      <c r="F74" s="301" t="s">
        <v>3</v>
      </c>
      <c r="G74" s="304" t="s">
        <v>3</v>
      </c>
      <c r="J74" s="320"/>
      <c r="K74" s="322"/>
      <c r="N74" s="351" t="s">
        <v>3</v>
      </c>
      <c r="O74" s="352" t="s">
        <v>3</v>
      </c>
      <c r="P74" s="362" t="s">
        <v>506</v>
      </c>
      <c r="S74" s="320"/>
      <c r="T74" s="322"/>
    </row>
    <row r="75" spans="2:20" x14ac:dyDescent="0.2">
      <c r="B75" s="308" t="s">
        <v>0</v>
      </c>
      <c r="C75" s="398" t="s">
        <v>0</v>
      </c>
      <c r="D75" s="398" t="s">
        <v>0</v>
      </c>
      <c r="E75" s="358"/>
      <c r="F75" s="399" t="s">
        <v>0</v>
      </c>
      <c r="G75" s="400" t="s">
        <v>0</v>
      </c>
      <c r="J75" s="313" t="s">
        <v>476</v>
      </c>
      <c r="K75" s="315" t="s">
        <v>477</v>
      </c>
      <c r="N75" s="351" t="s">
        <v>223</v>
      </c>
      <c r="O75" s="352" t="s">
        <v>223</v>
      </c>
      <c r="P75" s="362" t="s">
        <v>3</v>
      </c>
      <c r="S75" s="543" t="s">
        <v>476</v>
      </c>
      <c r="T75" s="544" t="s">
        <v>477</v>
      </c>
    </row>
    <row r="76" spans="2:20" x14ac:dyDescent="0.2">
      <c r="B76" s="316"/>
      <c r="C76" s="317"/>
      <c r="D76" s="317"/>
      <c r="E76" s="317"/>
      <c r="F76" s="318"/>
      <c r="G76" s="319"/>
      <c r="J76" s="320"/>
      <c r="K76" s="322"/>
      <c r="N76" s="351"/>
      <c r="O76" s="352"/>
      <c r="P76" s="362"/>
      <c r="S76" s="320"/>
      <c r="T76" s="322"/>
    </row>
    <row r="77" spans="2:20" x14ac:dyDescent="0.2">
      <c r="B77" s="316"/>
      <c r="C77" s="317"/>
      <c r="D77" s="317"/>
      <c r="E77" s="317"/>
      <c r="F77" s="318"/>
      <c r="G77" s="319"/>
      <c r="J77" s="320"/>
      <c r="K77" s="322"/>
      <c r="N77" s="351"/>
      <c r="O77" s="352"/>
      <c r="P77" s="362"/>
      <c r="S77" s="320"/>
      <c r="T77" s="322"/>
    </row>
    <row r="78" spans="2:20" x14ac:dyDescent="0.2">
      <c r="B78" s="316" t="s">
        <v>485</v>
      </c>
      <c r="C78" s="323">
        <v>1.5</v>
      </c>
      <c r="D78" s="323">
        <v>0.4</v>
      </c>
      <c r="E78" s="317"/>
      <c r="F78" s="324">
        <v>20</v>
      </c>
      <c r="G78" s="325">
        <v>10</v>
      </c>
      <c r="J78" s="326">
        <f>+(C78-D78)*(G78-G$87)/100</f>
        <v>3.9599999999999996E-2</v>
      </c>
      <c r="K78" s="328">
        <f>+C78*(F78-G78)/100</f>
        <v>0.15</v>
      </c>
      <c r="N78" s="167">
        <f>+C78*F78</f>
        <v>30</v>
      </c>
      <c r="O78" s="191">
        <f>+D78*G78</f>
        <v>4</v>
      </c>
      <c r="P78" s="362">
        <f>+C78*G78</f>
        <v>15</v>
      </c>
      <c r="S78" s="326">
        <f>(C78-D78)*((1+G78/100)/(1+G$87/100)-1)</f>
        <v>3.7218045112782108E-2</v>
      </c>
      <c r="T78" s="328">
        <f>C78*((1+F78/100)/(1+G78/100)-1)*(1+G78/100)/(1+P$87/100)</f>
        <v>0.13043478260869557</v>
      </c>
    </row>
    <row r="79" spans="2:20" x14ac:dyDescent="0.2">
      <c r="B79" s="316"/>
      <c r="C79" s="323"/>
      <c r="D79" s="323"/>
      <c r="E79" s="317"/>
      <c r="F79" s="324"/>
      <c r="G79" s="325"/>
      <c r="J79" s="320"/>
      <c r="K79" s="322"/>
      <c r="N79" s="167"/>
      <c r="O79" s="191"/>
      <c r="P79" s="362"/>
      <c r="S79" s="320"/>
      <c r="T79" s="322"/>
    </row>
    <row r="80" spans="2:20" x14ac:dyDescent="0.2">
      <c r="B80" s="316" t="s">
        <v>486</v>
      </c>
      <c r="C80" s="323">
        <v>0.5</v>
      </c>
      <c r="D80" s="323">
        <v>0.2</v>
      </c>
      <c r="E80" s="317"/>
      <c r="F80" s="324">
        <v>-5</v>
      </c>
      <c r="G80" s="325">
        <v>-4</v>
      </c>
      <c r="J80" s="326">
        <f>+(C80-D80)*(G80-G$87)/100</f>
        <v>-3.1200000000000002E-2</v>
      </c>
      <c r="K80" s="328">
        <f>+C80*(F80-G80)/100</f>
        <v>-5.0000000000000001E-3</v>
      </c>
      <c r="N80" s="167">
        <f>+C80*F80</f>
        <v>-2.5</v>
      </c>
      <c r="O80" s="191">
        <f>+D80*G80</f>
        <v>-0.8</v>
      </c>
      <c r="P80" s="362">
        <f>+C80*G80</f>
        <v>-2</v>
      </c>
      <c r="S80" s="326">
        <f>(C80-D80)*((1+G80/100)/(1+G$87/100)-1)</f>
        <v>-2.9323308270676706E-2</v>
      </c>
      <c r="T80" s="328">
        <f>C80*((1+F80/100)/(1+G80/100)-1)*(1+G80/100)/(1+P$87/100)</f>
        <v>-4.3478260869565062E-3</v>
      </c>
    </row>
    <row r="81" spans="2:23" x14ac:dyDescent="0.2">
      <c r="B81" s="316"/>
      <c r="C81" s="323"/>
      <c r="D81" s="323"/>
      <c r="E81" s="317"/>
      <c r="F81" s="324"/>
      <c r="G81" s="325"/>
      <c r="J81" s="326"/>
      <c r="K81" s="328"/>
      <c r="N81" s="167" t="s">
        <v>0</v>
      </c>
      <c r="O81" s="191" t="s">
        <v>0</v>
      </c>
      <c r="P81" s="362" t="s">
        <v>0</v>
      </c>
      <c r="S81" s="326"/>
      <c r="T81" s="328"/>
    </row>
    <row r="82" spans="2:23" x14ac:dyDescent="0.2">
      <c r="B82" s="316" t="s">
        <v>487</v>
      </c>
      <c r="C82" s="323">
        <v>1</v>
      </c>
      <c r="D82" s="323">
        <v>0.4</v>
      </c>
      <c r="E82" s="317"/>
      <c r="F82" s="324">
        <v>6</v>
      </c>
      <c r="G82" s="325">
        <v>8</v>
      </c>
      <c r="J82" s="326">
        <f>+(C82-D82)*(G82-G$87)/100</f>
        <v>9.5999999999999974E-3</v>
      </c>
      <c r="K82" s="328">
        <f>+C82*(F82-G82)/100</f>
        <v>-0.02</v>
      </c>
      <c r="N82" s="167">
        <f>+C82*F82</f>
        <v>6</v>
      </c>
      <c r="O82" s="191">
        <f>+D82*G82</f>
        <v>3.2</v>
      </c>
      <c r="P82" s="362">
        <f>+C82*G82</f>
        <v>8</v>
      </c>
      <c r="S82" s="326">
        <f>(C82-D82)*((1+G82/100)/(1+G$87/100)-1)</f>
        <v>9.0225563909775101E-3</v>
      </c>
      <c r="T82" s="328">
        <f>C82*((1+F82/100)/(1+G82/100)-1)*(1+G82/100)/(1+P$87/100)</f>
        <v>-1.7391304347826063E-2</v>
      </c>
    </row>
    <row r="83" spans="2:23" x14ac:dyDescent="0.2">
      <c r="B83" s="316"/>
      <c r="C83" s="323"/>
      <c r="D83" s="323"/>
      <c r="E83" s="317"/>
      <c r="F83" s="324"/>
      <c r="G83" s="325"/>
      <c r="J83" s="326"/>
      <c r="K83" s="328"/>
      <c r="N83" s="167" t="s">
        <v>0</v>
      </c>
      <c r="O83" s="191" t="s">
        <v>99</v>
      </c>
      <c r="P83" s="362" t="s">
        <v>0</v>
      </c>
      <c r="S83" s="326" t="s">
        <v>0</v>
      </c>
      <c r="T83" s="328"/>
    </row>
    <row r="84" spans="2:23" x14ac:dyDescent="0.2">
      <c r="B84" s="316" t="s">
        <v>116</v>
      </c>
      <c r="C84" s="323">
        <v>-2</v>
      </c>
      <c r="D84" s="323">
        <v>0</v>
      </c>
      <c r="E84" s="317"/>
      <c r="F84" s="324">
        <v>3</v>
      </c>
      <c r="G84" s="325">
        <v>3</v>
      </c>
      <c r="J84" s="326">
        <f>+(C84-D84)*(G84-G$87)/100</f>
        <v>6.8000000000000005E-2</v>
      </c>
      <c r="K84" s="328">
        <f>+C84*(F84-G84)/100</f>
        <v>0</v>
      </c>
      <c r="N84" s="167">
        <f>+C84*F84</f>
        <v>-6</v>
      </c>
      <c r="O84" s="191">
        <f>+D84*G84</f>
        <v>0</v>
      </c>
      <c r="P84" s="362">
        <f>+C84*G84</f>
        <v>-6</v>
      </c>
      <c r="S84" s="326">
        <f>(C84-D84)*((1+G84/100)/(1+G$87/100)-1)</f>
        <v>6.3909774436090361E-2</v>
      </c>
      <c r="T84" s="328">
        <f>C84*((1+F84/100)/(1+G84/100)-1)*(1+G84/100)/(1+P$87/100)</f>
        <v>0</v>
      </c>
    </row>
    <row r="85" spans="2:23" x14ac:dyDescent="0.2">
      <c r="B85" s="316"/>
      <c r="C85" s="323"/>
      <c r="D85" s="323"/>
      <c r="E85" s="317"/>
      <c r="F85" s="318"/>
      <c r="G85" s="319"/>
      <c r="J85" s="320"/>
      <c r="K85" s="322"/>
      <c r="N85" s="167" t="s">
        <v>0</v>
      </c>
      <c r="O85" s="191"/>
      <c r="P85" s="362"/>
      <c r="S85" s="320"/>
      <c r="T85" s="322"/>
    </row>
    <row r="86" spans="2:23" x14ac:dyDescent="0.2">
      <c r="B86" s="316"/>
      <c r="C86" s="323"/>
      <c r="D86" s="323"/>
      <c r="E86" s="317"/>
      <c r="F86" s="318"/>
      <c r="G86" s="319"/>
      <c r="J86" s="320"/>
      <c r="K86" s="322"/>
      <c r="N86" s="167"/>
      <c r="O86" s="191"/>
      <c r="P86" s="362"/>
      <c r="S86" s="320"/>
      <c r="T86" s="322"/>
    </row>
    <row r="87" spans="2:23" ht="13.5" thickBot="1" x14ac:dyDescent="0.25">
      <c r="B87" s="329" t="s">
        <v>16</v>
      </c>
      <c r="C87" s="330">
        <f>SUM(C78:C84)</f>
        <v>1</v>
      </c>
      <c r="D87" s="330">
        <f>SUM(D78:D84)</f>
        <v>1</v>
      </c>
      <c r="E87" s="331"/>
      <c r="F87" s="332">
        <f>+N87</f>
        <v>27.5</v>
      </c>
      <c r="G87" s="333">
        <f>+O87</f>
        <v>6.4</v>
      </c>
      <c r="H87" s="171"/>
      <c r="I87" s="171"/>
      <c r="J87" s="334">
        <f>SUM(J78:J84)</f>
        <v>8.5999999999999993E-2</v>
      </c>
      <c r="K87" s="336">
        <f>SUM(K78:K84)</f>
        <v>0.12499999999999999</v>
      </c>
      <c r="L87" s="171"/>
      <c r="N87" s="169">
        <f>SUM(N78:N84)</f>
        <v>27.5</v>
      </c>
      <c r="O87" s="179">
        <f>SUM(O78:O84)</f>
        <v>6.4</v>
      </c>
      <c r="P87" s="545">
        <f>SUM(P78:P84)</f>
        <v>15</v>
      </c>
      <c r="S87" s="334">
        <f>SUM(S78:S84)</f>
        <v>8.0827067669173275E-2</v>
      </c>
      <c r="T87" s="336">
        <f>SUM(T78:T84)</f>
        <v>0.108695652173913</v>
      </c>
    </row>
    <row r="90" spans="2:23" ht="13.5" thickBot="1" x14ac:dyDescent="0.25"/>
    <row r="91" spans="2:23" ht="15.75" x14ac:dyDescent="0.25">
      <c r="J91" s="337" t="s">
        <v>488</v>
      </c>
      <c r="K91" s="338"/>
      <c r="L91" s="339">
        <f>+(F87-G87)/100</f>
        <v>0.21100000000000002</v>
      </c>
      <c r="S91" s="337" t="s">
        <v>601</v>
      </c>
      <c r="T91" s="338"/>
      <c r="U91" s="339">
        <f>(1+F87/100)/(1+G87/100)-1</f>
        <v>0.19830827067669166</v>
      </c>
    </row>
    <row r="92" spans="2:23" ht="13.5" thickBot="1" x14ac:dyDescent="0.25">
      <c r="J92" s="320"/>
      <c r="K92" s="321"/>
      <c r="L92" s="322"/>
      <c r="S92" s="320"/>
      <c r="T92" s="321"/>
      <c r="U92" s="322"/>
      <c r="W92" s="158" t="s">
        <v>223</v>
      </c>
    </row>
    <row r="93" spans="2:23" x14ac:dyDescent="0.2">
      <c r="J93" s="320" t="s">
        <v>476</v>
      </c>
      <c r="K93" s="321"/>
      <c r="L93" s="340">
        <f>+J87</f>
        <v>8.5999999999999993E-2</v>
      </c>
      <c r="S93" s="320" t="s">
        <v>476</v>
      </c>
      <c r="T93" s="321"/>
      <c r="U93" s="340">
        <f>+S87</f>
        <v>8.0827067669173275E-2</v>
      </c>
      <c r="W93" s="368">
        <f>+(1+P87/100)/(1+G87/100)-1</f>
        <v>8.0827067669172692E-2</v>
      </c>
    </row>
    <row r="94" spans="2:23" ht="13.5" thickBot="1" x14ac:dyDescent="0.25">
      <c r="J94" s="320" t="s">
        <v>477</v>
      </c>
      <c r="K94" s="321"/>
      <c r="L94" s="340">
        <f>+K87</f>
        <v>0.12499999999999999</v>
      </c>
      <c r="S94" s="320" t="s">
        <v>477</v>
      </c>
      <c r="T94" s="321"/>
      <c r="U94" s="340">
        <f>+T87</f>
        <v>0.108695652173913</v>
      </c>
      <c r="W94" s="369">
        <f>+(1+F87/100)/(1+P87/100)-1</f>
        <v>0.10869565217391308</v>
      </c>
    </row>
    <row r="95" spans="2:23" x14ac:dyDescent="0.2">
      <c r="J95" s="320" t="s">
        <v>0</v>
      </c>
      <c r="K95" s="321"/>
      <c r="L95" s="340" t="s">
        <v>0</v>
      </c>
      <c r="S95" s="320" t="s">
        <v>0</v>
      </c>
      <c r="T95" s="321"/>
      <c r="U95" s="340" t="s">
        <v>0</v>
      </c>
    </row>
    <row r="96" spans="2:23" ht="13.5" thickBot="1" x14ac:dyDescent="0.25">
      <c r="J96" s="341" t="s">
        <v>524</v>
      </c>
      <c r="K96" s="342"/>
      <c r="L96" s="343">
        <f>+L91-L93-L94</f>
        <v>0</v>
      </c>
      <c r="S96" s="341" t="s">
        <v>524</v>
      </c>
      <c r="T96" s="342"/>
      <c r="U96" s="343">
        <f>(1+U91)/((1+U93)*(1+U94))-1</f>
        <v>0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9F8A-7365-4B62-B193-CCC6212C8E33}">
  <dimension ref="A1:T620"/>
  <sheetViews>
    <sheetView topLeftCell="A527" workbookViewId="0">
      <selection activeCell="B527" sqref="B527"/>
    </sheetView>
  </sheetViews>
  <sheetFormatPr defaultRowHeight="12.75" x14ac:dyDescent="0.2"/>
  <cols>
    <col min="1" max="1" width="20.7109375" style="158" customWidth="1"/>
    <col min="2" max="2" width="15.7109375" style="158" customWidth="1"/>
    <col min="3" max="3" width="27" style="158" customWidth="1"/>
    <col min="4" max="4" width="10.28515625" style="158" customWidth="1"/>
    <col min="5" max="5" width="10.85546875" style="158" customWidth="1"/>
    <col min="6" max="6" width="11.28515625" style="158" customWidth="1"/>
    <col min="7" max="7" width="10.85546875" style="158" customWidth="1"/>
    <col min="8" max="8" width="11.42578125" style="158" customWidth="1"/>
    <col min="9" max="10" width="9.140625" style="158"/>
    <col min="11" max="11" width="2.7109375" style="158" customWidth="1"/>
    <col min="12" max="12" width="9.85546875" style="158" customWidth="1"/>
    <col min="13" max="13" width="11" style="158" customWidth="1"/>
    <col min="14" max="14" width="10" style="158" bestFit="1" customWidth="1"/>
    <col min="15" max="16" width="10" style="158" customWidth="1"/>
    <col min="17" max="256" width="9.140625" style="158"/>
    <col min="257" max="257" width="20.7109375" style="158" customWidth="1"/>
    <col min="258" max="258" width="15.7109375" style="158" customWidth="1"/>
    <col min="259" max="259" width="25.7109375" style="158" customWidth="1"/>
    <col min="260" max="260" width="9.140625" style="158"/>
    <col min="261" max="261" width="10.140625" style="158" customWidth="1"/>
    <col min="262" max="262" width="9.140625" style="158"/>
    <col min="263" max="263" width="6.7109375" style="158" customWidth="1"/>
    <col min="264" max="264" width="10.7109375" style="158" customWidth="1"/>
    <col min="265" max="266" width="9.140625" style="158"/>
    <col min="267" max="267" width="2.7109375" style="158" customWidth="1"/>
    <col min="268" max="512" width="9.140625" style="158"/>
    <col min="513" max="513" width="20.7109375" style="158" customWidth="1"/>
    <col min="514" max="514" width="15.7109375" style="158" customWidth="1"/>
    <col min="515" max="515" width="25.7109375" style="158" customWidth="1"/>
    <col min="516" max="516" width="9.140625" style="158"/>
    <col min="517" max="517" width="10.140625" style="158" customWidth="1"/>
    <col min="518" max="518" width="9.140625" style="158"/>
    <col min="519" max="519" width="6.7109375" style="158" customWidth="1"/>
    <col min="520" max="520" width="10.7109375" style="158" customWidth="1"/>
    <col min="521" max="522" width="9.140625" style="158"/>
    <col min="523" max="523" width="2.7109375" style="158" customWidth="1"/>
    <col min="524" max="768" width="9.140625" style="158"/>
    <col min="769" max="769" width="20.7109375" style="158" customWidth="1"/>
    <col min="770" max="770" width="15.7109375" style="158" customWidth="1"/>
    <col min="771" max="771" width="25.7109375" style="158" customWidth="1"/>
    <col min="772" max="772" width="9.140625" style="158"/>
    <col min="773" max="773" width="10.140625" style="158" customWidth="1"/>
    <col min="774" max="774" width="9.140625" style="158"/>
    <col min="775" max="775" width="6.7109375" style="158" customWidth="1"/>
    <col min="776" max="776" width="10.7109375" style="158" customWidth="1"/>
    <col min="777" max="778" width="9.140625" style="158"/>
    <col min="779" max="779" width="2.7109375" style="158" customWidth="1"/>
    <col min="780" max="1024" width="9.140625" style="158"/>
    <col min="1025" max="1025" width="20.7109375" style="158" customWidth="1"/>
    <col min="1026" max="1026" width="15.7109375" style="158" customWidth="1"/>
    <col min="1027" max="1027" width="25.7109375" style="158" customWidth="1"/>
    <col min="1028" max="1028" width="9.140625" style="158"/>
    <col min="1029" max="1029" width="10.140625" style="158" customWidth="1"/>
    <col min="1030" max="1030" width="9.140625" style="158"/>
    <col min="1031" max="1031" width="6.7109375" style="158" customWidth="1"/>
    <col min="1032" max="1032" width="10.7109375" style="158" customWidth="1"/>
    <col min="1033" max="1034" width="9.140625" style="158"/>
    <col min="1035" max="1035" width="2.7109375" style="158" customWidth="1"/>
    <col min="1036" max="1280" width="9.140625" style="158"/>
    <col min="1281" max="1281" width="20.7109375" style="158" customWidth="1"/>
    <col min="1282" max="1282" width="15.7109375" style="158" customWidth="1"/>
    <col min="1283" max="1283" width="25.7109375" style="158" customWidth="1"/>
    <col min="1284" max="1284" width="9.140625" style="158"/>
    <col min="1285" max="1285" width="10.140625" style="158" customWidth="1"/>
    <col min="1286" max="1286" width="9.140625" style="158"/>
    <col min="1287" max="1287" width="6.7109375" style="158" customWidth="1"/>
    <col min="1288" max="1288" width="10.7109375" style="158" customWidth="1"/>
    <col min="1289" max="1290" width="9.140625" style="158"/>
    <col min="1291" max="1291" width="2.7109375" style="158" customWidth="1"/>
    <col min="1292" max="1536" width="9.140625" style="158"/>
    <col min="1537" max="1537" width="20.7109375" style="158" customWidth="1"/>
    <col min="1538" max="1538" width="15.7109375" style="158" customWidth="1"/>
    <col min="1539" max="1539" width="25.7109375" style="158" customWidth="1"/>
    <col min="1540" max="1540" width="9.140625" style="158"/>
    <col min="1541" max="1541" width="10.140625" style="158" customWidth="1"/>
    <col min="1542" max="1542" width="9.140625" style="158"/>
    <col min="1543" max="1543" width="6.7109375" style="158" customWidth="1"/>
    <col min="1544" max="1544" width="10.7109375" style="158" customWidth="1"/>
    <col min="1545" max="1546" width="9.140625" style="158"/>
    <col min="1547" max="1547" width="2.7109375" style="158" customWidth="1"/>
    <col min="1548" max="1792" width="9.140625" style="158"/>
    <col min="1793" max="1793" width="20.7109375" style="158" customWidth="1"/>
    <col min="1794" max="1794" width="15.7109375" style="158" customWidth="1"/>
    <col min="1795" max="1795" width="25.7109375" style="158" customWidth="1"/>
    <col min="1796" max="1796" width="9.140625" style="158"/>
    <col min="1797" max="1797" width="10.140625" style="158" customWidth="1"/>
    <col min="1798" max="1798" width="9.140625" style="158"/>
    <col min="1799" max="1799" width="6.7109375" style="158" customWidth="1"/>
    <col min="1800" max="1800" width="10.7109375" style="158" customWidth="1"/>
    <col min="1801" max="1802" width="9.140625" style="158"/>
    <col min="1803" max="1803" width="2.7109375" style="158" customWidth="1"/>
    <col min="1804" max="2048" width="9.140625" style="158"/>
    <col min="2049" max="2049" width="20.7109375" style="158" customWidth="1"/>
    <col min="2050" max="2050" width="15.7109375" style="158" customWidth="1"/>
    <col min="2051" max="2051" width="25.7109375" style="158" customWidth="1"/>
    <col min="2052" max="2052" width="9.140625" style="158"/>
    <col min="2053" max="2053" width="10.140625" style="158" customWidth="1"/>
    <col min="2054" max="2054" width="9.140625" style="158"/>
    <col min="2055" max="2055" width="6.7109375" style="158" customWidth="1"/>
    <col min="2056" max="2056" width="10.7109375" style="158" customWidth="1"/>
    <col min="2057" max="2058" width="9.140625" style="158"/>
    <col min="2059" max="2059" width="2.7109375" style="158" customWidth="1"/>
    <col min="2060" max="2304" width="9.140625" style="158"/>
    <col min="2305" max="2305" width="20.7109375" style="158" customWidth="1"/>
    <col min="2306" max="2306" width="15.7109375" style="158" customWidth="1"/>
    <col min="2307" max="2307" width="25.7109375" style="158" customWidth="1"/>
    <col min="2308" max="2308" width="9.140625" style="158"/>
    <col min="2309" max="2309" width="10.140625" style="158" customWidth="1"/>
    <col min="2310" max="2310" width="9.140625" style="158"/>
    <col min="2311" max="2311" width="6.7109375" style="158" customWidth="1"/>
    <col min="2312" max="2312" width="10.7109375" style="158" customWidth="1"/>
    <col min="2313" max="2314" width="9.140625" style="158"/>
    <col min="2315" max="2315" width="2.7109375" style="158" customWidth="1"/>
    <col min="2316" max="2560" width="9.140625" style="158"/>
    <col min="2561" max="2561" width="20.7109375" style="158" customWidth="1"/>
    <col min="2562" max="2562" width="15.7109375" style="158" customWidth="1"/>
    <col min="2563" max="2563" width="25.7109375" style="158" customWidth="1"/>
    <col min="2564" max="2564" width="9.140625" style="158"/>
    <col min="2565" max="2565" width="10.140625" style="158" customWidth="1"/>
    <col min="2566" max="2566" width="9.140625" style="158"/>
    <col min="2567" max="2567" width="6.7109375" style="158" customWidth="1"/>
    <col min="2568" max="2568" width="10.7109375" style="158" customWidth="1"/>
    <col min="2569" max="2570" width="9.140625" style="158"/>
    <col min="2571" max="2571" width="2.7109375" style="158" customWidth="1"/>
    <col min="2572" max="2816" width="9.140625" style="158"/>
    <col min="2817" max="2817" width="20.7109375" style="158" customWidth="1"/>
    <col min="2818" max="2818" width="15.7109375" style="158" customWidth="1"/>
    <col min="2819" max="2819" width="25.7109375" style="158" customWidth="1"/>
    <col min="2820" max="2820" width="9.140625" style="158"/>
    <col min="2821" max="2821" width="10.140625" style="158" customWidth="1"/>
    <col min="2822" max="2822" width="9.140625" style="158"/>
    <col min="2823" max="2823" width="6.7109375" style="158" customWidth="1"/>
    <col min="2824" max="2824" width="10.7109375" style="158" customWidth="1"/>
    <col min="2825" max="2826" width="9.140625" style="158"/>
    <col min="2827" max="2827" width="2.7109375" style="158" customWidth="1"/>
    <col min="2828" max="3072" width="9.140625" style="158"/>
    <col min="3073" max="3073" width="20.7109375" style="158" customWidth="1"/>
    <col min="3074" max="3074" width="15.7109375" style="158" customWidth="1"/>
    <col min="3075" max="3075" width="25.7109375" style="158" customWidth="1"/>
    <col min="3076" max="3076" width="9.140625" style="158"/>
    <col min="3077" max="3077" width="10.140625" style="158" customWidth="1"/>
    <col min="3078" max="3078" width="9.140625" style="158"/>
    <col min="3079" max="3079" width="6.7109375" style="158" customWidth="1"/>
    <col min="3080" max="3080" width="10.7109375" style="158" customWidth="1"/>
    <col min="3081" max="3082" width="9.140625" style="158"/>
    <col min="3083" max="3083" width="2.7109375" style="158" customWidth="1"/>
    <col min="3084" max="3328" width="9.140625" style="158"/>
    <col min="3329" max="3329" width="20.7109375" style="158" customWidth="1"/>
    <col min="3330" max="3330" width="15.7109375" style="158" customWidth="1"/>
    <col min="3331" max="3331" width="25.7109375" style="158" customWidth="1"/>
    <col min="3332" max="3332" width="9.140625" style="158"/>
    <col min="3333" max="3333" width="10.140625" style="158" customWidth="1"/>
    <col min="3334" max="3334" width="9.140625" style="158"/>
    <col min="3335" max="3335" width="6.7109375" style="158" customWidth="1"/>
    <col min="3336" max="3336" width="10.7109375" style="158" customWidth="1"/>
    <col min="3337" max="3338" width="9.140625" style="158"/>
    <col min="3339" max="3339" width="2.7109375" style="158" customWidth="1"/>
    <col min="3340" max="3584" width="9.140625" style="158"/>
    <col min="3585" max="3585" width="20.7109375" style="158" customWidth="1"/>
    <col min="3586" max="3586" width="15.7109375" style="158" customWidth="1"/>
    <col min="3587" max="3587" width="25.7109375" style="158" customWidth="1"/>
    <col min="3588" max="3588" width="9.140625" style="158"/>
    <col min="3589" max="3589" width="10.140625" style="158" customWidth="1"/>
    <col min="3590" max="3590" width="9.140625" style="158"/>
    <col min="3591" max="3591" width="6.7109375" style="158" customWidth="1"/>
    <col min="3592" max="3592" width="10.7109375" style="158" customWidth="1"/>
    <col min="3593" max="3594" width="9.140625" style="158"/>
    <col min="3595" max="3595" width="2.7109375" style="158" customWidth="1"/>
    <col min="3596" max="3840" width="9.140625" style="158"/>
    <col min="3841" max="3841" width="20.7109375" style="158" customWidth="1"/>
    <col min="3842" max="3842" width="15.7109375" style="158" customWidth="1"/>
    <col min="3843" max="3843" width="25.7109375" style="158" customWidth="1"/>
    <col min="3844" max="3844" width="9.140625" style="158"/>
    <col min="3845" max="3845" width="10.140625" style="158" customWidth="1"/>
    <col min="3846" max="3846" width="9.140625" style="158"/>
    <col min="3847" max="3847" width="6.7109375" style="158" customWidth="1"/>
    <col min="3848" max="3848" width="10.7109375" style="158" customWidth="1"/>
    <col min="3849" max="3850" width="9.140625" style="158"/>
    <col min="3851" max="3851" width="2.7109375" style="158" customWidth="1"/>
    <col min="3852" max="4096" width="9.140625" style="158"/>
    <col min="4097" max="4097" width="20.7109375" style="158" customWidth="1"/>
    <col min="4098" max="4098" width="15.7109375" style="158" customWidth="1"/>
    <col min="4099" max="4099" width="25.7109375" style="158" customWidth="1"/>
    <col min="4100" max="4100" width="9.140625" style="158"/>
    <col min="4101" max="4101" width="10.140625" style="158" customWidth="1"/>
    <col min="4102" max="4102" width="9.140625" style="158"/>
    <col min="4103" max="4103" width="6.7109375" style="158" customWidth="1"/>
    <col min="4104" max="4104" width="10.7109375" style="158" customWidth="1"/>
    <col min="4105" max="4106" width="9.140625" style="158"/>
    <col min="4107" max="4107" width="2.7109375" style="158" customWidth="1"/>
    <col min="4108" max="4352" width="9.140625" style="158"/>
    <col min="4353" max="4353" width="20.7109375" style="158" customWidth="1"/>
    <col min="4354" max="4354" width="15.7109375" style="158" customWidth="1"/>
    <col min="4355" max="4355" width="25.7109375" style="158" customWidth="1"/>
    <col min="4356" max="4356" width="9.140625" style="158"/>
    <col min="4357" max="4357" width="10.140625" style="158" customWidth="1"/>
    <col min="4358" max="4358" width="9.140625" style="158"/>
    <col min="4359" max="4359" width="6.7109375" style="158" customWidth="1"/>
    <col min="4360" max="4360" width="10.7109375" style="158" customWidth="1"/>
    <col min="4361" max="4362" width="9.140625" style="158"/>
    <col min="4363" max="4363" width="2.7109375" style="158" customWidth="1"/>
    <col min="4364" max="4608" width="9.140625" style="158"/>
    <col min="4609" max="4609" width="20.7109375" style="158" customWidth="1"/>
    <col min="4610" max="4610" width="15.7109375" style="158" customWidth="1"/>
    <col min="4611" max="4611" width="25.7109375" style="158" customWidth="1"/>
    <col min="4612" max="4612" width="9.140625" style="158"/>
    <col min="4613" max="4613" width="10.140625" style="158" customWidth="1"/>
    <col min="4614" max="4614" width="9.140625" style="158"/>
    <col min="4615" max="4615" width="6.7109375" style="158" customWidth="1"/>
    <col min="4616" max="4616" width="10.7109375" style="158" customWidth="1"/>
    <col min="4617" max="4618" width="9.140625" style="158"/>
    <col min="4619" max="4619" width="2.7109375" style="158" customWidth="1"/>
    <col min="4620" max="4864" width="9.140625" style="158"/>
    <col min="4865" max="4865" width="20.7109375" style="158" customWidth="1"/>
    <col min="4866" max="4866" width="15.7109375" style="158" customWidth="1"/>
    <col min="4867" max="4867" width="25.7109375" style="158" customWidth="1"/>
    <col min="4868" max="4868" width="9.140625" style="158"/>
    <col min="4869" max="4869" width="10.140625" style="158" customWidth="1"/>
    <col min="4870" max="4870" width="9.140625" style="158"/>
    <col min="4871" max="4871" width="6.7109375" style="158" customWidth="1"/>
    <col min="4872" max="4872" width="10.7109375" style="158" customWidth="1"/>
    <col min="4873" max="4874" width="9.140625" style="158"/>
    <col min="4875" max="4875" width="2.7109375" style="158" customWidth="1"/>
    <col min="4876" max="5120" width="9.140625" style="158"/>
    <col min="5121" max="5121" width="20.7109375" style="158" customWidth="1"/>
    <col min="5122" max="5122" width="15.7109375" style="158" customWidth="1"/>
    <col min="5123" max="5123" width="25.7109375" style="158" customWidth="1"/>
    <col min="5124" max="5124" width="9.140625" style="158"/>
    <col min="5125" max="5125" width="10.140625" style="158" customWidth="1"/>
    <col min="5126" max="5126" width="9.140625" style="158"/>
    <col min="5127" max="5127" width="6.7109375" style="158" customWidth="1"/>
    <col min="5128" max="5128" width="10.7109375" style="158" customWidth="1"/>
    <col min="5129" max="5130" width="9.140625" style="158"/>
    <col min="5131" max="5131" width="2.7109375" style="158" customWidth="1"/>
    <col min="5132" max="5376" width="9.140625" style="158"/>
    <col min="5377" max="5377" width="20.7109375" style="158" customWidth="1"/>
    <col min="5378" max="5378" width="15.7109375" style="158" customWidth="1"/>
    <col min="5379" max="5379" width="25.7109375" style="158" customWidth="1"/>
    <col min="5380" max="5380" width="9.140625" style="158"/>
    <col min="5381" max="5381" width="10.140625" style="158" customWidth="1"/>
    <col min="5382" max="5382" width="9.140625" style="158"/>
    <col min="5383" max="5383" width="6.7109375" style="158" customWidth="1"/>
    <col min="5384" max="5384" width="10.7109375" style="158" customWidth="1"/>
    <col min="5385" max="5386" width="9.140625" style="158"/>
    <col min="5387" max="5387" width="2.7109375" style="158" customWidth="1"/>
    <col min="5388" max="5632" width="9.140625" style="158"/>
    <col min="5633" max="5633" width="20.7109375" style="158" customWidth="1"/>
    <col min="5634" max="5634" width="15.7109375" style="158" customWidth="1"/>
    <col min="5635" max="5635" width="25.7109375" style="158" customWidth="1"/>
    <col min="5636" max="5636" width="9.140625" style="158"/>
    <col min="5637" max="5637" width="10.140625" style="158" customWidth="1"/>
    <col min="5638" max="5638" width="9.140625" style="158"/>
    <col min="5639" max="5639" width="6.7109375" style="158" customWidth="1"/>
    <col min="5640" max="5640" width="10.7109375" style="158" customWidth="1"/>
    <col min="5641" max="5642" width="9.140625" style="158"/>
    <col min="5643" max="5643" width="2.7109375" style="158" customWidth="1"/>
    <col min="5644" max="5888" width="9.140625" style="158"/>
    <col min="5889" max="5889" width="20.7109375" style="158" customWidth="1"/>
    <col min="5890" max="5890" width="15.7109375" style="158" customWidth="1"/>
    <col min="5891" max="5891" width="25.7109375" style="158" customWidth="1"/>
    <col min="5892" max="5892" width="9.140625" style="158"/>
    <col min="5893" max="5893" width="10.140625" style="158" customWidth="1"/>
    <col min="5894" max="5894" width="9.140625" style="158"/>
    <col min="5895" max="5895" width="6.7109375" style="158" customWidth="1"/>
    <col min="5896" max="5896" width="10.7109375" style="158" customWidth="1"/>
    <col min="5897" max="5898" width="9.140625" style="158"/>
    <col min="5899" max="5899" width="2.7109375" style="158" customWidth="1"/>
    <col min="5900" max="6144" width="9.140625" style="158"/>
    <col min="6145" max="6145" width="20.7109375" style="158" customWidth="1"/>
    <col min="6146" max="6146" width="15.7109375" style="158" customWidth="1"/>
    <col min="6147" max="6147" width="25.7109375" style="158" customWidth="1"/>
    <col min="6148" max="6148" width="9.140625" style="158"/>
    <col min="6149" max="6149" width="10.140625" style="158" customWidth="1"/>
    <col min="6150" max="6150" width="9.140625" style="158"/>
    <col min="6151" max="6151" width="6.7109375" style="158" customWidth="1"/>
    <col min="6152" max="6152" width="10.7109375" style="158" customWidth="1"/>
    <col min="6153" max="6154" width="9.140625" style="158"/>
    <col min="6155" max="6155" width="2.7109375" style="158" customWidth="1"/>
    <col min="6156" max="6400" width="9.140625" style="158"/>
    <col min="6401" max="6401" width="20.7109375" style="158" customWidth="1"/>
    <col min="6402" max="6402" width="15.7109375" style="158" customWidth="1"/>
    <col min="6403" max="6403" width="25.7109375" style="158" customWidth="1"/>
    <col min="6404" max="6404" width="9.140625" style="158"/>
    <col min="6405" max="6405" width="10.140625" style="158" customWidth="1"/>
    <col min="6406" max="6406" width="9.140625" style="158"/>
    <col min="6407" max="6407" width="6.7109375" style="158" customWidth="1"/>
    <col min="6408" max="6408" width="10.7109375" style="158" customWidth="1"/>
    <col min="6409" max="6410" width="9.140625" style="158"/>
    <col min="6411" max="6411" width="2.7109375" style="158" customWidth="1"/>
    <col min="6412" max="6656" width="9.140625" style="158"/>
    <col min="6657" max="6657" width="20.7109375" style="158" customWidth="1"/>
    <col min="6658" max="6658" width="15.7109375" style="158" customWidth="1"/>
    <col min="6659" max="6659" width="25.7109375" style="158" customWidth="1"/>
    <col min="6660" max="6660" width="9.140625" style="158"/>
    <col min="6661" max="6661" width="10.140625" style="158" customWidth="1"/>
    <col min="6662" max="6662" width="9.140625" style="158"/>
    <col min="6663" max="6663" width="6.7109375" style="158" customWidth="1"/>
    <col min="6664" max="6664" width="10.7109375" style="158" customWidth="1"/>
    <col min="6665" max="6666" width="9.140625" style="158"/>
    <col min="6667" max="6667" width="2.7109375" style="158" customWidth="1"/>
    <col min="6668" max="6912" width="9.140625" style="158"/>
    <col min="6913" max="6913" width="20.7109375" style="158" customWidth="1"/>
    <col min="6914" max="6914" width="15.7109375" style="158" customWidth="1"/>
    <col min="6915" max="6915" width="25.7109375" style="158" customWidth="1"/>
    <col min="6916" max="6916" width="9.140625" style="158"/>
    <col min="6917" max="6917" width="10.140625" style="158" customWidth="1"/>
    <col min="6918" max="6918" width="9.140625" style="158"/>
    <col min="6919" max="6919" width="6.7109375" style="158" customWidth="1"/>
    <col min="6920" max="6920" width="10.7109375" style="158" customWidth="1"/>
    <col min="6921" max="6922" width="9.140625" style="158"/>
    <col min="6923" max="6923" width="2.7109375" style="158" customWidth="1"/>
    <col min="6924" max="7168" width="9.140625" style="158"/>
    <col min="7169" max="7169" width="20.7109375" style="158" customWidth="1"/>
    <col min="7170" max="7170" width="15.7109375" style="158" customWidth="1"/>
    <col min="7171" max="7171" width="25.7109375" style="158" customWidth="1"/>
    <col min="7172" max="7172" width="9.140625" style="158"/>
    <col min="7173" max="7173" width="10.140625" style="158" customWidth="1"/>
    <col min="7174" max="7174" width="9.140625" style="158"/>
    <col min="7175" max="7175" width="6.7109375" style="158" customWidth="1"/>
    <col min="7176" max="7176" width="10.7109375" style="158" customWidth="1"/>
    <col min="7177" max="7178" width="9.140625" style="158"/>
    <col min="7179" max="7179" width="2.7109375" style="158" customWidth="1"/>
    <col min="7180" max="7424" width="9.140625" style="158"/>
    <col min="7425" max="7425" width="20.7109375" style="158" customWidth="1"/>
    <col min="7426" max="7426" width="15.7109375" style="158" customWidth="1"/>
    <col min="7427" max="7427" width="25.7109375" style="158" customWidth="1"/>
    <col min="7428" max="7428" width="9.140625" style="158"/>
    <col min="7429" max="7429" width="10.140625" style="158" customWidth="1"/>
    <col min="7430" max="7430" width="9.140625" style="158"/>
    <col min="7431" max="7431" width="6.7109375" style="158" customWidth="1"/>
    <col min="7432" max="7432" width="10.7109375" style="158" customWidth="1"/>
    <col min="7433" max="7434" width="9.140625" style="158"/>
    <col min="7435" max="7435" width="2.7109375" style="158" customWidth="1"/>
    <col min="7436" max="7680" width="9.140625" style="158"/>
    <col min="7681" max="7681" width="20.7109375" style="158" customWidth="1"/>
    <col min="7682" max="7682" width="15.7109375" style="158" customWidth="1"/>
    <col min="7683" max="7683" width="25.7109375" style="158" customWidth="1"/>
    <col min="7684" max="7684" width="9.140625" style="158"/>
    <col min="7685" max="7685" width="10.140625" style="158" customWidth="1"/>
    <col min="7686" max="7686" width="9.140625" style="158"/>
    <col min="7687" max="7687" width="6.7109375" style="158" customWidth="1"/>
    <col min="7688" max="7688" width="10.7109375" style="158" customWidth="1"/>
    <col min="7689" max="7690" width="9.140625" style="158"/>
    <col min="7691" max="7691" width="2.7109375" style="158" customWidth="1"/>
    <col min="7692" max="7936" width="9.140625" style="158"/>
    <col min="7937" max="7937" width="20.7109375" style="158" customWidth="1"/>
    <col min="7938" max="7938" width="15.7109375" style="158" customWidth="1"/>
    <col min="7939" max="7939" width="25.7109375" style="158" customWidth="1"/>
    <col min="7940" max="7940" width="9.140625" style="158"/>
    <col min="7941" max="7941" width="10.140625" style="158" customWidth="1"/>
    <col min="7942" max="7942" width="9.140625" style="158"/>
    <col min="7943" max="7943" width="6.7109375" style="158" customWidth="1"/>
    <col min="7944" max="7944" width="10.7109375" style="158" customWidth="1"/>
    <col min="7945" max="7946" width="9.140625" style="158"/>
    <col min="7947" max="7947" width="2.7109375" style="158" customWidth="1"/>
    <col min="7948" max="8192" width="9.140625" style="158"/>
    <col min="8193" max="8193" width="20.7109375" style="158" customWidth="1"/>
    <col min="8194" max="8194" width="15.7109375" style="158" customWidth="1"/>
    <col min="8195" max="8195" width="25.7109375" style="158" customWidth="1"/>
    <col min="8196" max="8196" width="9.140625" style="158"/>
    <col min="8197" max="8197" width="10.140625" style="158" customWidth="1"/>
    <col min="8198" max="8198" width="9.140625" style="158"/>
    <col min="8199" max="8199" width="6.7109375" style="158" customWidth="1"/>
    <col min="8200" max="8200" width="10.7109375" style="158" customWidth="1"/>
    <col min="8201" max="8202" width="9.140625" style="158"/>
    <col min="8203" max="8203" width="2.7109375" style="158" customWidth="1"/>
    <col min="8204" max="8448" width="9.140625" style="158"/>
    <col min="8449" max="8449" width="20.7109375" style="158" customWidth="1"/>
    <col min="8450" max="8450" width="15.7109375" style="158" customWidth="1"/>
    <col min="8451" max="8451" width="25.7109375" style="158" customWidth="1"/>
    <col min="8452" max="8452" width="9.140625" style="158"/>
    <col min="8453" max="8453" width="10.140625" style="158" customWidth="1"/>
    <col min="8454" max="8454" width="9.140625" style="158"/>
    <col min="8455" max="8455" width="6.7109375" style="158" customWidth="1"/>
    <col min="8456" max="8456" width="10.7109375" style="158" customWidth="1"/>
    <col min="8457" max="8458" width="9.140625" style="158"/>
    <col min="8459" max="8459" width="2.7109375" style="158" customWidth="1"/>
    <col min="8460" max="8704" width="9.140625" style="158"/>
    <col min="8705" max="8705" width="20.7109375" style="158" customWidth="1"/>
    <col min="8706" max="8706" width="15.7109375" style="158" customWidth="1"/>
    <col min="8707" max="8707" width="25.7109375" style="158" customWidth="1"/>
    <col min="8708" max="8708" width="9.140625" style="158"/>
    <col min="8709" max="8709" width="10.140625" style="158" customWidth="1"/>
    <col min="8710" max="8710" width="9.140625" style="158"/>
    <col min="8711" max="8711" width="6.7109375" style="158" customWidth="1"/>
    <col min="8712" max="8712" width="10.7109375" style="158" customWidth="1"/>
    <col min="8713" max="8714" width="9.140625" style="158"/>
    <col min="8715" max="8715" width="2.7109375" style="158" customWidth="1"/>
    <col min="8716" max="8960" width="9.140625" style="158"/>
    <col min="8961" max="8961" width="20.7109375" style="158" customWidth="1"/>
    <col min="8962" max="8962" width="15.7109375" style="158" customWidth="1"/>
    <col min="8963" max="8963" width="25.7109375" style="158" customWidth="1"/>
    <col min="8964" max="8964" width="9.140625" style="158"/>
    <col min="8965" max="8965" width="10.140625" style="158" customWidth="1"/>
    <col min="8966" max="8966" width="9.140625" style="158"/>
    <col min="8967" max="8967" width="6.7109375" style="158" customWidth="1"/>
    <col min="8968" max="8968" width="10.7109375" style="158" customWidth="1"/>
    <col min="8969" max="8970" width="9.140625" style="158"/>
    <col min="8971" max="8971" width="2.7109375" style="158" customWidth="1"/>
    <col min="8972" max="9216" width="9.140625" style="158"/>
    <col min="9217" max="9217" width="20.7109375" style="158" customWidth="1"/>
    <col min="9218" max="9218" width="15.7109375" style="158" customWidth="1"/>
    <col min="9219" max="9219" width="25.7109375" style="158" customWidth="1"/>
    <col min="9220" max="9220" width="9.140625" style="158"/>
    <col min="9221" max="9221" width="10.140625" style="158" customWidth="1"/>
    <col min="9222" max="9222" width="9.140625" style="158"/>
    <col min="9223" max="9223" width="6.7109375" style="158" customWidth="1"/>
    <col min="9224" max="9224" width="10.7109375" style="158" customWidth="1"/>
    <col min="9225" max="9226" width="9.140625" style="158"/>
    <col min="9227" max="9227" width="2.7109375" style="158" customWidth="1"/>
    <col min="9228" max="9472" width="9.140625" style="158"/>
    <col min="9473" max="9473" width="20.7109375" style="158" customWidth="1"/>
    <col min="9474" max="9474" width="15.7109375" style="158" customWidth="1"/>
    <col min="9475" max="9475" width="25.7109375" style="158" customWidth="1"/>
    <col min="9476" max="9476" width="9.140625" style="158"/>
    <col min="9477" max="9477" width="10.140625" style="158" customWidth="1"/>
    <col min="9478" max="9478" width="9.140625" style="158"/>
    <col min="9479" max="9479" width="6.7109375" style="158" customWidth="1"/>
    <col min="9480" max="9480" width="10.7109375" style="158" customWidth="1"/>
    <col min="9481" max="9482" width="9.140625" style="158"/>
    <col min="9483" max="9483" width="2.7109375" style="158" customWidth="1"/>
    <col min="9484" max="9728" width="9.140625" style="158"/>
    <col min="9729" max="9729" width="20.7109375" style="158" customWidth="1"/>
    <col min="9730" max="9730" width="15.7109375" style="158" customWidth="1"/>
    <col min="9731" max="9731" width="25.7109375" style="158" customWidth="1"/>
    <col min="9732" max="9732" width="9.140625" style="158"/>
    <col min="9733" max="9733" width="10.140625" style="158" customWidth="1"/>
    <col min="9734" max="9734" width="9.140625" style="158"/>
    <col min="9735" max="9735" width="6.7109375" style="158" customWidth="1"/>
    <col min="9736" max="9736" width="10.7109375" style="158" customWidth="1"/>
    <col min="9737" max="9738" width="9.140625" style="158"/>
    <col min="9739" max="9739" width="2.7109375" style="158" customWidth="1"/>
    <col min="9740" max="9984" width="9.140625" style="158"/>
    <col min="9985" max="9985" width="20.7109375" style="158" customWidth="1"/>
    <col min="9986" max="9986" width="15.7109375" style="158" customWidth="1"/>
    <col min="9987" max="9987" width="25.7109375" style="158" customWidth="1"/>
    <col min="9988" max="9988" width="9.140625" style="158"/>
    <col min="9989" max="9989" width="10.140625" style="158" customWidth="1"/>
    <col min="9990" max="9990" width="9.140625" style="158"/>
    <col min="9991" max="9991" width="6.7109375" style="158" customWidth="1"/>
    <col min="9992" max="9992" width="10.7109375" style="158" customWidth="1"/>
    <col min="9993" max="9994" width="9.140625" style="158"/>
    <col min="9995" max="9995" width="2.7109375" style="158" customWidth="1"/>
    <col min="9996" max="10240" width="9.140625" style="158"/>
    <col min="10241" max="10241" width="20.7109375" style="158" customWidth="1"/>
    <col min="10242" max="10242" width="15.7109375" style="158" customWidth="1"/>
    <col min="10243" max="10243" width="25.7109375" style="158" customWidth="1"/>
    <col min="10244" max="10244" width="9.140625" style="158"/>
    <col min="10245" max="10245" width="10.140625" style="158" customWidth="1"/>
    <col min="10246" max="10246" width="9.140625" style="158"/>
    <col min="10247" max="10247" width="6.7109375" style="158" customWidth="1"/>
    <col min="10248" max="10248" width="10.7109375" style="158" customWidth="1"/>
    <col min="10249" max="10250" width="9.140625" style="158"/>
    <col min="10251" max="10251" width="2.7109375" style="158" customWidth="1"/>
    <col min="10252" max="10496" width="9.140625" style="158"/>
    <col min="10497" max="10497" width="20.7109375" style="158" customWidth="1"/>
    <col min="10498" max="10498" width="15.7109375" style="158" customWidth="1"/>
    <col min="10499" max="10499" width="25.7109375" style="158" customWidth="1"/>
    <col min="10500" max="10500" width="9.140625" style="158"/>
    <col min="10501" max="10501" width="10.140625" style="158" customWidth="1"/>
    <col min="10502" max="10502" width="9.140625" style="158"/>
    <col min="10503" max="10503" width="6.7109375" style="158" customWidth="1"/>
    <col min="10504" max="10504" width="10.7109375" style="158" customWidth="1"/>
    <col min="10505" max="10506" width="9.140625" style="158"/>
    <col min="10507" max="10507" width="2.7109375" style="158" customWidth="1"/>
    <col min="10508" max="10752" width="9.140625" style="158"/>
    <col min="10753" max="10753" width="20.7109375" style="158" customWidth="1"/>
    <col min="10754" max="10754" width="15.7109375" style="158" customWidth="1"/>
    <col min="10755" max="10755" width="25.7109375" style="158" customWidth="1"/>
    <col min="10756" max="10756" width="9.140625" style="158"/>
    <col min="10757" max="10757" width="10.140625" style="158" customWidth="1"/>
    <col min="10758" max="10758" width="9.140625" style="158"/>
    <col min="10759" max="10759" width="6.7109375" style="158" customWidth="1"/>
    <col min="10760" max="10760" width="10.7109375" style="158" customWidth="1"/>
    <col min="10761" max="10762" width="9.140625" style="158"/>
    <col min="10763" max="10763" width="2.7109375" style="158" customWidth="1"/>
    <col min="10764" max="11008" width="9.140625" style="158"/>
    <col min="11009" max="11009" width="20.7109375" style="158" customWidth="1"/>
    <col min="11010" max="11010" width="15.7109375" style="158" customWidth="1"/>
    <col min="11011" max="11011" width="25.7109375" style="158" customWidth="1"/>
    <col min="11012" max="11012" width="9.140625" style="158"/>
    <col min="11013" max="11013" width="10.140625" style="158" customWidth="1"/>
    <col min="11014" max="11014" width="9.140625" style="158"/>
    <col min="11015" max="11015" width="6.7109375" style="158" customWidth="1"/>
    <col min="11016" max="11016" width="10.7109375" style="158" customWidth="1"/>
    <col min="11017" max="11018" width="9.140625" style="158"/>
    <col min="11019" max="11019" width="2.7109375" style="158" customWidth="1"/>
    <col min="11020" max="11264" width="9.140625" style="158"/>
    <col min="11265" max="11265" width="20.7109375" style="158" customWidth="1"/>
    <col min="11266" max="11266" width="15.7109375" style="158" customWidth="1"/>
    <col min="11267" max="11267" width="25.7109375" style="158" customWidth="1"/>
    <col min="11268" max="11268" width="9.140625" style="158"/>
    <col min="11269" max="11269" width="10.140625" style="158" customWidth="1"/>
    <col min="11270" max="11270" width="9.140625" style="158"/>
    <col min="11271" max="11271" width="6.7109375" style="158" customWidth="1"/>
    <col min="11272" max="11272" width="10.7109375" style="158" customWidth="1"/>
    <col min="11273" max="11274" width="9.140625" style="158"/>
    <col min="11275" max="11275" width="2.7109375" style="158" customWidth="1"/>
    <col min="11276" max="11520" width="9.140625" style="158"/>
    <col min="11521" max="11521" width="20.7109375" style="158" customWidth="1"/>
    <col min="11522" max="11522" width="15.7109375" style="158" customWidth="1"/>
    <col min="11523" max="11523" width="25.7109375" style="158" customWidth="1"/>
    <col min="11524" max="11524" width="9.140625" style="158"/>
    <col min="11525" max="11525" width="10.140625" style="158" customWidth="1"/>
    <col min="11526" max="11526" width="9.140625" style="158"/>
    <col min="11527" max="11527" width="6.7109375" style="158" customWidth="1"/>
    <col min="11528" max="11528" width="10.7109375" style="158" customWidth="1"/>
    <col min="11529" max="11530" width="9.140625" style="158"/>
    <col min="11531" max="11531" width="2.7109375" style="158" customWidth="1"/>
    <col min="11532" max="11776" width="9.140625" style="158"/>
    <col min="11777" max="11777" width="20.7109375" style="158" customWidth="1"/>
    <col min="11778" max="11778" width="15.7109375" style="158" customWidth="1"/>
    <col min="11779" max="11779" width="25.7109375" style="158" customWidth="1"/>
    <col min="11780" max="11780" width="9.140625" style="158"/>
    <col min="11781" max="11781" width="10.140625" style="158" customWidth="1"/>
    <col min="11782" max="11782" width="9.140625" style="158"/>
    <col min="11783" max="11783" width="6.7109375" style="158" customWidth="1"/>
    <col min="11784" max="11784" width="10.7109375" style="158" customWidth="1"/>
    <col min="11785" max="11786" width="9.140625" style="158"/>
    <col min="11787" max="11787" width="2.7109375" style="158" customWidth="1"/>
    <col min="11788" max="12032" width="9.140625" style="158"/>
    <col min="12033" max="12033" width="20.7109375" style="158" customWidth="1"/>
    <col min="12034" max="12034" width="15.7109375" style="158" customWidth="1"/>
    <col min="12035" max="12035" width="25.7109375" style="158" customWidth="1"/>
    <col min="12036" max="12036" width="9.140625" style="158"/>
    <col min="12037" max="12037" width="10.140625" style="158" customWidth="1"/>
    <col min="12038" max="12038" width="9.140625" style="158"/>
    <col min="12039" max="12039" width="6.7109375" style="158" customWidth="1"/>
    <col min="12040" max="12040" width="10.7109375" style="158" customWidth="1"/>
    <col min="12041" max="12042" width="9.140625" style="158"/>
    <col min="12043" max="12043" width="2.7109375" style="158" customWidth="1"/>
    <col min="12044" max="12288" width="9.140625" style="158"/>
    <col min="12289" max="12289" width="20.7109375" style="158" customWidth="1"/>
    <col min="12290" max="12290" width="15.7109375" style="158" customWidth="1"/>
    <col min="12291" max="12291" width="25.7109375" style="158" customWidth="1"/>
    <col min="12292" max="12292" width="9.140625" style="158"/>
    <col min="12293" max="12293" width="10.140625" style="158" customWidth="1"/>
    <col min="12294" max="12294" width="9.140625" style="158"/>
    <col min="12295" max="12295" width="6.7109375" style="158" customWidth="1"/>
    <col min="12296" max="12296" width="10.7109375" style="158" customWidth="1"/>
    <col min="12297" max="12298" width="9.140625" style="158"/>
    <col min="12299" max="12299" width="2.7109375" style="158" customWidth="1"/>
    <col min="12300" max="12544" width="9.140625" style="158"/>
    <col min="12545" max="12545" width="20.7109375" style="158" customWidth="1"/>
    <col min="12546" max="12546" width="15.7109375" style="158" customWidth="1"/>
    <col min="12547" max="12547" width="25.7109375" style="158" customWidth="1"/>
    <col min="12548" max="12548" width="9.140625" style="158"/>
    <col min="12549" max="12549" width="10.140625" style="158" customWidth="1"/>
    <col min="12550" max="12550" width="9.140625" style="158"/>
    <col min="12551" max="12551" width="6.7109375" style="158" customWidth="1"/>
    <col min="12552" max="12552" width="10.7109375" style="158" customWidth="1"/>
    <col min="12553" max="12554" width="9.140625" style="158"/>
    <col min="12555" max="12555" width="2.7109375" style="158" customWidth="1"/>
    <col min="12556" max="12800" width="9.140625" style="158"/>
    <col min="12801" max="12801" width="20.7109375" style="158" customWidth="1"/>
    <col min="12802" max="12802" width="15.7109375" style="158" customWidth="1"/>
    <col min="12803" max="12803" width="25.7109375" style="158" customWidth="1"/>
    <col min="12804" max="12804" width="9.140625" style="158"/>
    <col min="12805" max="12805" width="10.140625" style="158" customWidth="1"/>
    <col min="12806" max="12806" width="9.140625" style="158"/>
    <col min="12807" max="12807" width="6.7109375" style="158" customWidth="1"/>
    <col min="12808" max="12808" width="10.7109375" style="158" customWidth="1"/>
    <col min="12809" max="12810" width="9.140625" style="158"/>
    <col min="12811" max="12811" width="2.7109375" style="158" customWidth="1"/>
    <col min="12812" max="13056" width="9.140625" style="158"/>
    <col min="13057" max="13057" width="20.7109375" style="158" customWidth="1"/>
    <col min="13058" max="13058" width="15.7109375" style="158" customWidth="1"/>
    <col min="13059" max="13059" width="25.7109375" style="158" customWidth="1"/>
    <col min="13060" max="13060" width="9.140625" style="158"/>
    <col min="13061" max="13061" width="10.140625" style="158" customWidth="1"/>
    <col min="13062" max="13062" width="9.140625" style="158"/>
    <col min="13063" max="13063" width="6.7109375" style="158" customWidth="1"/>
    <col min="13064" max="13064" width="10.7109375" style="158" customWidth="1"/>
    <col min="13065" max="13066" width="9.140625" style="158"/>
    <col min="13067" max="13067" width="2.7109375" style="158" customWidth="1"/>
    <col min="13068" max="13312" width="9.140625" style="158"/>
    <col min="13313" max="13313" width="20.7109375" style="158" customWidth="1"/>
    <col min="13314" max="13314" width="15.7109375" style="158" customWidth="1"/>
    <col min="13315" max="13315" width="25.7109375" style="158" customWidth="1"/>
    <col min="13316" max="13316" width="9.140625" style="158"/>
    <col min="13317" max="13317" width="10.140625" style="158" customWidth="1"/>
    <col min="13318" max="13318" width="9.140625" style="158"/>
    <col min="13319" max="13319" width="6.7109375" style="158" customWidth="1"/>
    <col min="13320" max="13320" width="10.7109375" style="158" customWidth="1"/>
    <col min="13321" max="13322" width="9.140625" style="158"/>
    <col min="13323" max="13323" width="2.7109375" style="158" customWidth="1"/>
    <col min="13324" max="13568" width="9.140625" style="158"/>
    <col min="13569" max="13569" width="20.7109375" style="158" customWidth="1"/>
    <col min="13570" max="13570" width="15.7109375" style="158" customWidth="1"/>
    <col min="13571" max="13571" width="25.7109375" style="158" customWidth="1"/>
    <col min="13572" max="13572" width="9.140625" style="158"/>
    <col min="13573" max="13573" width="10.140625" style="158" customWidth="1"/>
    <col min="13574" max="13574" width="9.140625" style="158"/>
    <col min="13575" max="13575" width="6.7109375" style="158" customWidth="1"/>
    <col min="13576" max="13576" width="10.7109375" style="158" customWidth="1"/>
    <col min="13577" max="13578" width="9.140625" style="158"/>
    <col min="13579" max="13579" width="2.7109375" style="158" customWidth="1"/>
    <col min="13580" max="13824" width="9.140625" style="158"/>
    <col min="13825" max="13825" width="20.7109375" style="158" customWidth="1"/>
    <col min="13826" max="13826" width="15.7109375" style="158" customWidth="1"/>
    <col min="13827" max="13827" width="25.7109375" style="158" customWidth="1"/>
    <col min="13828" max="13828" width="9.140625" style="158"/>
    <col min="13829" max="13829" width="10.140625" style="158" customWidth="1"/>
    <col min="13830" max="13830" width="9.140625" style="158"/>
    <col min="13831" max="13831" width="6.7109375" style="158" customWidth="1"/>
    <col min="13832" max="13832" width="10.7109375" style="158" customWidth="1"/>
    <col min="13833" max="13834" width="9.140625" style="158"/>
    <col min="13835" max="13835" width="2.7109375" style="158" customWidth="1"/>
    <col min="13836" max="14080" width="9.140625" style="158"/>
    <col min="14081" max="14081" width="20.7109375" style="158" customWidth="1"/>
    <col min="14082" max="14082" width="15.7109375" style="158" customWidth="1"/>
    <col min="14083" max="14083" width="25.7109375" style="158" customWidth="1"/>
    <col min="14084" max="14084" width="9.140625" style="158"/>
    <col min="14085" max="14085" width="10.140625" style="158" customWidth="1"/>
    <col min="14086" max="14086" width="9.140625" style="158"/>
    <col min="14087" max="14087" width="6.7109375" style="158" customWidth="1"/>
    <col min="14088" max="14088" width="10.7109375" style="158" customWidth="1"/>
    <col min="14089" max="14090" width="9.140625" style="158"/>
    <col min="14091" max="14091" width="2.7109375" style="158" customWidth="1"/>
    <col min="14092" max="14336" width="9.140625" style="158"/>
    <col min="14337" max="14337" width="20.7109375" style="158" customWidth="1"/>
    <col min="14338" max="14338" width="15.7109375" style="158" customWidth="1"/>
    <col min="14339" max="14339" width="25.7109375" style="158" customWidth="1"/>
    <col min="14340" max="14340" width="9.140625" style="158"/>
    <col min="14341" max="14341" width="10.140625" style="158" customWidth="1"/>
    <col min="14342" max="14342" width="9.140625" style="158"/>
    <col min="14343" max="14343" width="6.7109375" style="158" customWidth="1"/>
    <col min="14344" max="14344" width="10.7109375" style="158" customWidth="1"/>
    <col min="14345" max="14346" width="9.140625" style="158"/>
    <col min="14347" max="14347" width="2.7109375" style="158" customWidth="1"/>
    <col min="14348" max="14592" width="9.140625" style="158"/>
    <col min="14593" max="14593" width="20.7109375" style="158" customWidth="1"/>
    <col min="14594" max="14594" width="15.7109375" style="158" customWidth="1"/>
    <col min="14595" max="14595" width="25.7109375" style="158" customWidth="1"/>
    <col min="14596" max="14596" width="9.140625" style="158"/>
    <col min="14597" max="14597" width="10.140625" style="158" customWidth="1"/>
    <col min="14598" max="14598" width="9.140625" style="158"/>
    <col min="14599" max="14599" width="6.7109375" style="158" customWidth="1"/>
    <col min="14600" max="14600" width="10.7109375" style="158" customWidth="1"/>
    <col min="14601" max="14602" width="9.140625" style="158"/>
    <col min="14603" max="14603" width="2.7109375" style="158" customWidth="1"/>
    <col min="14604" max="14848" width="9.140625" style="158"/>
    <col min="14849" max="14849" width="20.7109375" style="158" customWidth="1"/>
    <col min="14850" max="14850" width="15.7109375" style="158" customWidth="1"/>
    <col min="14851" max="14851" width="25.7109375" style="158" customWidth="1"/>
    <col min="14852" max="14852" width="9.140625" style="158"/>
    <col min="14853" max="14853" width="10.140625" style="158" customWidth="1"/>
    <col min="14854" max="14854" width="9.140625" style="158"/>
    <col min="14855" max="14855" width="6.7109375" style="158" customWidth="1"/>
    <col min="14856" max="14856" width="10.7109375" style="158" customWidth="1"/>
    <col min="14857" max="14858" width="9.140625" style="158"/>
    <col min="14859" max="14859" width="2.7109375" style="158" customWidth="1"/>
    <col min="14860" max="15104" width="9.140625" style="158"/>
    <col min="15105" max="15105" width="20.7109375" style="158" customWidth="1"/>
    <col min="15106" max="15106" width="15.7109375" style="158" customWidth="1"/>
    <col min="15107" max="15107" width="25.7109375" style="158" customWidth="1"/>
    <col min="15108" max="15108" width="9.140625" style="158"/>
    <col min="15109" max="15109" width="10.140625" style="158" customWidth="1"/>
    <col min="15110" max="15110" width="9.140625" style="158"/>
    <col min="15111" max="15111" width="6.7109375" style="158" customWidth="1"/>
    <col min="15112" max="15112" width="10.7109375" style="158" customWidth="1"/>
    <col min="15113" max="15114" width="9.140625" style="158"/>
    <col min="15115" max="15115" width="2.7109375" style="158" customWidth="1"/>
    <col min="15116" max="15360" width="9.140625" style="158"/>
    <col min="15361" max="15361" width="20.7109375" style="158" customWidth="1"/>
    <col min="15362" max="15362" width="15.7109375" style="158" customWidth="1"/>
    <col min="15363" max="15363" width="25.7109375" style="158" customWidth="1"/>
    <col min="15364" max="15364" width="9.140625" style="158"/>
    <col min="15365" max="15365" width="10.140625" style="158" customWidth="1"/>
    <col min="15366" max="15366" width="9.140625" style="158"/>
    <col min="15367" max="15367" width="6.7109375" style="158" customWidth="1"/>
    <col min="15368" max="15368" width="10.7109375" style="158" customWidth="1"/>
    <col min="15369" max="15370" width="9.140625" style="158"/>
    <col min="15371" max="15371" width="2.7109375" style="158" customWidth="1"/>
    <col min="15372" max="15616" width="9.140625" style="158"/>
    <col min="15617" max="15617" width="20.7109375" style="158" customWidth="1"/>
    <col min="15618" max="15618" width="15.7109375" style="158" customWidth="1"/>
    <col min="15619" max="15619" width="25.7109375" style="158" customWidth="1"/>
    <col min="15620" max="15620" width="9.140625" style="158"/>
    <col min="15621" max="15621" width="10.140625" style="158" customWidth="1"/>
    <col min="15622" max="15622" width="9.140625" style="158"/>
    <col min="15623" max="15623" width="6.7109375" style="158" customWidth="1"/>
    <col min="15624" max="15624" width="10.7109375" style="158" customWidth="1"/>
    <col min="15625" max="15626" width="9.140625" style="158"/>
    <col min="15627" max="15627" width="2.7109375" style="158" customWidth="1"/>
    <col min="15628" max="15872" width="9.140625" style="158"/>
    <col min="15873" max="15873" width="20.7109375" style="158" customWidth="1"/>
    <col min="15874" max="15874" width="15.7109375" style="158" customWidth="1"/>
    <col min="15875" max="15875" width="25.7109375" style="158" customWidth="1"/>
    <col min="15876" max="15876" width="9.140625" style="158"/>
    <col min="15877" max="15877" width="10.140625" style="158" customWidth="1"/>
    <col min="15878" max="15878" width="9.140625" style="158"/>
    <col min="15879" max="15879" width="6.7109375" style="158" customWidth="1"/>
    <col min="15880" max="15880" width="10.7109375" style="158" customWidth="1"/>
    <col min="15881" max="15882" width="9.140625" style="158"/>
    <col min="15883" max="15883" width="2.7109375" style="158" customWidth="1"/>
    <col min="15884" max="16128" width="9.140625" style="158"/>
    <col min="16129" max="16129" width="20.7109375" style="158" customWidth="1"/>
    <col min="16130" max="16130" width="15.7109375" style="158" customWidth="1"/>
    <col min="16131" max="16131" width="25.7109375" style="158" customWidth="1"/>
    <col min="16132" max="16132" width="9.140625" style="158"/>
    <col min="16133" max="16133" width="10.140625" style="158" customWidth="1"/>
    <col min="16134" max="16134" width="9.140625" style="158"/>
    <col min="16135" max="16135" width="6.7109375" style="158" customWidth="1"/>
    <col min="16136" max="16136" width="10.7109375" style="158" customWidth="1"/>
    <col min="16137" max="16138" width="9.140625" style="158"/>
    <col min="16139" max="16139" width="2.7109375" style="158" customWidth="1"/>
    <col min="16140" max="16384" width="9.140625" style="158"/>
  </cols>
  <sheetData>
    <row r="1" spans="1:9" ht="13.5" thickBot="1" x14ac:dyDescent="0.25"/>
    <row r="2" spans="1:9" ht="20.25" x14ac:dyDescent="0.3">
      <c r="A2" s="164" t="s">
        <v>218</v>
      </c>
      <c r="C2" s="165" t="s">
        <v>219</v>
      </c>
      <c r="D2" s="166">
        <v>74.2</v>
      </c>
    </row>
    <row r="3" spans="1:9" x14ac:dyDescent="0.2">
      <c r="A3" s="158" t="s">
        <v>220</v>
      </c>
      <c r="C3" s="167" t="s">
        <v>221</v>
      </c>
      <c r="D3" s="168">
        <v>104.4</v>
      </c>
    </row>
    <row r="4" spans="1:9" ht="13.5" thickBot="1" x14ac:dyDescent="0.25">
      <c r="C4" s="169" t="s">
        <v>222</v>
      </c>
      <c r="D4" s="170">
        <v>37.1</v>
      </c>
    </row>
    <row r="6" spans="1:9" x14ac:dyDescent="0.2">
      <c r="C6" s="171" t="s">
        <v>102</v>
      </c>
      <c r="D6" s="172">
        <v>-7.4099999999999999E-2</v>
      </c>
      <c r="F6" s="158" t="s">
        <v>223</v>
      </c>
      <c r="G6" s="173">
        <f>+D2*(1+D6)+D4*(1+D6)^(1/2)</f>
        <v>104.40077184851023</v>
      </c>
    </row>
    <row r="7" spans="1:9" ht="13.5" thickBot="1" x14ac:dyDescent="0.25"/>
    <row r="8" spans="1:9" ht="20.25" x14ac:dyDescent="0.3">
      <c r="A8" s="164" t="s">
        <v>224</v>
      </c>
      <c r="C8" s="165" t="s">
        <v>219</v>
      </c>
      <c r="D8" s="166">
        <v>74.2</v>
      </c>
    </row>
    <row r="9" spans="1:9" ht="13.5" thickBot="1" x14ac:dyDescent="0.25">
      <c r="A9" s="158" t="s">
        <v>102</v>
      </c>
      <c r="C9" s="167" t="s">
        <v>221</v>
      </c>
      <c r="D9" s="168">
        <v>104.4</v>
      </c>
    </row>
    <row r="10" spans="1:9" ht="16.5" thickBot="1" x14ac:dyDescent="0.35">
      <c r="C10" s="169" t="s">
        <v>222</v>
      </c>
      <c r="D10" s="170">
        <v>37.1</v>
      </c>
      <c r="E10" s="158" t="s">
        <v>0</v>
      </c>
      <c r="F10" s="174" t="s">
        <v>225</v>
      </c>
      <c r="G10" s="175">
        <v>14</v>
      </c>
      <c r="H10" s="176" t="s">
        <v>226</v>
      </c>
      <c r="I10" s="166"/>
    </row>
    <row r="11" spans="1:9" ht="13.5" thickBot="1" x14ac:dyDescent="0.25">
      <c r="F11" s="177" t="s">
        <v>227</v>
      </c>
      <c r="G11" s="178">
        <v>31</v>
      </c>
      <c r="H11" s="179" t="s">
        <v>228</v>
      </c>
      <c r="I11" s="170"/>
    </row>
    <row r="13" spans="1:9" x14ac:dyDescent="0.2">
      <c r="C13" s="171" t="s">
        <v>102</v>
      </c>
      <c r="D13" s="172">
        <v>-7.2700000000000001E-2</v>
      </c>
      <c r="F13" s="158" t="s">
        <v>223</v>
      </c>
      <c r="G13" s="173">
        <f>+D8*(1+D13)+D10*(1+D13)^((31-14)/31)</f>
        <v>104.40139156835036</v>
      </c>
    </row>
    <row r="14" spans="1:9" ht="13.5" thickBot="1" x14ac:dyDescent="0.25"/>
    <row r="15" spans="1:9" ht="20.25" x14ac:dyDescent="0.3">
      <c r="A15" s="164" t="s">
        <v>229</v>
      </c>
      <c r="C15" s="165" t="s">
        <v>219</v>
      </c>
      <c r="D15" s="166">
        <v>74.2</v>
      </c>
    </row>
    <row r="16" spans="1:9" x14ac:dyDescent="0.2">
      <c r="A16" s="158" t="s">
        <v>220</v>
      </c>
      <c r="C16" s="167" t="s">
        <v>221</v>
      </c>
      <c r="D16" s="168">
        <v>104.4</v>
      </c>
    </row>
    <row r="17" spans="1:4" ht="13.5" thickBot="1" x14ac:dyDescent="0.25">
      <c r="A17" s="158" t="s">
        <v>230</v>
      </c>
      <c r="C17" s="169" t="s">
        <v>222</v>
      </c>
      <c r="D17" s="170">
        <v>37.1</v>
      </c>
    </row>
    <row r="19" spans="1:4" ht="14.25" x14ac:dyDescent="0.2">
      <c r="C19" s="180" t="s">
        <v>231</v>
      </c>
      <c r="D19" s="181">
        <f>(-D17+((D17^2-(4*D15*(-1*D16)))^0.5))/(2*D15)</f>
        <v>0.96223268651417315</v>
      </c>
    </row>
    <row r="20" spans="1:4" x14ac:dyDescent="0.2">
      <c r="C20" s="171" t="s">
        <v>102</v>
      </c>
      <c r="D20" s="172">
        <f>+D19^2-1</f>
        <v>-7.4108257003716926E-2</v>
      </c>
    </row>
    <row r="22" spans="1:4" ht="13.5" thickBot="1" x14ac:dyDescent="0.25"/>
    <row r="23" spans="1:4" ht="20.25" x14ac:dyDescent="0.3">
      <c r="A23" s="164" t="s">
        <v>232</v>
      </c>
      <c r="C23" s="165" t="s">
        <v>219</v>
      </c>
      <c r="D23" s="166">
        <v>74.2</v>
      </c>
    </row>
    <row r="24" spans="1:4" x14ac:dyDescent="0.2">
      <c r="A24" s="158" t="s">
        <v>233</v>
      </c>
      <c r="C24" s="167" t="s">
        <v>221</v>
      </c>
      <c r="D24" s="168">
        <v>104.4</v>
      </c>
    </row>
    <row r="25" spans="1:4" ht="13.5" thickBot="1" x14ac:dyDescent="0.25">
      <c r="C25" s="169" t="s">
        <v>222</v>
      </c>
      <c r="D25" s="170">
        <v>37.1</v>
      </c>
    </row>
    <row r="27" spans="1:4" x14ac:dyDescent="0.2">
      <c r="C27" s="182" t="s">
        <v>234</v>
      </c>
      <c r="D27" s="172">
        <f>(D24-D23-D25)/(D23+D25/2)</f>
        <v>-7.4393530997304572E-2</v>
      </c>
    </row>
    <row r="28" spans="1:4" ht="13.5" thickBot="1" x14ac:dyDescent="0.25"/>
    <row r="29" spans="1:4" ht="20.25" x14ac:dyDescent="0.3">
      <c r="A29" s="164" t="s">
        <v>235</v>
      </c>
      <c r="C29" s="165" t="s">
        <v>219</v>
      </c>
      <c r="D29" s="166">
        <v>74.2</v>
      </c>
    </row>
    <row r="30" spans="1:4" x14ac:dyDescent="0.2">
      <c r="A30" s="158" t="s">
        <v>236</v>
      </c>
      <c r="C30" s="167" t="s">
        <v>221</v>
      </c>
      <c r="D30" s="168">
        <v>104.2</v>
      </c>
    </row>
    <row r="31" spans="1:4" x14ac:dyDescent="0.2">
      <c r="C31" s="167" t="s">
        <v>222</v>
      </c>
      <c r="D31" s="168">
        <v>37.1</v>
      </c>
    </row>
    <row r="32" spans="1:4" x14ac:dyDescent="0.2">
      <c r="C32" s="167" t="s">
        <v>237</v>
      </c>
      <c r="D32" s="168">
        <v>0.4</v>
      </c>
    </row>
    <row r="33" spans="1:9" ht="13.5" thickBot="1" x14ac:dyDescent="0.25">
      <c r="C33" s="169" t="s">
        <v>238</v>
      </c>
      <c r="D33" s="170">
        <v>0.2</v>
      </c>
    </row>
    <row r="35" spans="1:9" x14ac:dyDescent="0.2">
      <c r="C35" s="182" t="s">
        <v>234</v>
      </c>
      <c r="D35" s="172">
        <f>(D30-D29-(D31+D33)+D32)/(D29+(D31+D33)/2)</f>
        <v>-7.4313408723748017E-2</v>
      </c>
      <c r="E35" s="171"/>
    </row>
    <row r="36" spans="1:9" ht="13.5" thickBot="1" x14ac:dyDescent="0.25"/>
    <row r="37" spans="1:9" ht="20.25" x14ac:dyDescent="0.3">
      <c r="A37" s="164" t="s">
        <v>239</v>
      </c>
      <c r="C37" s="165" t="s">
        <v>219</v>
      </c>
      <c r="D37" s="166">
        <v>74.2</v>
      </c>
    </row>
    <row r="38" spans="1:9" x14ac:dyDescent="0.2">
      <c r="A38" s="158" t="s">
        <v>240</v>
      </c>
      <c r="C38" s="167" t="s">
        <v>221</v>
      </c>
      <c r="D38" s="168">
        <v>104</v>
      </c>
    </row>
    <row r="39" spans="1:9" x14ac:dyDescent="0.2">
      <c r="C39" s="167" t="s">
        <v>222</v>
      </c>
      <c r="D39" s="168">
        <v>37.1</v>
      </c>
    </row>
    <row r="40" spans="1:9" ht="13.5" thickBot="1" x14ac:dyDescent="0.25">
      <c r="C40" s="169" t="s">
        <v>237</v>
      </c>
      <c r="D40" s="170">
        <v>0.4</v>
      </c>
    </row>
    <row r="42" spans="1:9" x14ac:dyDescent="0.2">
      <c r="C42" s="182" t="s">
        <v>234</v>
      </c>
      <c r="D42" s="172">
        <f>(D38-D37-D39+D40)/(D37+(D39-D40)/2)</f>
        <v>-7.4554294975688856E-2</v>
      </c>
    </row>
    <row r="43" spans="1:9" ht="13.5" thickBot="1" x14ac:dyDescent="0.25"/>
    <row r="44" spans="1:9" ht="20.25" x14ac:dyDescent="0.3">
      <c r="A44" s="164" t="s">
        <v>241</v>
      </c>
      <c r="C44" s="165" t="s">
        <v>219</v>
      </c>
      <c r="D44" s="166">
        <v>74.2</v>
      </c>
    </row>
    <row r="45" spans="1:9" ht="13.5" thickBot="1" x14ac:dyDescent="0.25">
      <c r="A45" s="158" t="s">
        <v>242</v>
      </c>
      <c r="C45" s="167" t="s">
        <v>221</v>
      </c>
      <c r="D45" s="168">
        <v>104.4</v>
      </c>
    </row>
    <row r="46" spans="1:9" ht="16.5" thickBot="1" x14ac:dyDescent="0.35">
      <c r="C46" s="169" t="s">
        <v>222</v>
      </c>
      <c r="D46" s="170">
        <v>37.1</v>
      </c>
      <c r="E46" s="158" t="s">
        <v>0</v>
      </c>
      <c r="F46" s="174" t="s">
        <v>225</v>
      </c>
      <c r="G46" s="175">
        <v>14</v>
      </c>
      <c r="H46" s="176" t="s">
        <v>226</v>
      </c>
      <c r="I46" s="166"/>
    </row>
    <row r="47" spans="1:9" ht="13.5" thickBot="1" x14ac:dyDescent="0.25">
      <c r="F47" s="177" t="s">
        <v>227</v>
      </c>
      <c r="G47" s="178">
        <v>31</v>
      </c>
      <c r="H47" s="179" t="s">
        <v>228</v>
      </c>
      <c r="I47" s="170"/>
    </row>
    <row r="48" spans="1:9" x14ac:dyDescent="0.2">
      <c r="F48" s="180"/>
      <c r="G48" s="183"/>
    </row>
    <row r="49" spans="1:6" x14ac:dyDescent="0.2">
      <c r="B49" s="171" t="s">
        <v>243</v>
      </c>
      <c r="C49" s="182" t="s">
        <v>234</v>
      </c>
      <c r="D49" s="172">
        <f>(D$45-D$44-D$46)/(D$44+(31-14)/31*D$46)</f>
        <v>-7.2980995598621562E-2</v>
      </c>
    </row>
    <row r="50" spans="1:6" x14ac:dyDescent="0.2">
      <c r="B50" s="171"/>
      <c r="C50" s="171"/>
      <c r="D50" s="171"/>
    </row>
    <row r="51" spans="1:6" x14ac:dyDescent="0.2">
      <c r="B51" s="171" t="s">
        <v>244</v>
      </c>
      <c r="C51" s="182" t="s">
        <v>234</v>
      </c>
      <c r="D51" s="172">
        <f>(D$45-D$44-D$46)/(D$44+(31-13)/31*D$46)</f>
        <v>-7.2068733153638792E-2</v>
      </c>
      <c r="F51" s="184" t="s">
        <v>245</v>
      </c>
    </row>
    <row r="53" spans="1:6" ht="13.5" thickBot="1" x14ac:dyDescent="0.25"/>
    <row r="54" spans="1:6" ht="20.25" x14ac:dyDescent="0.3">
      <c r="A54" s="164" t="s">
        <v>246</v>
      </c>
      <c r="C54" s="165" t="s">
        <v>219</v>
      </c>
      <c r="D54" s="166">
        <v>74.2</v>
      </c>
    </row>
    <row r="55" spans="1:6" x14ac:dyDescent="0.2">
      <c r="A55" s="158" t="s">
        <v>247</v>
      </c>
      <c r="C55" s="167" t="s">
        <v>221</v>
      </c>
      <c r="D55" s="168">
        <v>104.4</v>
      </c>
    </row>
    <row r="56" spans="1:6" x14ac:dyDescent="0.2">
      <c r="A56" s="158" t="s">
        <v>248</v>
      </c>
      <c r="C56" s="167" t="s">
        <v>222</v>
      </c>
      <c r="D56" s="168">
        <v>37.1</v>
      </c>
    </row>
    <row r="57" spans="1:6" ht="13.5" thickBot="1" x14ac:dyDescent="0.25">
      <c r="C57" s="169" t="s">
        <v>249</v>
      </c>
      <c r="D57" s="170">
        <v>103.1</v>
      </c>
      <c r="F57" s="184" t="s">
        <v>250</v>
      </c>
    </row>
    <row r="60" spans="1:6" ht="15.75" x14ac:dyDescent="0.3">
      <c r="B60" s="158" t="s">
        <v>251</v>
      </c>
      <c r="C60" s="180" t="s">
        <v>252</v>
      </c>
      <c r="D60" s="185">
        <f>(D57-D56)/D54-1</f>
        <v>-0.11051212938005395</v>
      </c>
    </row>
    <row r="62" spans="1:6" ht="15.75" x14ac:dyDescent="0.3">
      <c r="B62" s="158" t="s">
        <v>253</v>
      </c>
      <c r="C62" s="180" t="s">
        <v>254</v>
      </c>
      <c r="D62" s="185">
        <f>+D55/D57-1</f>
        <v>1.2609117361784827E-2</v>
      </c>
    </row>
    <row r="64" spans="1:6" ht="14.25" x14ac:dyDescent="0.25">
      <c r="B64" s="171" t="s">
        <v>255</v>
      </c>
      <c r="C64" s="182" t="s">
        <v>256</v>
      </c>
      <c r="D64" s="172">
        <f>(1+D60)*(1+D62)-1</f>
        <v>-9.929647242752293E-2</v>
      </c>
    </row>
    <row r="66" spans="1:6" ht="13.5" thickBot="1" x14ac:dyDescent="0.25"/>
    <row r="67" spans="1:6" ht="20.25" x14ac:dyDescent="0.3">
      <c r="A67" s="164" t="s">
        <v>257</v>
      </c>
      <c r="C67" s="165" t="s">
        <v>219</v>
      </c>
      <c r="D67" s="166">
        <v>74.2</v>
      </c>
    </row>
    <row r="68" spans="1:6" x14ac:dyDescent="0.2">
      <c r="A68" s="158" t="s">
        <v>247</v>
      </c>
      <c r="C68" s="167" t="s">
        <v>221</v>
      </c>
      <c r="D68" s="168">
        <v>104.4</v>
      </c>
    </row>
    <row r="69" spans="1:6" x14ac:dyDescent="0.2">
      <c r="A69" s="158" t="s">
        <v>258</v>
      </c>
      <c r="C69" s="167" t="s">
        <v>222</v>
      </c>
      <c r="D69" s="168">
        <v>37.1</v>
      </c>
    </row>
    <row r="70" spans="1:6" ht="13.5" thickBot="1" x14ac:dyDescent="0.25">
      <c r="C70" s="169" t="s">
        <v>249</v>
      </c>
      <c r="D70" s="186">
        <v>67</v>
      </c>
      <c r="F70" s="184" t="s">
        <v>259</v>
      </c>
    </row>
    <row r="73" spans="1:6" ht="15.75" x14ac:dyDescent="0.3">
      <c r="B73" s="158" t="s">
        <v>251</v>
      </c>
      <c r="C73" s="180" t="s">
        <v>252</v>
      </c>
      <c r="D73" s="185">
        <f>D70/D67-1</f>
        <v>-9.7035040431266872E-2</v>
      </c>
    </row>
    <row r="75" spans="1:6" ht="15.75" x14ac:dyDescent="0.3">
      <c r="B75" s="158" t="s">
        <v>253</v>
      </c>
      <c r="C75" s="180" t="s">
        <v>254</v>
      </c>
      <c r="D75" s="185">
        <f>+D68/(D70+D69)-1</f>
        <v>2.8818443804035088E-3</v>
      </c>
    </row>
    <row r="77" spans="1:6" ht="14.25" x14ac:dyDescent="0.25">
      <c r="B77" s="171" t="s">
        <v>255</v>
      </c>
      <c r="C77" s="182" t="s">
        <v>256</v>
      </c>
      <c r="D77" s="172">
        <f>(1+D73)*(1+D75)-1</f>
        <v>-9.4432835936832382E-2</v>
      </c>
    </row>
    <row r="78" spans="1:6" x14ac:dyDescent="0.2">
      <c r="B78" s="171"/>
      <c r="C78" s="171"/>
      <c r="D78" s="171"/>
    </row>
    <row r="79" spans="1:6" ht="13.5" thickBot="1" x14ac:dyDescent="0.25"/>
    <row r="80" spans="1:6" ht="20.25" x14ac:dyDescent="0.3">
      <c r="A80" s="164" t="s">
        <v>260</v>
      </c>
      <c r="C80" s="165" t="s">
        <v>219</v>
      </c>
      <c r="D80" s="166">
        <v>74.2</v>
      </c>
    </row>
    <row r="81" spans="1:9" x14ac:dyDescent="0.2">
      <c r="A81" s="158" t="s">
        <v>261</v>
      </c>
      <c r="C81" s="167" t="s">
        <v>221</v>
      </c>
      <c r="D81" s="168">
        <v>104.4</v>
      </c>
    </row>
    <row r="82" spans="1:9" x14ac:dyDescent="0.2">
      <c r="A82" s="158" t="s">
        <v>262</v>
      </c>
      <c r="C82" s="167" t="s">
        <v>222</v>
      </c>
      <c r="D82" s="168">
        <v>37.1</v>
      </c>
    </row>
    <row r="83" spans="1:9" x14ac:dyDescent="0.2">
      <c r="C83" s="167" t="s">
        <v>263</v>
      </c>
      <c r="D83" s="187">
        <v>67</v>
      </c>
      <c r="F83" s="184" t="s">
        <v>0</v>
      </c>
    </row>
    <row r="84" spans="1:9" ht="13.5" thickBot="1" x14ac:dyDescent="0.25">
      <c r="C84" s="169" t="s">
        <v>264</v>
      </c>
      <c r="D84" s="170">
        <v>103.1</v>
      </c>
      <c r="F84" s="184" t="s">
        <v>0</v>
      </c>
    </row>
    <row r="86" spans="1:9" ht="15.75" x14ac:dyDescent="0.3">
      <c r="B86" s="158" t="s">
        <v>251</v>
      </c>
      <c r="C86" s="180" t="s">
        <v>252</v>
      </c>
      <c r="D86" s="185">
        <f>D83/D80-1</f>
        <v>-9.7035040431266872E-2</v>
      </c>
    </row>
    <row r="88" spans="1:9" ht="15.75" x14ac:dyDescent="0.3">
      <c r="B88" s="158" t="s">
        <v>265</v>
      </c>
      <c r="C88" s="180" t="s">
        <v>254</v>
      </c>
      <c r="D88" s="185">
        <f>(D84-D82/2)/(D83+D82/2)-1</f>
        <v>-1.1689070718877814E-2</v>
      </c>
      <c r="F88" s="184" t="s">
        <v>266</v>
      </c>
      <c r="H88" s="185">
        <f>(D84-D83-D82)/(D83+D82/2)</f>
        <v>-1.1689070718877932E-2</v>
      </c>
      <c r="I88" s="184" t="s">
        <v>267</v>
      </c>
    </row>
    <row r="89" spans="1:9" ht="15.75" x14ac:dyDescent="0.3">
      <c r="C89" s="180"/>
      <c r="D89" s="185"/>
      <c r="I89" s="184" t="s">
        <v>268</v>
      </c>
    </row>
    <row r="90" spans="1:9" ht="15.75" x14ac:dyDescent="0.3">
      <c r="B90" s="158" t="s">
        <v>269</v>
      </c>
      <c r="C90" s="180" t="s">
        <v>270</v>
      </c>
      <c r="D90" s="185">
        <f>+D81/(D84)-1</f>
        <v>1.2609117361784827E-2</v>
      </c>
    </row>
    <row r="92" spans="1:9" ht="14.25" x14ac:dyDescent="0.25">
      <c r="B92" s="171" t="s">
        <v>255</v>
      </c>
      <c r="C92" s="182" t="s">
        <v>271</v>
      </c>
      <c r="D92" s="172">
        <f>(1+D86)*(1+D88)*(1+D90)-1</f>
        <v>-9.6337357531667389E-2</v>
      </c>
      <c r="E92" s="171"/>
    </row>
    <row r="93" spans="1:9" x14ac:dyDescent="0.2">
      <c r="B93" s="171"/>
      <c r="C93" s="171"/>
      <c r="D93" s="171"/>
      <c r="E93" s="171"/>
    </row>
    <row r="94" spans="1:9" ht="13.5" thickBot="1" x14ac:dyDescent="0.25"/>
    <row r="95" spans="1:9" ht="20.25" x14ac:dyDescent="0.3">
      <c r="A95" s="164" t="s">
        <v>976</v>
      </c>
      <c r="C95" s="165" t="s">
        <v>977</v>
      </c>
      <c r="D95" s="166">
        <v>100</v>
      </c>
    </row>
    <row r="96" spans="1:9" x14ac:dyDescent="0.2">
      <c r="C96" s="167" t="s">
        <v>978</v>
      </c>
      <c r="D96" s="168">
        <v>200</v>
      </c>
    </row>
    <row r="97" spans="1:4" x14ac:dyDescent="0.2">
      <c r="C97" s="167" t="s">
        <v>222</v>
      </c>
      <c r="D97" s="168">
        <v>1000</v>
      </c>
    </row>
    <row r="98" spans="1:4" x14ac:dyDescent="0.2">
      <c r="C98" s="167" t="s">
        <v>979</v>
      </c>
      <c r="D98" s="1212">
        <v>1200</v>
      </c>
    </row>
    <row r="99" spans="1:4" ht="13.5" thickBot="1" x14ac:dyDescent="0.25">
      <c r="C99" s="169" t="s">
        <v>980</v>
      </c>
      <c r="D99" s="170">
        <v>700</v>
      </c>
    </row>
    <row r="101" spans="1:4" ht="15.75" x14ac:dyDescent="0.3">
      <c r="B101" s="158" t="s">
        <v>251</v>
      </c>
      <c r="C101" s="180" t="s">
        <v>252</v>
      </c>
      <c r="D101" s="185">
        <f>D96/D95-1</f>
        <v>1</v>
      </c>
    </row>
    <row r="103" spans="1:4" ht="15.75" x14ac:dyDescent="0.3">
      <c r="B103" s="158" t="s">
        <v>981</v>
      </c>
      <c r="C103" s="180" t="s">
        <v>254</v>
      </c>
      <c r="D103" s="185">
        <f>D99/D98-1</f>
        <v>-0.41666666666666663</v>
      </c>
    </row>
    <row r="105" spans="1:4" ht="14.25" x14ac:dyDescent="0.25">
      <c r="B105" s="171" t="s">
        <v>983</v>
      </c>
      <c r="C105" s="182" t="s">
        <v>256</v>
      </c>
      <c r="D105" s="172">
        <f>(1+D101)*(1+D103)-1</f>
        <v>0.16666666666666674</v>
      </c>
    </row>
    <row r="106" spans="1:4" x14ac:dyDescent="0.2">
      <c r="B106" s="171"/>
      <c r="C106" s="182"/>
      <c r="D106" s="172"/>
    </row>
    <row r="107" spans="1:4" x14ac:dyDescent="0.2">
      <c r="B107" s="171" t="s">
        <v>982</v>
      </c>
      <c r="C107" s="182" t="s">
        <v>234</v>
      </c>
      <c r="D107" s="172">
        <f>(D99-D95-D97)/(D95+D97/2)</f>
        <v>-0.66666666666666663</v>
      </c>
    </row>
    <row r="108" spans="1:4" x14ac:dyDescent="0.2">
      <c r="B108" s="171"/>
      <c r="C108" s="182"/>
      <c r="D108" s="172"/>
    </row>
    <row r="109" spans="1:4" ht="13.5" thickBot="1" x14ac:dyDescent="0.25"/>
    <row r="110" spans="1:4" ht="20.25" x14ac:dyDescent="0.3">
      <c r="A110" s="164" t="s">
        <v>272</v>
      </c>
      <c r="C110" s="165" t="s">
        <v>219</v>
      </c>
      <c r="D110" s="166">
        <v>74.2</v>
      </c>
    </row>
    <row r="111" spans="1:4" x14ac:dyDescent="0.2">
      <c r="A111" s="158" t="s">
        <v>273</v>
      </c>
      <c r="C111" s="167" t="s">
        <v>221</v>
      </c>
      <c r="D111" s="168">
        <v>104.4</v>
      </c>
    </row>
    <row r="112" spans="1:4" x14ac:dyDescent="0.2">
      <c r="A112" s="158" t="s">
        <v>0</v>
      </c>
      <c r="C112" s="167" t="s">
        <v>222</v>
      </c>
      <c r="D112" s="168">
        <v>37.1</v>
      </c>
    </row>
    <row r="113" spans="1:6" ht="13.5" thickBot="1" x14ac:dyDescent="0.25">
      <c r="C113" s="169" t="s">
        <v>274</v>
      </c>
      <c r="D113" s="170">
        <v>101.1</v>
      </c>
      <c r="F113" s="184"/>
    </row>
    <row r="116" spans="1:6" ht="15.75" x14ac:dyDescent="0.3">
      <c r="B116" s="158" t="s">
        <v>251</v>
      </c>
      <c r="C116" s="180" t="s">
        <v>252</v>
      </c>
      <c r="D116" s="185">
        <f>(D113-D112)/D110-1</f>
        <v>-0.13746630727762821</v>
      </c>
    </row>
    <row r="117" spans="1:6" x14ac:dyDescent="0.2">
      <c r="D117" s="185"/>
    </row>
    <row r="118" spans="1:6" ht="15.75" x14ac:dyDescent="0.3">
      <c r="B118" s="158" t="s">
        <v>253</v>
      </c>
      <c r="C118" s="180" t="s">
        <v>254</v>
      </c>
      <c r="D118" s="185">
        <f>+D111/D113-1</f>
        <v>3.264094955489627E-2</v>
      </c>
    </row>
    <row r="120" spans="1:6" ht="14.25" x14ac:dyDescent="0.25">
      <c r="B120" s="171" t="s">
        <v>255</v>
      </c>
      <c r="C120" s="182" t="s">
        <v>256</v>
      </c>
      <c r="D120" s="172">
        <f>(1+D116)*(1+D118)-1</f>
        <v>-0.10931238852407887</v>
      </c>
      <c r="E120" s="171"/>
    </row>
    <row r="122" spans="1:6" ht="13.5" thickBot="1" x14ac:dyDescent="0.25"/>
    <row r="123" spans="1:6" ht="20.25" x14ac:dyDescent="0.3">
      <c r="A123" s="164" t="s">
        <v>275</v>
      </c>
      <c r="C123" s="165" t="s">
        <v>219</v>
      </c>
      <c r="D123" s="166">
        <v>74.2</v>
      </c>
    </row>
    <row r="124" spans="1:6" x14ac:dyDescent="0.2">
      <c r="A124" s="158" t="s">
        <v>276</v>
      </c>
      <c r="C124" s="167" t="s">
        <v>221</v>
      </c>
      <c r="D124" s="168">
        <v>104.4</v>
      </c>
    </row>
    <row r="125" spans="1:6" x14ac:dyDescent="0.2">
      <c r="A125" s="158" t="s">
        <v>0</v>
      </c>
      <c r="C125" s="167" t="s">
        <v>222</v>
      </c>
      <c r="D125" s="168">
        <v>37.1</v>
      </c>
    </row>
    <row r="126" spans="1:6" ht="13.5" thickBot="1" x14ac:dyDescent="0.25">
      <c r="C126" s="169" t="s">
        <v>249</v>
      </c>
      <c r="D126" s="170">
        <f>66.28+37.1</f>
        <v>103.38</v>
      </c>
      <c r="F126" s="158" t="s">
        <v>277</v>
      </c>
    </row>
    <row r="129" spans="1:6" ht="15.75" x14ac:dyDescent="0.3">
      <c r="B129" s="158" t="s">
        <v>251</v>
      </c>
      <c r="C129" s="180" t="s">
        <v>252</v>
      </c>
      <c r="D129" s="185">
        <f>(D126-D125)/D123-1</f>
        <v>-0.10673854447439357</v>
      </c>
    </row>
    <row r="131" spans="1:6" ht="15.75" x14ac:dyDescent="0.3">
      <c r="B131" s="158" t="s">
        <v>253</v>
      </c>
      <c r="C131" s="180" t="s">
        <v>254</v>
      </c>
      <c r="D131" s="185">
        <f>+D124/D126-1</f>
        <v>9.8665118978527033E-3</v>
      </c>
    </row>
    <row r="133" spans="1:6" ht="14.25" x14ac:dyDescent="0.25">
      <c r="B133" s="171" t="s">
        <v>255</v>
      </c>
      <c r="C133" s="182" t="s">
        <v>256</v>
      </c>
      <c r="D133" s="172">
        <f>(1+D129)*(1+D131)-1</f>
        <v>-9.7925169695556979E-2</v>
      </c>
    </row>
    <row r="135" spans="1:6" ht="13.5" thickBot="1" x14ac:dyDescent="0.25"/>
    <row r="136" spans="1:6" ht="20.25" x14ac:dyDescent="0.3">
      <c r="A136" s="164" t="s">
        <v>278</v>
      </c>
      <c r="C136" s="165" t="s">
        <v>219</v>
      </c>
      <c r="D136" s="166">
        <v>74.2</v>
      </c>
    </row>
    <row r="137" spans="1:6" x14ac:dyDescent="0.2">
      <c r="A137" s="158" t="s">
        <v>276</v>
      </c>
      <c r="C137" s="167" t="s">
        <v>221</v>
      </c>
      <c r="D137" s="168">
        <v>104.4</v>
      </c>
    </row>
    <row r="138" spans="1:6" x14ac:dyDescent="0.2">
      <c r="A138" s="158" t="s">
        <v>279</v>
      </c>
      <c r="C138" s="167" t="s">
        <v>222</v>
      </c>
      <c r="D138" s="168">
        <v>37.1</v>
      </c>
    </row>
    <row r="139" spans="1:6" ht="13.5" thickBot="1" x14ac:dyDescent="0.25">
      <c r="C139" s="169" t="s">
        <v>249</v>
      </c>
      <c r="D139" s="170">
        <f>68.34+37.1</f>
        <v>105.44</v>
      </c>
      <c r="F139" s="158" t="s">
        <v>280</v>
      </c>
    </row>
    <row r="142" spans="1:6" ht="15.75" x14ac:dyDescent="0.3">
      <c r="B142" s="158" t="s">
        <v>251</v>
      </c>
      <c r="C142" s="180" t="s">
        <v>252</v>
      </c>
      <c r="D142" s="185">
        <f>(D139-D138)/D136-1</f>
        <v>-7.897574123989215E-2</v>
      </c>
    </row>
    <row r="144" spans="1:6" ht="15.75" x14ac:dyDescent="0.3">
      <c r="B144" s="158" t="s">
        <v>253</v>
      </c>
      <c r="C144" s="180" t="s">
        <v>254</v>
      </c>
      <c r="D144" s="185">
        <f>+D137/D139-1</f>
        <v>-9.8634294385431254E-3</v>
      </c>
    </row>
    <row r="146" spans="1:6" ht="14.25" x14ac:dyDescent="0.25">
      <c r="B146" s="171" t="s">
        <v>255</v>
      </c>
      <c r="C146" s="182" t="s">
        <v>256</v>
      </c>
      <c r="D146" s="172">
        <f>(1+D142)*(1+D144)-1</f>
        <v>-8.8060199027358954E-2</v>
      </c>
      <c r="E146" s="171"/>
    </row>
    <row r="147" spans="1:6" x14ac:dyDescent="0.2">
      <c r="B147" s="171"/>
      <c r="C147" s="171"/>
      <c r="D147" s="171"/>
      <c r="E147" s="171"/>
    </row>
    <row r="148" spans="1:6" ht="13.5" thickBot="1" x14ac:dyDescent="0.25"/>
    <row r="149" spans="1:6" ht="20.25" x14ac:dyDescent="0.3">
      <c r="A149" s="164" t="s">
        <v>281</v>
      </c>
      <c r="C149" s="165" t="s">
        <v>219</v>
      </c>
      <c r="D149" s="166">
        <v>74.2</v>
      </c>
    </row>
    <row r="150" spans="1:6" x14ac:dyDescent="0.2">
      <c r="A150" s="158" t="s">
        <v>144</v>
      </c>
      <c r="C150" s="167" t="s">
        <v>221</v>
      </c>
      <c r="D150" s="168">
        <v>104.4</v>
      </c>
    </row>
    <row r="151" spans="1:6" x14ac:dyDescent="0.2">
      <c r="A151" s="158" t="s">
        <v>0</v>
      </c>
      <c r="C151" s="167" t="s">
        <v>222</v>
      </c>
      <c r="D151" s="168">
        <v>37.1</v>
      </c>
    </row>
    <row r="152" spans="1:6" ht="13.5" thickBot="1" x14ac:dyDescent="0.25">
      <c r="C152" s="169" t="s">
        <v>249</v>
      </c>
      <c r="D152" s="170">
        <f>65.88+37.1</f>
        <v>102.97999999999999</v>
      </c>
      <c r="F152" s="158" t="s">
        <v>282</v>
      </c>
    </row>
    <row r="155" spans="1:6" ht="15.75" x14ac:dyDescent="0.3">
      <c r="B155" s="158" t="s">
        <v>251</v>
      </c>
      <c r="C155" s="180" t="s">
        <v>252</v>
      </c>
      <c r="D155" s="185">
        <f>(D152-D151)/D149-1</f>
        <v>-0.11212938005390849</v>
      </c>
    </row>
    <row r="157" spans="1:6" ht="15.75" x14ac:dyDescent="0.3">
      <c r="B157" s="158" t="s">
        <v>253</v>
      </c>
      <c r="C157" s="180" t="s">
        <v>254</v>
      </c>
      <c r="D157" s="185">
        <f>+D150/D152-1</f>
        <v>1.3789085259273692E-2</v>
      </c>
    </row>
    <row r="159" spans="1:6" ht="14.25" x14ac:dyDescent="0.25">
      <c r="B159" s="171" t="s">
        <v>255</v>
      </c>
      <c r="C159" s="182" t="s">
        <v>256</v>
      </c>
      <c r="D159" s="172">
        <f>(1+D155)*(1+D157)-1</f>
        <v>-9.9886456376267696E-2</v>
      </c>
    </row>
    <row r="161" spans="1:5" ht="13.5" thickBot="1" x14ac:dyDescent="0.25"/>
    <row r="162" spans="1:5" ht="20.25" x14ac:dyDescent="0.3">
      <c r="A162" s="164" t="s">
        <v>283</v>
      </c>
      <c r="C162" s="165" t="s">
        <v>219</v>
      </c>
      <c r="D162" s="166">
        <v>74.2</v>
      </c>
    </row>
    <row r="163" spans="1:5" x14ac:dyDescent="0.2">
      <c r="A163" s="158" t="s">
        <v>284</v>
      </c>
      <c r="C163" s="167" t="s">
        <v>221</v>
      </c>
      <c r="D163" s="168">
        <v>104.4</v>
      </c>
    </row>
    <row r="164" spans="1:5" x14ac:dyDescent="0.2">
      <c r="C164" s="167" t="s">
        <v>222</v>
      </c>
      <c r="D164" s="168">
        <v>37.1</v>
      </c>
    </row>
    <row r="165" spans="1:5" x14ac:dyDescent="0.2">
      <c r="C165" s="167"/>
      <c r="D165" s="168"/>
    </row>
    <row r="166" spans="1:5" x14ac:dyDescent="0.2">
      <c r="C166" s="167" t="s">
        <v>285</v>
      </c>
      <c r="D166" s="188">
        <v>-7.9200000000000007E-2</v>
      </c>
    </row>
    <row r="167" spans="1:5" x14ac:dyDescent="0.2">
      <c r="C167" s="167" t="s">
        <v>286</v>
      </c>
      <c r="D167" s="188">
        <v>-0.10680000000000001</v>
      </c>
    </row>
    <row r="168" spans="1:5" ht="13.5" thickBot="1" x14ac:dyDescent="0.25">
      <c r="C168" s="169" t="s">
        <v>287</v>
      </c>
      <c r="D168" s="189">
        <v>3.09E-2</v>
      </c>
    </row>
    <row r="170" spans="1:5" x14ac:dyDescent="0.2">
      <c r="C170" s="158" t="s">
        <v>288</v>
      </c>
      <c r="D170" s="190">
        <f>+(D162*(1+D167)+37.1)*(1+D168)</f>
        <v>106.56974109599999</v>
      </c>
    </row>
    <row r="172" spans="1:5" x14ac:dyDescent="0.2">
      <c r="C172" s="158" t="s">
        <v>289</v>
      </c>
      <c r="D172" s="190">
        <f>+D164*(31-14)/31</f>
        <v>20.345161290322583</v>
      </c>
    </row>
    <row r="174" spans="1:5" x14ac:dyDescent="0.2">
      <c r="C174" s="182" t="s">
        <v>234</v>
      </c>
      <c r="D174" s="172">
        <f>(D163-(D164-D172))/(D170-(D164-D172))*(1+D166)-1</f>
        <v>-0.10144461139648286</v>
      </c>
      <c r="E174" s="171"/>
    </row>
    <row r="175" spans="1:5" x14ac:dyDescent="0.2">
      <c r="C175" s="182"/>
      <c r="D175" s="172"/>
      <c r="E175" s="171"/>
    </row>
    <row r="176" spans="1:5" ht="13.5" thickBot="1" x14ac:dyDescent="0.25">
      <c r="C176" s="182"/>
      <c r="D176" s="172"/>
      <c r="E176" s="171"/>
    </row>
    <row r="177" spans="1:10" ht="20.25" x14ac:dyDescent="0.3">
      <c r="A177" s="164" t="s">
        <v>988</v>
      </c>
      <c r="C177" s="1213" t="s">
        <v>990</v>
      </c>
      <c r="D177" s="1214" t="s">
        <v>949</v>
      </c>
      <c r="E177" s="1214" t="s">
        <v>949</v>
      </c>
      <c r="F177" s="1214" t="s">
        <v>949</v>
      </c>
      <c r="G177" s="1214" t="s">
        <v>949</v>
      </c>
      <c r="H177" s="533" t="s">
        <v>992</v>
      </c>
    </row>
    <row r="178" spans="1:10" ht="13.5" thickBot="1" x14ac:dyDescent="0.25">
      <c r="A178" s="158" t="s">
        <v>989</v>
      </c>
      <c r="C178" s="1216"/>
      <c r="D178" s="1217" t="s">
        <v>991</v>
      </c>
      <c r="E178" s="1217" t="s">
        <v>994</v>
      </c>
      <c r="F178" s="1217" t="s">
        <v>995</v>
      </c>
      <c r="G178" s="1217" t="s">
        <v>996</v>
      </c>
      <c r="H178" s="1218" t="s">
        <v>993</v>
      </c>
    </row>
    <row r="179" spans="1:10" ht="15.75" thickBot="1" x14ac:dyDescent="0.3">
      <c r="C179" s="1197">
        <v>150</v>
      </c>
      <c r="D179" s="1198">
        <v>50</v>
      </c>
      <c r="E179" s="1198">
        <v>22</v>
      </c>
      <c r="F179" s="1198">
        <v>35</v>
      </c>
      <c r="G179" s="1198">
        <v>-45</v>
      </c>
      <c r="H179" s="1199">
        <v>330</v>
      </c>
      <c r="I179"/>
      <c r="J179"/>
    </row>
    <row r="180" spans="1:10" x14ac:dyDescent="0.2">
      <c r="C180" s="182"/>
      <c r="D180" s="172"/>
      <c r="E180" s="171"/>
    </row>
    <row r="181" spans="1:10" x14ac:dyDescent="0.2">
      <c r="C181" s="182" t="s">
        <v>997</v>
      </c>
      <c r="D181" s="1220">
        <v>0.08</v>
      </c>
      <c r="E181" s="171"/>
    </row>
    <row r="182" spans="1:10" x14ac:dyDescent="0.2">
      <c r="C182" s="182" t="s">
        <v>998</v>
      </c>
      <c r="D182" s="1220">
        <v>0.05</v>
      </c>
      <c r="E182" s="171"/>
    </row>
    <row r="183" spans="1:10" x14ac:dyDescent="0.2">
      <c r="C183" s="182"/>
      <c r="D183" s="172"/>
      <c r="E183" s="171"/>
    </row>
    <row r="184" spans="1:10" x14ac:dyDescent="0.2">
      <c r="B184" s="158" t="s">
        <v>0</v>
      </c>
      <c r="C184" s="158" t="s">
        <v>999</v>
      </c>
      <c r="D184" s="1221">
        <f>+H179-G179*(1+D182)</f>
        <v>377.25</v>
      </c>
      <c r="E184" s="171"/>
    </row>
    <row r="185" spans="1:10" x14ac:dyDescent="0.2">
      <c r="C185" s="182"/>
      <c r="D185" s="172"/>
      <c r="E185" s="171"/>
    </row>
    <row r="186" spans="1:10" x14ac:dyDescent="0.2">
      <c r="B186" s="158" t="s">
        <v>0</v>
      </c>
      <c r="C186" s="158" t="s">
        <v>1000</v>
      </c>
      <c r="D186" s="1221">
        <f>+C179+D179/(1+D181)+E179/(1+D181)^2+F179/(1+D181)^3</f>
        <v>242.94187877864147</v>
      </c>
      <c r="E186" s="171"/>
    </row>
    <row r="187" spans="1:10" x14ac:dyDescent="0.2">
      <c r="C187" s="182"/>
      <c r="D187" s="172"/>
      <c r="E187" s="171"/>
    </row>
    <row r="188" spans="1:10" x14ac:dyDescent="0.2">
      <c r="C188" s="182" t="s">
        <v>989</v>
      </c>
      <c r="D188" s="172">
        <f>(D184/D186)^(1/5)-1</f>
        <v>9.2006874878716838E-2</v>
      </c>
      <c r="E188" s="171"/>
    </row>
    <row r="189" spans="1:10" x14ac:dyDescent="0.2">
      <c r="C189" s="182"/>
      <c r="D189" s="172"/>
      <c r="E189" s="171"/>
    </row>
    <row r="190" spans="1:10" x14ac:dyDescent="0.2">
      <c r="C190" s="182"/>
      <c r="D190" s="172"/>
      <c r="E190" s="171"/>
    </row>
    <row r="191" spans="1:10" ht="21" thickBot="1" x14ac:dyDescent="0.35">
      <c r="A191" s="164" t="s">
        <v>1001</v>
      </c>
      <c r="C191" s="182"/>
      <c r="D191" s="172"/>
      <c r="E191" s="171"/>
    </row>
    <row r="192" spans="1:10" ht="15" x14ac:dyDescent="0.25">
      <c r="A192" s="158" t="s">
        <v>1002</v>
      </c>
      <c r="C192" s="1233"/>
      <c r="D192" s="1237" t="s">
        <v>1007</v>
      </c>
      <c r="E192" s="1238" t="s">
        <v>1003</v>
      </c>
      <c r="F192" s="1239" t="s">
        <v>1004</v>
      </c>
      <c r="G192" s="1239" t="s">
        <v>1005</v>
      </c>
      <c r="H192" s="1240" t="s">
        <v>1006</v>
      </c>
    </row>
    <row r="193" spans="3:8" ht="15.75" thickBot="1" x14ac:dyDescent="0.3">
      <c r="C193" s="1234"/>
      <c r="D193" s="1241" t="s">
        <v>120</v>
      </c>
      <c r="E193" s="1242" t="s">
        <v>0</v>
      </c>
      <c r="F193" s="1243" t="s">
        <v>3</v>
      </c>
      <c r="G193" s="1243" t="s">
        <v>3</v>
      </c>
      <c r="H193" s="1244" t="s">
        <v>1005</v>
      </c>
    </row>
    <row r="194" spans="3:8" ht="15" x14ac:dyDescent="0.25">
      <c r="C194" s="1235" t="s">
        <v>1008</v>
      </c>
      <c r="D194" s="1225">
        <v>100</v>
      </c>
      <c r="E194" s="1226">
        <f>+D194*0.001</f>
        <v>0.1</v>
      </c>
      <c r="F194" s="213"/>
      <c r="G194" s="213"/>
      <c r="H194" s="521"/>
    </row>
    <row r="195" spans="3:8" ht="15" x14ac:dyDescent="0.25">
      <c r="C195" s="1235" t="s">
        <v>1009</v>
      </c>
      <c r="D195" s="1225">
        <v>112</v>
      </c>
      <c r="E195" s="1226">
        <f t="shared" ref="E195:E199" si="0">+D195*0.001</f>
        <v>0.112</v>
      </c>
      <c r="F195" s="1227">
        <f>D195/D194-1</f>
        <v>0.12000000000000011</v>
      </c>
      <c r="G195" s="1227">
        <f>(D195-D194+E194)/(D194-E194/2)</f>
        <v>0.12106053026513255</v>
      </c>
      <c r="H195" s="1228">
        <f>(1+F195)*1.001-1</f>
        <v>0.12111999999999989</v>
      </c>
    </row>
    <row r="196" spans="3:8" ht="15" x14ac:dyDescent="0.25">
      <c r="C196" s="1235" t="s">
        <v>1010</v>
      </c>
      <c r="D196" s="1225">
        <v>95</v>
      </c>
      <c r="E196" s="1226">
        <f t="shared" si="0"/>
        <v>9.5000000000000001E-2</v>
      </c>
      <c r="F196" s="1227">
        <f t="shared" ref="F196:F200" si="1">D196/D195-1</f>
        <v>-0.1517857142857143</v>
      </c>
      <c r="G196" s="1227">
        <f t="shared" ref="G196:G200" si="2">(D196-D195+E195)/(D195-E195/2)</f>
        <v>-0.15086114485814336</v>
      </c>
      <c r="H196" s="1228">
        <f t="shared" ref="H196:H200" si="3">(1+F196)*1.001-1</f>
        <v>-0.15093750000000006</v>
      </c>
    </row>
    <row r="197" spans="3:8" ht="15" x14ac:dyDescent="0.25">
      <c r="C197" s="1235" t="s">
        <v>1011</v>
      </c>
      <c r="D197" s="1225">
        <v>99</v>
      </c>
      <c r="E197" s="1226">
        <f t="shared" si="0"/>
        <v>9.9000000000000005E-2</v>
      </c>
      <c r="F197" s="1227">
        <f t="shared" si="1"/>
        <v>4.2105263157894646E-2</v>
      </c>
      <c r="G197" s="1227">
        <f t="shared" si="2"/>
        <v>4.3126826571180325E-2</v>
      </c>
      <c r="H197" s="1228">
        <f t="shared" si="3"/>
        <v>4.3147368421052379E-2</v>
      </c>
    </row>
    <row r="198" spans="3:8" ht="15" x14ac:dyDescent="0.25">
      <c r="C198" s="1235" t="s">
        <v>1012</v>
      </c>
      <c r="D198" s="1225">
        <v>107</v>
      </c>
      <c r="E198" s="1226">
        <f t="shared" si="0"/>
        <v>0.107</v>
      </c>
      <c r="F198" s="1227">
        <f t="shared" si="1"/>
        <v>8.0808080808080884E-2</v>
      </c>
      <c r="G198" s="1227">
        <f t="shared" si="2"/>
        <v>8.1849005310736175E-2</v>
      </c>
      <c r="H198" s="1228">
        <f t="shared" si="3"/>
        <v>8.18888888888889E-2</v>
      </c>
    </row>
    <row r="199" spans="3:8" ht="15" x14ac:dyDescent="0.25">
      <c r="C199" s="1235" t="s">
        <v>1013</v>
      </c>
      <c r="D199" s="1225">
        <v>115</v>
      </c>
      <c r="E199" s="1226">
        <f t="shared" si="0"/>
        <v>0.115</v>
      </c>
      <c r="F199" s="1227">
        <f t="shared" si="1"/>
        <v>7.4766355140186924E-2</v>
      </c>
      <c r="G199" s="1227">
        <f t="shared" si="2"/>
        <v>7.5804257268821326E-2</v>
      </c>
      <c r="H199" s="1228">
        <f t="shared" si="3"/>
        <v>7.5841121495326957E-2</v>
      </c>
    </row>
    <row r="200" spans="3:8" ht="15.75" thickBot="1" x14ac:dyDescent="0.3">
      <c r="C200" s="1236" t="s">
        <v>1014</v>
      </c>
      <c r="D200" s="1229">
        <v>135</v>
      </c>
      <c r="E200" s="1230"/>
      <c r="F200" s="1231">
        <f t="shared" si="1"/>
        <v>0.17391304347826098</v>
      </c>
      <c r="G200" s="1231">
        <f t="shared" si="2"/>
        <v>0.17500054375013593</v>
      </c>
      <c r="H200" s="1232">
        <f t="shared" si="3"/>
        <v>0.175086956521739</v>
      </c>
    </row>
    <row r="201" spans="3:8" x14ac:dyDescent="0.2">
      <c r="C201" s="182"/>
      <c r="D201" s="172"/>
      <c r="E201" s="171"/>
    </row>
    <row r="202" spans="3:8" x14ac:dyDescent="0.2">
      <c r="C202" s="182" t="s">
        <v>1015</v>
      </c>
      <c r="D202" s="1219">
        <f>+D200/D194-1</f>
        <v>0.35000000000000009</v>
      </c>
      <c r="E202" s="171"/>
    </row>
    <row r="203" spans="3:8" x14ac:dyDescent="0.2">
      <c r="C203" s="182"/>
      <c r="D203" s="172"/>
      <c r="E203" s="171"/>
    </row>
    <row r="204" spans="3:8" x14ac:dyDescent="0.2">
      <c r="C204" s="182" t="s">
        <v>1016</v>
      </c>
      <c r="D204" s="193">
        <f>(1+G195)*(1+G196)*(1+G197)*(1+G198)*(1+G199)*(1+G200)-1</f>
        <v>0.35794714732480903</v>
      </c>
      <c r="E204" s="171"/>
    </row>
    <row r="205" spans="3:8" x14ac:dyDescent="0.2">
      <c r="C205" s="182"/>
      <c r="D205" s="172"/>
      <c r="E205" s="171"/>
    </row>
    <row r="206" spans="3:8" x14ac:dyDescent="0.2">
      <c r="C206" s="182" t="s">
        <v>1017</v>
      </c>
      <c r="D206" s="193">
        <f>(1+H195)*(1+H196)*(1+H197)*(1+H198)*(1+H199)*(1+H200)-1</f>
        <v>0.35812027702025717</v>
      </c>
      <c r="E206" s="171"/>
    </row>
    <row r="209" spans="1:7" ht="20.25" x14ac:dyDescent="0.3">
      <c r="A209" s="164" t="s">
        <v>1019</v>
      </c>
    </row>
    <row r="210" spans="1:7" x14ac:dyDescent="0.2">
      <c r="A210" s="158" t="s">
        <v>1020</v>
      </c>
    </row>
    <row r="211" spans="1:7" ht="13.5" thickBot="1" x14ac:dyDescent="0.25">
      <c r="A211" s="158" t="s">
        <v>1021</v>
      </c>
    </row>
    <row r="212" spans="1:7" x14ac:dyDescent="0.2">
      <c r="C212" s="1248" t="s">
        <v>1041</v>
      </c>
      <c r="D212" s="1239" t="s">
        <v>943</v>
      </c>
      <c r="E212" s="1239" t="s">
        <v>1027</v>
      </c>
      <c r="F212" s="1239" t="s">
        <v>1027</v>
      </c>
      <c r="G212" s="1240" t="s">
        <v>1027</v>
      </c>
    </row>
    <row r="213" spans="1:7" ht="13.5" thickBot="1" x14ac:dyDescent="0.25">
      <c r="C213" s="1249"/>
      <c r="D213" s="1243"/>
      <c r="E213" s="1243" t="s">
        <v>1028</v>
      </c>
      <c r="F213" s="1243" t="s">
        <v>1030</v>
      </c>
      <c r="G213" s="1244" t="s">
        <v>1029</v>
      </c>
    </row>
    <row r="214" spans="1:7" x14ac:dyDescent="0.2">
      <c r="C214" s="211" t="s">
        <v>1022</v>
      </c>
      <c r="D214" s="213">
        <v>500</v>
      </c>
      <c r="E214" s="213">
        <v>550</v>
      </c>
      <c r="F214" s="213">
        <v>480</v>
      </c>
      <c r="G214" s="521">
        <v>520</v>
      </c>
    </row>
    <row r="215" spans="1:7" x14ac:dyDescent="0.2">
      <c r="C215" s="211" t="s">
        <v>1023</v>
      </c>
      <c r="D215" s="213">
        <v>-500</v>
      </c>
      <c r="E215" s="213">
        <v>-520</v>
      </c>
      <c r="F215" s="213">
        <v>-530</v>
      </c>
      <c r="G215" s="521">
        <v>-480</v>
      </c>
    </row>
    <row r="216" spans="1:7" x14ac:dyDescent="0.2">
      <c r="C216" s="211" t="s">
        <v>116</v>
      </c>
      <c r="D216" s="213">
        <v>10</v>
      </c>
      <c r="E216" s="213">
        <v>10</v>
      </c>
      <c r="F216" s="213">
        <v>10</v>
      </c>
      <c r="G216" s="521">
        <v>10</v>
      </c>
    </row>
    <row r="217" spans="1:7" x14ac:dyDescent="0.2">
      <c r="C217" s="211" t="s">
        <v>1024</v>
      </c>
      <c r="D217" s="1224">
        <f>SUM(D214:D216)</f>
        <v>10</v>
      </c>
      <c r="E217" s="1224">
        <f t="shared" ref="E217:G217" si="4">SUM(E214:E216)</f>
        <v>40</v>
      </c>
      <c r="F217" s="1224">
        <f t="shared" si="4"/>
        <v>-40</v>
      </c>
      <c r="G217" s="1215">
        <f t="shared" si="4"/>
        <v>50</v>
      </c>
    </row>
    <row r="218" spans="1:7" x14ac:dyDescent="0.2">
      <c r="C218" s="211" t="s">
        <v>1025</v>
      </c>
      <c r="D218" s="213">
        <v>990</v>
      </c>
      <c r="E218" s="213">
        <v>970</v>
      </c>
      <c r="F218" s="213">
        <v>1040</v>
      </c>
      <c r="G218" s="521">
        <v>1050</v>
      </c>
    </row>
    <row r="219" spans="1:7" ht="13.5" thickBot="1" x14ac:dyDescent="0.25">
      <c r="C219" s="209" t="s">
        <v>1026</v>
      </c>
      <c r="D219" s="529">
        <f>SUM(D217:D218)</f>
        <v>1000</v>
      </c>
      <c r="E219" s="529">
        <f t="shared" ref="E219:G219" si="5">SUM(E217:E218)</f>
        <v>1010</v>
      </c>
      <c r="F219" s="529">
        <f t="shared" si="5"/>
        <v>1000</v>
      </c>
      <c r="G219" s="1218">
        <f t="shared" si="5"/>
        <v>1100</v>
      </c>
    </row>
    <row r="222" spans="1:7" x14ac:dyDescent="0.2">
      <c r="C222" s="171" t="s">
        <v>1026</v>
      </c>
    </row>
    <row r="224" spans="1:7" x14ac:dyDescent="0.2">
      <c r="C224" s="158" t="s">
        <v>1034</v>
      </c>
      <c r="D224" s="1222">
        <f>+G219/D219-1</f>
        <v>0.10000000000000009</v>
      </c>
    </row>
    <row r="226" spans="1:4" x14ac:dyDescent="0.2">
      <c r="C226" s="158" t="s">
        <v>1031</v>
      </c>
      <c r="D226" s="1222">
        <f>+E219/D219-1</f>
        <v>1.0000000000000009E-2</v>
      </c>
    </row>
    <row r="227" spans="1:4" x14ac:dyDescent="0.2">
      <c r="D227" s="1222"/>
    </row>
    <row r="228" spans="1:4" x14ac:dyDescent="0.2">
      <c r="C228" s="158" t="s">
        <v>1032</v>
      </c>
      <c r="D228" s="1222">
        <f>+F219/E219-1</f>
        <v>-9.9009900990099098E-3</v>
      </c>
    </row>
    <row r="229" spans="1:4" x14ac:dyDescent="0.2">
      <c r="D229" s="1222"/>
    </row>
    <row r="230" spans="1:4" x14ac:dyDescent="0.2">
      <c r="C230" s="158" t="s">
        <v>1033</v>
      </c>
      <c r="D230" s="1222">
        <f>+G219/F219-1</f>
        <v>0.10000000000000009</v>
      </c>
    </row>
    <row r="231" spans="1:4" x14ac:dyDescent="0.2">
      <c r="D231" s="1222"/>
    </row>
    <row r="232" spans="1:4" x14ac:dyDescent="0.2">
      <c r="D232" s="1222"/>
    </row>
    <row r="233" spans="1:4" ht="20.25" x14ac:dyDescent="0.3">
      <c r="A233" s="164" t="s">
        <v>1035</v>
      </c>
      <c r="D233" s="1222"/>
    </row>
    <row r="234" spans="1:4" x14ac:dyDescent="0.2">
      <c r="A234" s="158" t="s">
        <v>1020</v>
      </c>
      <c r="C234" s="171" t="s">
        <v>1037</v>
      </c>
    </row>
    <row r="235" spans="1:4" x14ac:dyDescent="0.2">
      <c r="A235" s="158" t="s">
        <v>1036</v>
      </c>
    </row>
    <row r="236" spans="1:4" x14ac:dyDescent="0.2">
      <c r="C236" s="158" t="s">
        <v>1034</v>
      </c>
      <c r="D236" s="1222">
        <f>+G217/D217-1</f>
        <v>4</v>
      </c>
    </row>
    <row r="238" spans="1:4" x14ac:dyDescent="0.2">
      <c r="C238" s="158" t="s">
        <v>1031</v>
      </c>
      <c r="D238" s="1222">
        <f>+E217/D217-1</f>
        <v>3</v>
      </c>
    </row>
    <row r="239" spans="1:4" x14ac:dyDescent="0.2">
      <c r="D239" s="1222"/>
    </row>
    <row r="240" spans="1:4" x14ac:dyDescent="0.2">
      <c r="C240" s="158" t="s">
        <v>1032</v>
      </c>
      <c r="D240" s="1222">
        <f>+F217/E217-1</f>
        <v>-2</v>
      </c>
    </row>
    <row r="241" spans="3:7" x14ac:dyDescent="0.2">
      <c r="D241" s="1222"/>
    </row>
    <row r="242" spans="3:7" x14ac:dyDescent="0.2">
      <c r="C242" s="158" t="s">
        <v>1033</v>
      </c>
      <c r="D242" s="1222">
        <f>+G217/F217-1</f>
        <v>-2.25</v>
      </c>
    </row>
    <row r="243" spans="3:7" x14ac:dyDescent="0.2">
      <c r="D243" s="1222"/>
    </row>
    <row r="244" spans="3:7" x14ac:dyDescent="0.2">
      <c r="C244" s="158" t="s">
        <v>1038</v>
      </c>
      <c r="D244" s="1222">
        <f>(1+D238)*(1+D240)*(1+D242)-1</f>
        <v>4</v>
      </c>
    </row>
    <row r="245" spans="3:7" x14ac:dyDescent="0.2">
      <c r="D245" s="1222"/>
    </row>
    <row r="246" spans="3:7" ht="13.5" thickBot="1" x14ac:dyDescent="0.25">
      <c r="C246" s="158" t="s">
        <v>0</v>
      </c>
    </row>
    <row r="247" spans="3:7" x14ac:dyDescent="0.2">
      <c r="C247" s="1248" t="s">
        <v>1040</v>
      </c>
      <c r="D247" s="1239" t="s">
        <v>1028</v>
      </c>
      <c r="E247" s="1239" t="s">
        <v>1030</v>
      </c>
      <c r="F247" s="1239" t="s">
        <v>1029</v>
      </c>
      <c r="G247" s="1240" t="s">
        <v>1039</v>
      </c>
    </row>
    <row r="248" spans="3:7" ht="13.5" thickBot="1" x14ac:dyDescent="0.25">
      <c r="C248" s="1249"/>
      <c r="D248" s="1243"/>
      <c r="E248" s="1243" t="s">
        <v>0</v>
      </c>
      <c r="F248" s="1243" t="s">
        <v>0</v>
      </c>
      <c r="G248" s="1244" t="s">
        <v>0</v>
      </c>
    </row>
    <row r="249" spans="3:7" x14ac:dyDescent="0.2">
      <c r="C249" s="211" t="s">
        <v>1022</v>
      </c>
      <c r="D249" s="1252">
        <f>+E214/D214-1</f>
        <v>0.10000000000000009</v>
      </c>
      <c r="E249" s="1253">
        <f>+F214/E214-1</f>
        <v>-0.12727272727272732</v>
      </c>
      <c r="F249" s="1253">
        <f>+G214/F214-1</f>
        <v>8.3333333333333259E-2</v>
      </c>
      <c r="G249" s="1254">
        <f t="shared" ref="G249:G254" si="6">+G214/D214-1</f>
        <v>4.0000000000000036E-2</v>
      </c>
    </row>
    <row r="250" spans="3:7" x14ac:dyDescent="0.2">
      <c r="C250" s="211" t="s">
        <v>1023</v>
      </c>
      <c r="D250" s="1255">
        <f t="shared" ref="D250:E254" si="7">+E215/D215-1</f>
        <v>4.0000000000000036E-2</v>
      </c>
      <c r="E250" s="1250">
        <f t="shared" si="7"/>
        <v>1.9230769230769162E-2</v>
      </c>
      <c r="F250" s="1250">
        <f>+G215/F215-1</f>
        <v>-9.4339622641509413E-2</v>
      </c>
      <c r="G250" s="1246">
        <f t="shared" si="6"/>
        <v>-4.0000000000000036E-2</v>
      </c>
    </row>
    <row r="251" spans="3:7" x14ac:dyDescent="0.2">
      <c r="C251" s="211" t="s">
        <v>116</v>
      </c>
      <c r="D251" s="1255">
        <f t="shared" si="7"/>
        <v>0</v>
      </c>
      <c r="E251" s="1250">
        <f t="shared" si="7"/>
        <v>0</v>
      </c>
      <c r="F251" s="1250">
        <f>+G216/F216-1</f>
        <v>0</v>
      </c>
      <c r="G251" s="1246">
        <f t="shared" si="6"/>
        <v>0</v>
      </c>
    </row>
    <row r="252" spans="3:7" x14ac:dyDescent="0.2">
      <c r="C252" s="211" t="s">
        <v>1024</v>
      </c>
      <c r="D252" s="1256">
        <f t="shared" si="7"/>
        <v>3</v>
      </c>
      <c r="E252" s="1251">
        <f t="shared" si="7"/>
        <v>-2</v>
      </c>
      <c r="F252" s="1251">
        <f>+G217/F217-1</f>
        <v>-2.25</v>
      </c>
      <c r="G252" s="1247">
        <f t="shared" si="6"/>
        <v>4</v>
      </c>
    </row>
    <row r="253" spans="3:7" x14ac:dyDescent="0.2">
      <c r="C253" s="211" t="s">
        <v>1025</v>
      </c>
      <c r="D253" s="1255">
        <f t="shared" si="7"/>
        <v>-2.0202020202020221E-2</v>
      </c>
      <c r="E253" s="1250">
        <f t="shared" si="7"/>
        <v>7.2164948453608213E-2</v>
      </c>
      <c r="F253" s="1250">
        <f>+G218/F218-1</f>
        <v>9.6153846153845812E-3</v>
      </c>
      <c r="G253" s="1246">
        <f t="shared" si="6"/>
        <v>6.0606060606060552E-2</v>
      </c>
    </row>
    <row r="254" spans="3:7" ht="13.5" thickBot="1" x14ac:dyDescent="0.25">
      <c r="C254" s="209" t="s">
        <v>1026</v>
      </c>
      <c r="D254" s="1257">
        <f t="shared" si="7"/>
        <v>1.0000000000000009E-2</v>
      </c>
      <c r="E254" s="1258">
        <f t="shared" si="7"/>
        <v>-9.9009900990099098E-3</v>
      </c>
      <c r="F254" s="1258">
        <f>+G219/F219-1</f>
        <v>0.10000000000000009</v>
      </c>
      <c r="G254" s="1259">
        <f t="shared" si="6"/>
        <v>0.10000000000000009</v>
      </c>
    </row>
    <row r="257" spans="1:7" ht="20.25" x14ac:dyDescent="0.3">
      <c r="A257" s="164" t="s">
        <v>1042</v>
      </c>
    </row>
    <row r="258" spans="1:7" x14ac:dyDescent="0.2">
      <c r="A258" s="158" t="s">
        <v>1020</v>
      </c>
      <c r="C258" s="171" t="s">
        <v>1044</v>
      </c>
    </row>
    <row r="259" spans="1:7" x14ac:dyDescent="0.2">
      <c r="A259" s="158" t="s">
        <v>1043</v>
      </c>
    </row>
    <row r="260" spans="1:7" x14ac:dyDescent="0.2">
      <c r="C260" s="158" t="s">
        <v>1034</v>
      </c>
      <c r="D260" s="1222">
        <f>+(G217-D217)/D219</f>
        <v>0.04</v>
      </c>
    </row>
    <row r="262" spans="1:7" x14ac:dyDescent="0.2">
      <c r="C262" s="158" t="s">
        <v>1031</v>
      </c>
      <c r="D262" s="1222">
        <f>+(E217-D217)/D219</f>
        <v>0.03</v>
      </c>
    </row>
    <row r="263" spans="1:7" x14ac:dyDescent="0.2">
      <c r="D263" s="1222"/>
    </row>
    <row r="264" spans="1:7" x14ac:dyDescent="0.2">
      <c r="C264" s="158" t="s">
        <v>1032</v>
      </c>
      <c r="D264" s="1222">
        <f>+(F217-E217)/E219</f>
        <v>-7.9207920792079209E-2</v>
      </c>
    </row>
    <row r="265" spans="1:7" x14ac:dyDescent="0.2">
      <c r="D265" s="1222"/>
    </row>
    <row r="266" spans="1:7" x14ac:dyDescent="0.2">
      <c r="C266" s="158" t="s">
        <v>1033</v>
      </c>
      <c r="D266" s="1222">
        <f>+(G217-F217)/F219</f>
        <v>0.09</v>
      </c>
    </row>
    <row r="269" spans="1:7" ht="21" thickBot="1" x14ac:dyDescent="0.35">
      <c r="A269" s="164" t="s">
        <v>1045</v>
      </c>
    </row>
    <row r="270" spans="1:7" x14ac:dyDescent="0.2">
      <c r="A270" s="158" t="s">
        <v>1020</v>
      </c>
      <c r="C270" s="1248" t="s">
        <v>1045</v>
      </c>
      <c r="D270" s="1239" t="s">
        <v>1028</v>
      </c>
      <c r="E270" s="1239" t="s">
        <v>1030</v>
      </c>
      <c r="F270" s="1239" t="s">
        <v>1029</v>
      </c>
      <c r="G270" s="1240" t="s">
        <v>1039</v>
      </c>
    </row>
    <row r="271" spans="1:7" ht="13.5" thickBot="1" x14ac:dyDescent="0.25">
      <c r="A271" s="158" t="s">
        <v>1046</v>
      </c>
      <c r="C271" s="1249"/>
      <c r="D271" s="1243"/>
      <c r="E271" s="1243" t="s">
        <v>0</v>
      </c>
      <c r="F271" s="1243" t="s">
        <v>0</v>
      </c>
      <c r="G271" s="1244" t="s">
        <v>0</v>
      </c>
    </row>
    <row r="272" spans="1:7" x14ac:dyDescent="0.2">
      <c r="C272" s="211" t="s">
        <v>1022</v>
      </c>
      <c r="D272" s="1252">
        <f t="shared" ref="D272:F274" si="8">(E214-D214)/D$219</f>
        <v>0.05</v>
      </c>
      <c r="E272" s="1253">
        <f t="shared" si="8"/>
        <v>-6.9306930693069313E-2</v>
      </c>
      <c r="F272" s="1253">
        <f t="shared" si="8"/>
        <v>0.04</v>
      </c>
      <c r="G272" s="1254">
        <f>(G214-D214)/D$219</f>
        <v>0.02</v>
      </c>
    </row>
    <row r="273" spans="1:7" x14ac:dyDescent="0.2">
      <c r="C273" s="211" t="s">
        <v>1023</v>
      </c>
      <c r="D273" s="1255">
        <f t="shared" si="8"/>
        <v>-0.02</v>
      </c>
      <c r="E273" s="1250">
        <f t="shared" si="8"/>
        <v>-9.9009900990099011E-3</v>
      </c>
      <c r="F273" s="1250">
        <f t="shared" si="8"/>
        <v>0.05</v>
      </c>
      <c r="G273" s="1246">
        <f>(G215-D215)/D$219</f>
        <v>0.02</v>
      </c>
    </row>
    <row r="274" spans="1:7" x14ac:dyDescent="0.2">
      <c r="C274" s="211" t="s">
        <v>116</v>
      </c>
      <c r="D274" s="1255">
        <f t="shared" si="8"/>
        <v>0</v>
      </c>
      <c r="E274" s="1250">
        <f t="shared" si="8"/>
        <v>0</v>
      </c>
      <c r="F274" s="1250">
        <f t="shared" si="8"/>
        <v>0</v>
      </c>
      <c r="G274" s="1246">
        <f>(G216-D216)/D$219</f>
        <v>0</v>
      </c>
    </row>
    <row r="275" spans="1:7" x14ac:dyDescent="0.2">
      <c r="C275" s="211" t="s">
        <v>1024</v>
      </c>
      <c r="D275" s="1256">
        <f>SUM(D272:D274)</f>
        <v>3.0000000000000002E-2</v>
      </c>
      <c r="E275" s="1251">
        <f>SUM(E272:E274)</f>
        <v>-7.9207920792079209E-2</v>
      </c>
      <c r="F275" s="1251">
        <f>SUM(F272:F274)</f>
        <v>0.09</v>
      </c>
      <c r="G275" s="1247">
        <f>SUM(G272:G274)</f>
        <v>0.04</v>
      </c>
    </row>
    <row r="276" spans="1:7" x14ac:dyDescent="0.2">
      <c r="C276" s="211" t="s">
        <v>1025</v>
      </c>
      <c r="D276" s="1255">
        <f>(E218-D218)/D$219</f>
        <v>-0.02</v>
      </c>
      <c r="E276" s="1250">
        <f>(F218-E218)/E$219</f>
        <v>6.9306930693069313E-2</v>
      </c>
      <c r="F276" s="1250">
        <f>(G218-F218)/F$219</f>
        <v>0.01</v>
      </c>
      <c r="G276" s="1246">
        <f>(G218-D218)/D$219</f>
        <v>0.06</v>
      </c>
    </row>
    <row r="277" spans="1:7" ht="13.5" thickBot="1" x14ac:dyDescent="0.25">
      <c r="C277" s="209" t="s">
        <v>1026</v>
      </c>
      <c r="D277" s="1257">
        <f>SUM(D275:D276)</f>
        <v>1.0000000000000002E-2</v>
      </c>
      <c r="E277" s="1258">
        <f>SUM(E275:E276)</f>
        <v>-9.9009900990098959E-3</v>
      </c>
      <c r="F277" s="1258">
        <f>SUM(F275:F276)</f>
        <v>9.9999999999999992E-2</v>
      </c>
      <c r="G277" s="1259">
        <f>SUM(G275:G276)</f>
        <v>0.1</v>
      </c>
    </row>
    <row r="280" spans="1:7" ht="21" thickBot="1" x14ac:dyDescent="0.35">
      <c r="A280" s="164" t="s">
        <v>1051</v>
      </c>
    </row>
    <row r="281" spans="1:7" x14ac:dyDescent="0.2">
      <c r="A281" s="158" t="s">
        <v>1065</v>
      </c>
      <c r="C281" s="207" t="s">
        <v>101</v>
      </c>
      <c r="D281" s="208" t="s">
        <v>634</v>
      </c>
      <c r="E281" s="208" t="s">
        <v>1052</v>
      </c>
      <c r="F281" s="519" t="s">
        <v>355</v>
      </c>
    </row>
    <row r="282" spans="1:7" ht="13.5" thickBot="1" x14ac:dyDescent="0.25">
      <c r="A282" s="158" t="s">
        <v>1056</v>
      </c>
      <c r="C282" s="209"/>
      <c r="D282" s="210" t="s">
        <v>1055</v>
      </c>
      <c r="E282" s="210" t="s">
        <v>1053</v>
      </c>
      <c r="F282" s="523" t="s">
        <v>1054</v>
      </c>
    </row>
    <row r="283" spans="1:7" x14ac:dyDescent="0.2">
      <c r="C283" s="211" t="s">
        <v>943</v>
      </c>
      <c r="D283" s="213">
        <v>100</v>
      </c>
      <c r="E283" s="213">
        <v>1.5</v>
      </c>
      <c r="F283" s="521">
        <f>D283*E283</f>
        <v>150</v>
      </c>
    </row>
    <row r="284" spans="1:7" x14ac:dyDescent="0.2">
      <c r="C284" s="211" t="s">
        <v>1009</v>
      </c>
      <c r="D284" s="213">
        <v>100</v>
      </c>
      <c r="E284" s="213">
        <v>1.6</v>
      </c>
      <c r="F284" s="521">
        <f t="shared" ref="F284:F289" si="9">D284*E284</f>
        <v>160</v>
      </c>
    </row>
    <row r="285" spans="1:7" x14ac:dyDescent="0.2">
      <c r="C285" s="211" t="s">
        <v>1010</v>
      </c>
      <c r="D285" s="213">
        <v>110</v>
      </c>
      <c r="E285" s="213">
        <v>1.55</v>
      </c>
      <c r="F285" s="521">
        <f t="shared" si="9"/>
        <v>170.5</v>
      </c>
    </row>
    <row r="286" spans="1:7" x14ac:dyDescent="0.2">
      <c r="C286" s="211" t="s">
        <v>1011</v>
      </c>
      <c r="D286" s="213">
        <v>115</v>
      </c>
      <c r="E286" s="213">
        <v>1.4</v>
      </c>
      <c r="F286" s="521">
        <f t="shared" si="9"/>
        <v>161</v>
      </c>
    </row>
    <row r="287" spans="1:7" x14ac:dyDescent="0.2">
      <c r="C287" s="211" t="s">
        <v>1012</v>
      </c>
      <c r="D287" s="213">
        <v>105</v>
      </c>
      <c r="E287" s="213">
        <v>1.3</v>
      </c>
      <c r="F287" s="521">
        <f t="shared" si="9"/>
        <v>136.5</v>
      </c>
    </row>
    <row r="288" spans="1:7" x14ac:dyDescent="0.2">
      <c r="C288" s="211" t="s">
        <v>1013</v>
      </c>
      <c r="D288" s="213">
        <v>95</v>
      </c>
      <c r="E288" s="213">
        <v>1.4</v>
      </c>
      <c r="F288" s="521">
        <f t="shared" si="9"/>
        <v>133</v>
      </c>
    </row>
    <row r="289" spans="3:6" ht="13.5" thickBot="1" x14ac:dyDescent="0.25">
      <c r="C289" s="209" t="s">
        <v>1014</v>
      </c>
      <c r="D289" s="210">
        <v>90</v>
      </c>
      <c r="E289" s="210">
        <v>1.4</v>
      </c>
      <c r="F289" s="523">
        <f t="shared" si="9"/>
        <v>125.99999999999999</v>
      </c>
    </row>
    <row r="291" spans="3:6" x14ac:dyDescent="0.2">
      <c r="C291" s="171" t="s">
        <v>1056</v>
      </c>
    </row>
    <row r="293" spans="3:6" x14ac:dyDescent="0.2">
      <c r="C293" s="158" t="s">
        <v>1028</v>
      </c>
      <c r="D293" s="1222">
        <f>D284/D283-1</f>
        <v>0</v>
      </c>
    </row>
    <row r="294" spans="3:6" x14ac:dyDescent="0.2">
      <c r="D294" s="1222"/>
    </row>
    <row r="295" spans="3:6" x14ac:dyDescent="0.2">
      <c r="C295" s="158" t="s">
        <v>1030</v>
      </c>
      <c r="D295" s="1222">
        <f>D285/D284-1</f>
        <v>0.10000000000000009</v>
      </c>
    </row>
    <row r="296" spans="3:6" x14ac:dyDescent="0.2">
      <c r="D296" s="1222"/>
    </row>
    <row r="297" spans="3:6" x14ac:dyDescent="0.2">
      <c r="C297" s="158" t="s">
        <v>1029</v>
      </c>
      <c r="D297" s="1223">
        <f>D286/D285-1</f>
        <v>4.5454545454545414E-2</v>
      </c>
    </row>
    <row r="298" spans="3:6" x14ac:dyDescent="0.2">
      <c r="D298" s="1222"/>
    </row>
    <row r="299" spans="3:6" x14ac:dyDescent="0.2">
      <c r="C299" s="158" t="s">
        <v>1057</v>
      </c>
      <c r="D299" s="1223">
        <f>D287/D286-1</f>
        <v>-8.6956521739130488E-2</v>
      </c>
    </row>
    <row r="300" spans="3:6" x14ac:dyDescent="0.2">
      <c r="D300" s="1222"/>
    </row>
    <row r="301" spans="3:6" x14ac:dyDescent="0.2">
      <c r="C301" s="158" t="s">
        <v>1058</v>
      </c>
      <c r="D301" s="1223">
        <f>D288/D287-1</f>
        <v>-9.5238095238095233E-2</v>
      </c>
    </row>
    <row r="302" spans="3:6" x14ac:dyDescent="0.2">
      <c r="D302" s="1222"/>
    </row>
    <row r="303" spans="3:6" x14ac:dyDescent="0.2">
      <c r="C303" s="158" t="s">
        <v>181</v>
      </c>
      <c r="D303" s="1223">
        <f>D289/D288-1</f>
        <v>-5.2631578947368474E-2</v>
      </c>
    </row>
    <row r="304" spans="3:6" x14ac:dyDescent="0.2">
      <c r="D304" s="1222"/>
    </row>
    <row r="305" spans="1:4" x14ac:dyDescent="0.2">
      <c r="C305" s="158" t="s">
        <v>1059</v>
      </c>
      <c r="D305" s="185">
        <f>(1+D293)*(1+D295)*(1+D297)*(1+D299)*(1+D301)*(1+D303)-1</f>
        <v>-9.9999999999999978E-2</v>
      </c>
    </row>
    <row r="306" spans="1:4" x14ac:dyDescent="0.2">
      <c r="D306" s="185"/>
    </row>
    <row r="307" spans="1:4" x14ac:dyDescent="0.2">
      <c r="C307" s="158" t="s">
        <v>1060</v>
      </c>
      <c r="D307" s="185">
        <f>D289/D283-1</f>
        <v>-9.9999999999999978E-2</v>
      </c>
    </row>
    <row r="308" spans="1:4" x14ac:dyDescent="0.2">
      <c r="D308" s="185"/>
    </row>
    <row r="309" spans="1:4" x14ac:dyDescent="0.2">
      <c r="D309" s="185"/>
    </row>
    <row r="310" spans="1:4" ht="20.25" x14ac:dyDescent="0.3">
      <c r="A310" s="164" t="s">
        <v>1062</v>
      </c>
      <c r="C310" s="171" t="s">
        <v>1061</v>
      </c>
    </row>
    <row r="311" spans="1:4" x14ac:dyDescent="0.2">
      <c r="A311" s="158" t="s">
        <v>1065</v>
      </c>
    </row>
    <row r="312" spans="1:4" x14ac:dyDescent="0.2">
      <c r="A312" s="158" t="s">
        <v>1061</v>
      </c>
      <c r="C312" s="158" t="s">
        <v>1028</v>
      </c>
      <c r="D312" s="1223">
        <f>E284/E283-1</f>
        <v>6.6666666666666652E-2</v>
      </c>
    </row>
    <row r="313" spans="1:4" x14ac:dyDescent="0.2">
      <c r="D313" s="1222"/>
    </row>
    <row r="314" spans="1:4" x14ac:dyDescent="0.2">
      <c r="C314" s="158" t="s">
        <v>1030</v>
      </c>
      <c r="D314" s="1223">
        <f>E285/E284-1</f>
        <v>-3.125E-2</v>
      </c>
    </row>
    <row r="315" spans="1:4" x14ac:dyDescent="0.2">
      <c r="D315" s="1222"/>
    </row>
    <row r="316" spans="1:4" x14ac:dyDescent="0.2">
      <c r="C316" s="158" t="s">
        <v>1029</v>
      </c>
      <c r="D316" s="1223">
        <f>E286/E285-1</f>
        <v>-9.6774193548387233E-2</v>
      </c>
    </row>
    <row r="317" spans="1:4" x14ac:dyDescent="0.2">
      <c r="D317" s="1222"/>
    </row>
    <row r="318" spans="1:4" x14ac:dyDescent="0.2">
      <c r="C318" s="158" t="s">
        <v>1057</v>
      </c>
      <c r="D318" s="1223">
        <f>E287/E286-1</f>
        <v>-7.1428571428571286E-2</v>
      </c>
    </row>
    <row r="319" spans="1:4" x14ac:dyDescent="0.2">
      <c r="D319" s="1222"/>
    </row>
    <row r="320" spans="1:4" x14ac:dyDescent="0.2">
      <c r="C320" s="158" t="s">
        <v>1058</v>
      </c>
      <c r="D320" s="1223">
        <f>E288/E287-1</f>
        <v>7.6923076923076872E-2</v>
      </c>
    </row>
    <row r="321" spans="1:6" x14ac:dyDescent="0.2">
      <c r="D321" s="1222"/>
    </row>
    <row r="322" spans="1:6" x14ac:dyDescent="0.2">
      <c r="C322" s="158" t="s">
        <v>181</v>
      </c>
      <c r="D322" s="1223">
        <f>E289/E288-1</f>
        <v>0</v>
      </c>
    </row>
    <row r="323" spans="1:6" x14ac:dyDescent="0.2">
      <c r="D323" s="1222"/>
    </row>
    <row r="324" spans="1:6" x14ac:dyDescent="0.2">
      <c r="C324" s="158" t="s">
        <v>1059</v>
      </c>
      <c r="D324" s="185">
        <f>(1+D312)*(1+D314)*(1+D316)*(1+D318)*(1+D320)*(1+D322)-1</f>
        <v>-6.6666666666666763E-2</v>
      </c>
    </row>
    <row r="325" spans="1:6" x14ac:dyDescent="0.2">
      <c r="D325" s="185"/>
    </row>
    <row r="326" spans="1:6" x14ac:dyDescent="0.2">
      <c r="C326" s="158" t="s">
        <v>1060</v>
      </c>
      <c r="D326" s="185">
        <f>E289/E283-1</f>
        <v>-6.6666666666666763E-2</v>
      </c>
    </row>
    <row r="327" spans="1:6" x14ac:dyDescent="0.2">
      <c r="D327" s="185"/>
    </row>
    <row r="328" spans="1:6" x14ac:dyDescent="0.2">
      <c r="D328" s="185"/>
    </row>
    <row r="329" spans="1:6" ht="20.25" x14ac:dyDescent="0.3">
      <c r="A329" s="164" t="s">
        <v>1063</v>
      </c>
      <c r="C329" s="171" t="s">
        <v>1064</v>
      </c>
      <c r="F329" s="158" t="s">
        <v>1066</v>
      </c>
    </row>
    <row r="330" spans="1:6" x14ac:dyDescent="0.2">
      <c r="A330" s="158" t="s">
        <v>1065</v>
      </c>
    </row>
    <row r="331" spans="1:6" x14ac:dyDescent="0.2">
      <c r="A331" s="158" t="s">
        <v>1064</v>
      </c>
      <c r="C331" s="158" t="s">
        <v>1028</v>
      </c>
      <c r="D331" s="1223">
        <f>F284/F283-1</f>
        <v>6.6666666666666652E-2</v>
      </c>
      <c r="F331" s="185">
        <f>(1+D293)*(1+D312)-1</f>
        <v>6.6666666666666652E-2</v>
      </c>
    </row>
    <row r="332" spans="1:6" x14ac:dyDescent="0.2">
      <c r="D332" s="1222"/>
    </row>
    <row r="333" spans="1:6" x14ac:dyDescent="0.2">
      <c r="C333" s="158" t="s">
        <v>1030</v>
      </c>
      <c r="D333" s="1223">
        <f>F285/F284-1</f>
        <v>6.5625000000000044E-2</v>
      </c>
      <c r="F333" s="185">
        <f>(1+D295)*(1+D314)-1</f>
        <v>6.5625000000000044E-2</v>
      </c>
    </row>
    <row r="334" spans="1:6" x14ac:dyDescent="0.2">
      <c r="D334" s="1222"/>
    </row>
    <row r="335" spans="1:6" x14ac:dyDescent="0.2">
      <c r="C335" s="158" t="s">
        <v>1029</v>
      </c>
      <c r="D335" s="1223">
        <f>F286/F285-1</f>
        <v>-5.5718475073313734E-2</v>
      </c>
      <c r="F335" s="185">
        <f>(1+D297)*(1+D316)-1</f>
        <v>-5.5718475073313956E-2</v>
      </c>
    </row>
    <row r="336" spans="1:6" x14ac:dyDescent="0.2">
      <c r="D336" s="1222"/>
    </row>
    <row r="337" spans="1:6" x14ac:dyDescent="0.2">
      <c r="C337" s="158" t="s">
        <v>1057</v>
      </c>
      <c r="D337" s="1223">
        <f>F287/F286-1</f>
        <v>-0.15217391304347827</v>
      </c>
      <c r="F337" s="185">
        <f>(1+D299)*(1+D318)-1</f>
        <v>-0.15217391304347816</v>
      </c>
    </row>
    <row r="338" spans="1:6" x14ac:dyDescent="0.2">
      <c r="D338" s="1222"/>
    </row>
    <row r="339" spans="1:6" x14ac:dyDescent="0.2">
      <c r="C339" s="158" t="s">
        <v>1058</v>
      </c>
      <c r="D339" s="1223">
        <f>F288/F287-1</f>
        <v>-2.5641025641025661E-2</v>
      </c>
      <c r="F339" s="185">
        <f>(1+D301)*(1+D320)-1</f>
        <v>-2.5641025641025661E-2</v>
      </c>
    </row>
    <row r="340" spans="1:6" x14ac:dyDescent="0.2">
      <c r="D340" s="1222"/>
    </row>
    <row r="341" spans="1:6" x14ac:dyDescent="0.2">
      <c r="C341" s="158" t="s">
        <v>181</v>
      </c>
      <c r="D341" s="1223">
        <f>F289/F288-1</f>
        <v>-5.2631578947368474E-2</v>
      </c>
      <c r="F341" s="185">
        <f>(1+D303)*(1+D322)-1</f>
        <v>-5.2631578947368474E-2</v>
      </c>
    </row>
    <row r="342" spans="1:6" x14ac:dyDescent="0.2">
      <c r="D342" s="1222"/>
    </row>
    <row r="343" spans="1:6" x14ac:dyDescent="0.2">
      <c r="C343" s="158" t="s">
        <v>1059</v>
      </c>
      <c r="D343" s="185">
        <f>(1+D331)*(1+D333)*(1+D335)*(1+D337)*(1+D339)*(1+D341)-1</f>
        <v>-0.15999999999999992</v>
      </c>
      <c r="F343" s="185">
        <f>(1+D305)*(1+D324)-1</f>
        <v>-0.16000000000000003</v>
      </c>
    </row>
    <row r="344" spans="1:6" x14ac:dyDescent="0.2">
      <c r="D344" s="185"/>
    </row>
    <row r="345" spans="1:6" x14ac:dyDescent="0.2">
      <c r="C345" s="158" t="s">
        <v>1060</v>
      </c>
      <c r="D345" s="185">
        <f>F289/F283-1</f>
        <v>-0.16000000000000014</v>
      </c>
      <c r="F345" s="185">
        <f>(1+D307)*(1+D326)-1</f>
        <v>-0.16000000000000003</v>
      </c>
    </row>
    <row r="346" spans="1:6" x14ac:dyDescent="0.2">
      <c r="D346" s="185"/>
    </row>
    <row r="347" spans="1:6" x14ac:dyDescent="0.2">
      <c r="D347" s="185"/>
    </row>
    <row r="348" spans="1:6" ht="21" thickBot="1" x14ac:dyDescent="0.35">
      <c r="A348" s="164" t="s">
        <v>1067</v>
      </c>
      <c r="D348" s="185"/>
    </row>
    <row r="349" spans="1:6" x14ac:dyDescent="0.2">
      <c r="A349" s="158" t="s">
        <v>1071</v>
      </c>
      <c r="C349" s="504" t="s">
        <v>1067</v>
      </c>
      <c r="D349" s="532" t="s">
        <v>1052</v>
      </c>
      <c r="E349" s="533" t="s">
        <v>1072</v>
      </c>
    </row>
    <row r="350" spans="1:6" ht="13.5" thickBot="1" x14ac:dyDescent="0.25">
      <c r="C350" s="505"/>
      <c r="D350" s="529" t="s">
        <v>1053</v>
      </c>
      <c r="E350" s="1218" t="s">
        <v>1053</v>
      </c>
    </row>
    <row r="351" spans="1:6" x14ac:dyDescent="0.2">
      <c r="C351" s="211" t="s">
        <v>943</v>
      </c>
      <c r="D351" s="213">
        <v>1.5</v>
      </c>
      <c r="E351" s="1260">
        <f>+D351*(1.02)^(1/12)/(1.04)^(1/12)</f>
        <v>1.4975747020738863</v>
      </c>
    </row>
    <row r="352" spans="1:6" x14ac:dyDescent="0.2">
      <c r="C352" s="211" t="s">
        <v>1009</v>
      </c>
      <c r="D352" s="213">
        <v>1.6</v>
      </c>
      <c r="E352" s="1260">
        <f t="shared" ref="E352:E357" si="10">+D352*(1.02)^(1/12)/(1.04)^(1/12)</f>
        <v>1.5974130155454789</v>
      </c>
    </row>
    <row r="353" spans="1:5" x14ac:dyDescent="0.2">
      <c r="C353" s="211" t="s">
        <v>1010</v>
      </c>
      <c r="D353" s="213">
        <v>1.55</v>
      </c>
      <c r="E353" s="1260">
        <f t="shared" si="10"/>
        <v>1.5474938588096827</v>
      </c>
    </row>
    <row r="354" spans="1:5" x14ac:dyDescent="0.2">
      <c r="C354" s="211" t="s">
        <v>1011</v>
      </c>
      <c r="D354" s="213">
        <v>1.4</v>
      </c>
      <c r="E354" s="1260">
        <f t="shared" si="10"/>
        <v>1.3977363886022938</v>
      </c>
    </row>
    <row r="355" spans="1:5" x14ac:dyDescent="0.2">
      <c r="C355" s="211" t="s">
        <v>1012</v>
      </c>
      <c r="D355" s="213">
        <v>1.3</v>
      </c>
      <c r="E355" s="1260">
        <f t="shared" si="10"/>
        <v>1.2978980751307017</v>
      </c>
    </row>
    <row r="356" spans="1:5" x14ac:dyDescent="0.2">
      <c r="C356" s="211" t="s">
        <v>1013</v>
      </c>
      <c r="D356" s="213">
        <v>1.4</v>
      </c>
      <c r="E356" s="1260">
        <f t="shared" si="10"/>
        <v>1.3977363886022938</v>
      </c>
    </row>
    <row r="357" spans="1:5" ht="13.5" thickBot="1" x14ac:dyDescent="0.25">
      <c r="C357" s="209" t="s">
        <v>1014</v>
      </c>
      <c r="D357" s="210">
        <v>1.4</v>
      </c>
      <c r="E357" s="1261">
        <f t="shared" si="10"/>
        <v>1.3977363886022938</v>
      </c>
    </row>
    <row r="358" spans="1:5" x14ac:dyDescent="0.2">
      <c r="D358" s="185"/>
    </row>
    <row r="359" spans="1:5" x14ac:dyDescent="0.2">
      <c r="D359" s="185"/>
    </row>
    <row r="360" spans="1:5" ht="20.25" x14ac:dyDescent="0.3">
      <c r="A360" s="164" t="s">
        <v>1073</v>
      </c>
      <c r="D360" s="185"/>
    </row>
    <row r="361" spans="1:5" x14ac:dyDescent="0.2">
      <c r="A361" s="158" t="s">
        <v>1075</v>
      </c>
      <c r="D361" s="185" t="s">
        <v>1074</v>
      </c>
      <c r="E361" s="158" t="s">
        <v>357</v>
      </c>
    </row>
    <row r="362" spans="1:5" x14ac:dyDescent="0.2">
      <c r="D362" s="185" t="s">
        <v>3</v>
      </c>
      <c r="E362" s="158" t="s">
        <v>3</v>
      </c>
    </row>
    <row r="363" spans="1:5" x14ac:dyDescent="0.2">
      <c r="D363" s="185"/>
    </row>
    <row r="364" spans="1:5" x14ac:dyDescent="0.2">
      <c r="C364" s="158" t="s">
        <v>1028</v>
      </c>
      <c r="D364" s="185">
        <f>(D283*E351-D283*D352)/F283</f>
        <v>-6.8283531950742521E-2</v>
      </c>
      <c r="E364" s="185">
        <f>+D364+D331</f>
        <v>-1.616865284075869E-3</v>
      </c>
    </row>
    <row r="365" spans="1:5" x14ac:dyDescent="0.2">
      <c r="D365" s="185"/>
    </row>
    <row r="366" spans="1:5" x14ac:dyDescent="0.2">
      <c r="C366" s="158" t="s">
        <v>1030</v>
      </c>
      <c r="D366" s="185">
        <f>(D284*E352-D284*D353)/F284</f>
        <v>2.9633134715924214E-2</v>
      </c>
      <c r="E366" s="185">
        <f>+D366+D333</f>
        <v>9.5258134715924259E-2</v>
      </c>
    </row>
    <row r="367" spans="1:5" x14ac:dyDescent="0.2">
      <c r="D367" s="185"/>
    </row>
    <row r="368" spans="1:5" x14ac:dyDescent="0.2">
      <c r="C368" s="158" t="s">
        <v>1029</v>
      </c>
      <c r="D368" s="185">
        <f>(D285*E353-D285*D354)/F285</f>
        <v>9.5157328264311405E-2</v>
      </c>
      <c r="E368" s="185">
        <f>+D368+D335</f>
        <v>3.9438853190997672E-2</v>
      </c>
    </row>
    <row r="369" spans="1:5" x14ac:dyDescent="0.2">
      <c r="D369" s="185"/>
    </row>
    <row r="370" spans="1:5" x14ac:dyDescent="0.2">
      <c r="C370" s="158" t="s">
        <v>1057</v>
      </c>
      <c r="D370" s="185">
        <f>(D286*E354-D286*D355)/F286</f>
        <v>6.9811706144495542E-2</v>
      </c>
      <c r="E370" s="185">
        <f>+D370+D337</f>
        <v>-8.2362206898982729E-2</v>
      </c>
    </row>
    <row r="371" spans="1:5" x14ac:dyDescent="0.2">
      <c r="D371" s="185"/>
    </row>
    <row r="372" spans="1:5" x14ac:dyDescent="0.2">
      <c r="C372" s="158" t="s">
        <v>1058</v>
      </c>
      <c r="D372" s="185">
        <f>(D287*E355-D287*D356)/F287</f>
        <v>-7.853994220715256E-2</v>
      </c>
      <c r="E372" s="185">
        <f>+D372+D339</f>
        <v>-0.10418096784817822</v>
      </c>
    </row>
    <row r="373" spans="1:5" x14ac:dyDescent="0.2">
      <c r="D373" s="185"/>
    </row>
    <row r="374" spans="1:5" x14ac:dyDescent="0.2">
      <c r="C374" s="158" t="s">
        <v>181</v>
      </c>
      <c r="D374" s="185">
        <f>(D288*E356-D288*D357)/F288</f>
        <v>-1.6168652840759595E-3</v>
      </c>
      <c r="E374" s="185">
        <f>+D374+D341</f>
        <v>-5.4248444231444433E-2</v>
      </c>
    </row>
    <row r="375" spans="1:5" x14ac:dyDescent="0.2">
      <c r="D375" s="185"/>
      <c r="E375" s="185"/>
    </row>
    <row r="376" spans="1:5" x14ac:dyDescent="0.2">
      <c r="C376" s="158" t="s">
        <v>1059</v>
      </c>
      <c r="D376" s="185" t="s">
        <v>0</v>
      </c>
      <c r="E376" s="185">
        <f>(1+E364)*(1+E366)*(1+E368)*(1+E370)*(1+E372)*(1+E374)-1</f>
        <v>-0.1163479059681729</v>
      </c>
    </row>
    <row r="377" spans="1:5" x14ac:dyDescent="0.2">
      <c r="D377" s="185"/>
      <c r="E377" s="185"/>
    </row>
    <row r="378" spans="1:5" x14ac:dyDescent="0.2">
      <c r="D378" s="185"/>
      <c r="E378" s="185"/>
    </row>
    <row r="379" spans="1:5" ht="20.25" x14ac:dyDescent="0.3">
      <c r="A379" s="164" t="s">
        <v>1079</v>
      </c>
      <c r="D379" s="185"/>
      <c r="E379" s="185"/>
    </row>
    <row r="380" spans="1:5" x14ac:dyDescent="0.2">
      <c r="A380" s="158" t="s">
        <v>1076</v>
      </c>
      <c r="D380" s="158" t="s">
        <v>1077</v>
      </c>
    </row>
    <row r="381" spans="1:5" x14ac:dyDescent="0.2">
      <c r="D381" s="158" t="s">
        <v>1078</v>
      </c>
    </row>
    <row r="383" spans="1:5" x14ac:dyDescent="0.2">
      <c r="C383" s="158" t="s">
        <v>1028</v>
      </c>
      <c r="D383" s="1223">
        <f>(1+D293)*(1.02)^(1/12)/(1.04)^(1/12)-1</f>
        <v>-1.6168652840757858E-3</v>
      </c>
    </row>
    <row r="385" spans="1:4" x14ac:dyDescent="0.2">
      <c r="C385" s="158" t="s">
        <v>1030</v>
      </c>
      <c r="D385" s="1223">
        <f>(1+D295)*(1.02)^(1/12)/(1.04)^(1/12)-1</f>
        <v>9.8221448187516769E-2</v>
      </c>
    </row>
    <row r="387" spans="1:4" x14ac:dyDescent="0.2">
      <c r="C387" s="158" t="s">
        <v>1029</v>
      </c>
      <c r="D387" s="1223">
        <f>(1+D297)*(1.02)^(1/12)/(1.04)^(1/12)-1</f>
        <v>4.376418629392087E-2</v>
      </c>
    </row>
    <row r="389" spans="1:4" x14ac:dyDescent="0.2">
      <c r="C389" s="158" t="s">
        <v>1057</v>
      </c>
      <c r="D389" s="1223">
        <f>(1+D299)*(1.02)^(1/12)/(1.04)^(1/12)-1</f>
        <v>-8.8432790041982234E-2</v>
      </c>
    </row>
    <row r="391" spans="1:4" x14ac:dyDescent="0.2">
      <c r="C391" s="158" t="s">
        <v>1058</v>
      </c>
      <c r="D391" s="1223">
        <f>(1+D301)*(1.02)^(1/12)/(1.04)^(1/12)-1</f>
        <v>-9.6700973352259023E-2</v>
      </c>
    </row>
    <row r="393" spans="1:4" x14ac:dyDescent="0.2">
      <c r="C393" s="158" t="s">
        <v>181</v>
      </c>
      <c r="D393" s="1223">
        <f>(1+D303)*(1.02)^(1/12)/(1.04)^(1/12)-1</f>
        <v>-5.4163346058598072E-2</v>
      </c>
    </row>
    <row r="395" spans="1:4" x14ac:dyDescent="0.2">
      <c r="C395" s="158" t="s">
        <v>1059</v>
      </c>
      <c r="D395" s="185">
        <f>(1+D383)*(1+D385)*(1+D387)*(1+D389)*(1+D391)*(1+D393)-1</f>
        <v>-0.1086958561057414</v>
      </c>
    </row>
    <row r="397" spans="1:4" ht="13.5" thickBot="1" x14ac:dyDescent="0.25"/>
    <row r="398" spans="1:4" ht="20.25" x14ac:dyDescent="0.3">
      <c r="A398" s="164" t="s">
        <v>290</v>
      </c>
      <c r="C398" s="165" t="s">
        <v>219</v>
      </c>
      <c r="D398" s="166">
        <v>74.2</v>
      </c>
    </row>
    <row r="399" spans="1:4" x14ac:dyDescent="0.2">
      <c r="A399" s="158" t="s">
        <v>291</v>
      </c>
      <c r="C399" s="167" t="s">
        <v>221</v>
      </c>
      <c r="D399" s="168">
        <v>104.4</v>
      </c>
    </row>
    <row r="400" spans="1:4" x14ac:dyDescent="0.2">
      <c r="A400" s="158" t="s">
        <v>292</v>
      </c>
      <c r="C400" s="167" t="s">
        <v>293</v>
      </c>
      <c r="D400" s="168">
        <v>39.5</v>
      </c>
    </row>
    <row r="401" spans="1:6" x14ac:dyDescent="0.2">
      <c r="C401" s="167" t="s">
        <v>294</v>
      </c>
      <c r="D401" s="168">
        <v>2.4</v>
      </c>
    </row>
    <row r="402" spans="1:6" x14ac:dyDescent="0.2">
      <c r="C402" s="167" t="s">
        <v>295</v>
      </c>
      <c r="D402" s="168">
        <f>+D400-D401</f>
        <v>37.1</v>
      </c>
    </row>
    <row r="403" spans="1:6" x14ac:dyDescent="0.2">
      <c r="C403" s="167"/>
      <c r="D403" s="168"/>
    </row>
    <row r="404" spans="1:6" x14ac:dyDescent="0.2">
      <c r="C404" s="167" t="s">
        <v>296</v>
      </c>
      <c r="D404" s="168">
        <v>67</v>
      </c>
      <c r="F404" s="184" t="s">
        <v>297</v>
      </c>
    </row>
    <row r="405" spans="1:6" ht="13.5" thickBot="1" x14ac:dyDescent="0.25">
      <c r="C405" s="169" t="s">
        <v>298</v>
      </c>
      <c r="D405" s="170">
        <v>103.1</v>
      </c>
      <c r="F405" s="184" t="s">
        <v>299</v>
      </c>
    </row>
    <row r="407" spans="1:6" ht="15.75" x14ac:dyDescent="0.3">
      <c r="B407" s="158" t="s">
        <v>251</v>
      </c>
      <c r="C407" s="180" t="s">
        <v>252</v>
      </c>
      <c r="D407" s="185">
        <f>D404/D398-1</f>
        <v>-9.7035040431266872E-2</v>
      </c>
    </row>
    <row r="409" spans="1:6" ht="15.75" x14ac:dyDescent="0.3">
      <c r="B409" s="158" t="s">
        <v>265</v>
      </c>
      <c r="C409" s="180" t="s">
        <v>254</v>
      </c>
      <c r="D409" s="185">
        <f>(D405+D401)/(D404+D400)-1</f>
        <v>-9.3896713615023719E-3</v>
      </c>
    </row>
    <row r="410" spans="1:6" x14ac:dyDescent="0.2">
      <c r="C410" s="180"/>
      <c r="D410" s="185"/>
    </row>
    <row r="411" spans="1:6" ht="15.75" x14ac:dyDescent="0.3">
      <c r="B411" s="158" t="s">
        <v>269</v>
      </c>
      <c r="C411" s="180" t="s">
        <v>270</v>
      </c>
      <c r="D411" s="185">
        <f>+D399/(D405)-1</f>
        <v>1.2609117361784827E-2</v>
      </c>
    </row>
    <row r="413" spans="1:6" ht="14.25" x14ac:dyDescent="0.25">
      <c r="B413" s="171" t="s">
        <v>255</v>
      </c>
      <c r="C413" s="182" t="s">
        <v>271</v>
      </c>
      <c r="D413" s="172">
        <f>(1+D407)*(1+D409)*(1+D411)-1</f>
        <v>-9.4234900462931592E-2</v>
      </c>
    </row>
    <row r="414" spans="1:6" x14ac:dyDescent="0.2">
      <c r="B414" s="171"/>
      <c r="C414" s="182"/>
      <c r="D414" s="172"/>
    </row>
    <row r="415" spans="1:6" ht="13.5" thickBot="1" x14ac:dyDescent="0.25">
      <c r="B415" s="171"/>
      <c r="C415" s="182"/>
      <c r="D415" s="172"/>
    </row>
    <row r="416" spans="1:6" ht="20.25" x14ac:dyDescent="0.3">
      <c r="A416" s="164" t="s">
        <v>300</v>
      </c>
      <c r="C416" s="165" t="s">
        <v>219</v>
      </c>
      <c r="D416" s="166">
        <v>74.2</v>
      </c>
    </row>
    <row r="417" spans="1:6" x14ac:dyDescent="0.2">
      <c r="A417" s="158" t="s">
        <v>301</v>
      </c>
      <c r="C417" s="167" t="s">
        <v>221</v>
      </c>
      <c r="D417" s="168">
        <v>104.4</v>
      </c>
    </row>
    <row r="418" spans="1:6" x14ac:dyDescent="0.2">
      <c r="A418" s="158" t="s">
        <v>302</v>
      </c>
      <c r="C418" s="167" t="s">
        <v>293</v>
      </c>
      <c r="D418" s="168">
        <v>39.5</v>
      </c>
    </row>
    <row r="419" spans="1:6" x14ac:dyDescent="0.2">
      <c r="C419" s="167" t="s">
        <v>294</v>
      </c>
      <c r="D419" s="168">
        <v>2.4</v>
      </c>
    </row>
    <row r="420" spans="1:6" x14ac:dyDescent="0.2">
      <c r="C420" s="167" t="s">
        <v>295</v>
      </c>
      <c r="D420" s="168">
        <f>+D418-D419</f>
        <v>37.1</v>
      </c>
    </row>
    <row r="421" spans="1:6" x14ac:dyDescent="0.2">
      <c r="C421" s="167"/>
      <c r="D421" s="168"/>
    </row>
    <row r="422" spans="1:6" x14ac:dyDescent="0.2">
      <c r="C422" s="167" t="s">
        <v>296</v>
      </c>
      <c r="D422" s="168">
        <v>67</v>
      </c>
      <c r="F422" s="184" t="s">
        <v>303</v>
      </c>
    </row>
    <row r="423" spans="1:6" ht="13.5" thickBot="1" x14ac:dyDescent="0.25">
      <c r="C423" s="169" t="s">
        <v>298</v>
      </c>
      <c r="D423" s="170">
        <v>103.1</v>
      </c>
      <c r="F423" s="184" t="s">
        <v>304</v>
      </c>
    </row>
    <row r="425" spans="1:6" ht="15.75" x14ac:dyDescent="0.3">
      <c r="B425" s="158" t="s">
        <v>251</v>
      </c>
      <c r="C425" s="180" t="s">
        <v>252</v>
      </c>
      <c r="D425" s="185">
        <f>D422/D416-1</f>
        <v>-9.7035040431266872E-2</v>
      </c>
    </row>
    <row r="427" spans="1:6" ht="15.75" x14ac:dyDescent="0.3">
      <c r="B427" s="158" t="s">
        <v>265</v>
      </c>
      <c r="C427" s="180" t="s">
        <v>254</v>
      </c>
      <c r="D427" s="185">
        <f>(D423-D418)/(D422-D419)-1</f>
        <v>-1.5479876160990669E-2</v>
      </c>
    </row>
    <row r="428" spans="1:6" x14ac:dyDescent="0.2">
      <c r="C428" s="180"/>
      <c r="D428" s="185"/>
    </row>
    <row r="429" spans="1:6" ht="15.75" x14ac:dyDescent="0.3">
      <c r="B429" s="158" t="s">
        <v>269</v>
      </c>
      <c r="C429" s="180" t="s">
        <v>270</v>
      </c>
      <c r="D429" s="185">
        <f>+D417/(D423)-1</f>
        <v>1.2609117361784827E-2</v>
      </c>
    </row>
    <row r="431" spans="1:6" ht="14.25" x14ac:dyDescent="0.25">
      <c r="B431" s="171" t="s">
        <v>255</v>
      </c>
      <c r="C431" s="182" t="s">
        <v>271</v>
      </c>
      <c r="D431" s="172">
        <f>(1+D425)*(1+D427)*(1+D429)-1</f>
        <v>-9.980348257532623E-2</v>
      </c>
    </row>
    <row r="432" spans="1:6" x14ac:dyDescent="0.2">
      <c r="B432" s="171"/>
      <c r="C432" s="182"/>
      <c r="D432" s="172"/>
    </row>
    <row r="433" spans="1:5" x14ac:dyDescent="0.2">
      <c r="B433" s="171"/>
      <c r="C433" s="182"/>
      <c r="D433" s="172"/>
    </row>
    <row r="434" spans="1:5" ht="13.5" thickBot="1" x14ac:dyDescent="0.25">
      <c r="B434" s="171"/>
      <c r="C434" s="182"/>
      <c r="D434" s="172"/>
    </row>
    <row r="435" spans="1:5" ht="20.25" x14ac:dyDescent="0.3">
      <c r="A435" s="164" t="s">
        <v>305</v>
      </c>
      <c r="B435" s="171"/>
      <c r="C435" s="165" t="s">
        <v>0</v>
      </c>
      <c r="D435" s="176" t="s">
        <v>306</v>
      </c>
      <c r="E435" s="166" t="s">
        <v>307</v>
      </c>
    </row>
    <row r="436" spans="1:5" x14ac:dyDescent="0.2">
      <c r="A436" s="158" t="s">
        <v>308</v>
      </c>
      <c r="B436" s="171"/>
      <c r="C436" s="167" t="s">
        <v>309</v>
      </c>
      <c r="D436" s="191">
        <v>100</v>
      </c>
      <c r="E436" s="168">
        <v>111</v>
      </c>
    </row>
    <row r="437" spans="1:5" x14ac:dyDescent="0.2">
      <c r="B437" s="171"/>
      <c r="C437" s="167" t="s">
        <v>310</v>
      </c>
      <c r="D437" s="191">
        <v>10</v>
      </c>
      <c r="E437" s="168">
        <v>-10</v>
      </c>
    </row>
    <row r="438" spans="1:5" x14ac:dyDescent="0.2">
      <c r="B438" s="171"/>
      <c r="C438" s="167" t="s">
        <v>311</v>
      </c>
      <c r="D438" s="191">
        <v>100.5</v>
      </c>
      <c r="E438" s="168">
        <v>111.5</v>
      </c>
    </row>
    <row r="439" spans="1:5" x14ac:dyDescent="0.2">
      <c r="B439" s="171"/>
      <c r="C439" s="167" t="s">
        <v>312</v>
      </c>
      <c r="D439" s="191">
        <v>111</v>
      </c>
      <c r="E439" s="168">
        <v>102</v>
      </c>
    </row>
    <row r="440" spans="1:5" ht="13.5" thickBot="1" x14ac:dyDescent="0.25">
      <c r="B440" s="171"/>
      <c r="C440" s="169" t="s">
        <v>0</v>
      </c>
      <c r="D440" s="179" t="s">
        <v>0</v>
      </c>
      <c r="E440" s="170" t="s">
        <v>0</v>
      </c>
    </row>
    <row r="441" spans="1:5" x14ac:dyDescent="0.2">
      <c r="B441" s="171"/>
      <c r="C441" s="182"/>
      <c r="D441" s="172"/>
    </row>
    <row r="442" spans="1:5" x14ac:dyDescent="0.2">
      <c r="B442" s="171" t="s">
        <v>313</v>
      </c>
      <c r="C442" s="182"/>
      <c r="D442" s="172"/>
    </row>
    <row r="443" spans="1:5" x14ac:dyDescent="0.2">
      <c r="B443" s="171"/>
      <c r="C443" s="180" t="s">
        <v>306</v>
      </c>
      <c r="D443" s="192">
        <f>(D439-D437)/D436-1</f>
        <v>1.0000000000000009E-2</v>
      </c>
    </row>
    <row r="444" spans="1:5" x14ac:dyDescent="0.2">
      <c r="B444" s="171"/>
      <c r="C444" s="180"/>
      <c r="D444" s="193"/>
    </row>
    <row r="445" spans="1:5" x14ac:dyDescent="0.2">
      <c r="B445" s="171"/>
      <c r="C445" s="180" t="s">
        <v>307</v>
      </c>
      <c r="D445" s="192">
        <f>(E439-E437)/E436-1</f>
        <v>9.009009009008917E-3</v>
      </c>
    </row>
    <row r="446" spans="1:5" x14ac:dyDescent="0.2">
      <c r="B446" s="171"/>
      <c r="C446" s="182"/>
      <c r="D446" s="193"/>
    </row>
    <row r="447" spans="1:5" x14ac:dyDescent="0.2">
      <c r="B447" s="171"/>
      <c r="C447" s="180" t="s">
        <v>314</v>
      </c>
      <c r="D447" s="193">
        <f>(1+D443)*(1+D445)-1</f>
        <v>1.9099099099099126E-2</v>
      </c>
    </row>
    <row r="448" spans="1:5" x14ac:dyDescent="0.2">
      <c r="B448" s="171"/>
      <c r="C448" s="182"/>
      <c r="D448" s="193"/>
    </row>
    <row r="449" spans="2:4" x14ac:dyDescent="0.2">
      <c r="B449" s="171" t="s">
        <v>315</v>
      </c>
      <c r="C449" s="182"/>
      <c r="D449" s="193"/>
    </row>
    <row r="450" spans="2:4" x14ac:dyDescent="0.2">
      <c r="B450" s="171"/>
      <c r="C450" s="180" t="s">
        <v>306</v>
      </c>
      <c r="D450" s="192">
        <f>D439/(D436+D437)-1</f>
        <v>9.0909090909090384E-3</v>
      </c>
    </row>
    <row r="451" spans="2:4" x14ac:dyDescent="0.2">
      <c r="B451" s="171"/>
      <c r="C451" s="180"/>
      <c r="D451" s="193"/>
    </row>
    <row r="452" spans="2:4" x14ac:dyDescent="0.2">
      <c r="B452" s="171"/>
      <c r="C452" s="180" t="s">
        <v>307</v>
      </c>
      <c r="D452" s="192">
        <f>E439/(E436+E437)-1</f>
        <v>9.9009900990099098E-3</v>
      </c>
    </row>
    <row r="453" spans="2:4" x14ac:dyDescent="0.2">
      <c r="B453" s="171"/>
      <c r="C453" s="182"/>
      <c r="D453" s="193"/>
    </row>
    <row r="454" spans="2:4" x14ac:dyDescent="0.2">
      <c r="B454" s="171"/>
      <c r="C454" s="180" t="s">
        <v>314</v>
      </c>
      <c r="D454" s="193">
        <f>(1+D450)*(1+D452)-1</f>
        <v>1.9081908190819119E-2</v>
      </c>
    </row>
    <row r="455" spans="2:4" x14ac:dyDescent="0.2">
      <c r="B455" s="171"/>
      <c r="C455" s="182"/>
      <c r="D455" s="172"/>
    </row>
    <row r="456" spans="2:4" x14ac:dyDescent="0.2">
      <c r="B456" s="171" t="s">
        <v>316</v>
      </c>
      <c r="C456" s="182"/>
      <c r="D456" s="172"/>
    </row>
    <row r="457" spans="2:4" x14ac:dyDescent="0.2">
      <c r="B457" s="171"/>
      <c r="C457" s="180" t="s">
        <v>306</v>
      </c>
      <c r="D457" s="192">
        <f>(D439-D436-D437)/(D436+D437/2)</f>
        <v>9.5238095238095247E-3</v>
      </c>
    </row>
    <row r="458" spans="2:4" x14ac:dyDescent="0.2">
      <c r="B458" s="171"/>
      <c r="C458" s="180"/>
      <c r="D458" s="193"/>
    </row>
    <row r="459" spans="2:4" x14ac:dyDescent="0.2">
      <c r="B459" s="171"/>
      <c r="C459" s="180" t="s">
        <v>307</v>
      </c>
      <c r="D459" s="192">
        <f>(E439-E436-E437)/(E436+E437/2)</f>
        <v>9.433962264150943E-3</v>
      </c>
    </row>
    <row r="460" spans="2:4" x14ac:dyDescent="0.2">
      <c r="B460" s="171"/>
      <c r="C460" s="182"/>
      <c r="D460" s="193"/>
    </row>
    <row r="461" spans="2:4" x14ac:dyDescent="0.2">
      <c r="B461" s="171"/>
      <c r="C461" s="180" t="s">
        <v>314</v>
      </c>
      <c r="D461" s="193">
        <f>(1+D457)*(1+D459)-1</f>
        <v>1.9047619047619202E-2</v>
      </c>
    </row>
    <row r="462" spans="2:4" x14ac:dyDescent="0.2">
      <c r="B462" s="171"/>
      <c r="C462" s="182"/>
      <c r="D462" s="172"/>
    </row>
    <row r="463" spans="2:4" x14ac:dyDescent="0.2">
      <c r="B463" s="171" t="s">
        <v>317</v>
      </c>
      <c r="C463" s="182"/>
      <c r="D463" s="172"/>
    </row>
    <row r="464" spans="2:4" x14ac:dyDescent="0.2">
      <c r="B464" s="171" t="s">
        <v>318</v>
      </c>
      <c r="C464" s="182"/>
      <c r="D464" s="172"/>
    </row>
    <row r="465" spans="2:5" x14ac:dyDescent="0.2">
      <c r="B465" s="171"/>
      <c r="C465" s="180" t="s">
        <v>306</v>
      </c>
      <c r="D465" s="192">
        <f>D439/(D436+D437)-1</f>
        <v>9.0909090909090384E-3</v>
      </c>
    </row>
    <row r="466" spans="2:5" x14ac:dyDescent="0.2">
      <c r="B466" s="171"/>
      <c r="C466" s="180"/>
      <c r="D466" s="193"/>
    </row>
    <row r="467" spans="2:5" x14ac:dyDescent="0.2">
      <c r="B467" s="171"/>
      <c r="C467" s="180" t="s">
        <v>307</v>
      </c>
      <c r="D467" s="192">
        <f>(E439-E437)/E436-1</f>
        <v>9.009009009008917E-3</v>
      </c>
    </row>
    <row r="468" spans="2:5" x14ac:dyDescent="0.2">
      <c r="B468" s="171"/>
      <c r="C468" s="182"/>
      <c r="D468" s="193"/>
    </row>
    <row r="469" spans="2:5" x14ac:dyDescent="0.2">
      <c r="B469" s="171"/>
      <c r="C469" s="180" t="s">
        <v>314</v>
      </c>
      <c r="D469" s="193">
        <f>(1+D465)*(1+D467)-1</f>
        <v>1.8181818181818077E-2</v>
      </c>
    </row>
    <row r="470" spans="2:5" x14ac:dyDescent="0.2">
      <c r="B470" s="171"/>
      <c r="C470" s="182"/>
      <c r="D470" s="172"/>
    </row>
    <row r="471" spans="2:5" x14ac:dyDescent="0.2">
      <c r="B471" s="171" t="s">
        <v>317</v>
      </c>
      <c r="C471" s="182"/>
      <c r="D471" s="172"/>
    </row>
    <row r="472" spans="2:5" x14ac:dyDescent="0.2">
      <c r="B472" s="171" t="s">
        <v>319</v>
      </c>
      <c r="C472" s="182"/>
      <c r="D472" s="172"/>
    </row>
    <row r="473" spans="2:5" x14ac:dyDescent="0.2">
      <c r="B473" s="171"/>
      <c r="C473" s="180" t="s">
        <v>306</v>
      </c>
      <c r="D473" s="192">
        <f>(D439-D437)/D436-1</f>
        <v>1.0000000000000009E-2</v>
      </c>
      <c r="E473" s="158" t="s">
        <v>0</v>
      </c>
    </row>
    <row r="474" spans="2:5" x14ac:dyDescent="0.2">
      <c r="B474" s="171"/>
      <c r="C474" s="180"/>
      <c r="D474" s="193"/>
    </row>
    <row r="475" spans="2:5" x14ac:dyDescent="0.2">
      <c r="B475" s="171"/>
      <c r="C475" s="180" t="s">
        <v>307</v>
      </c>
      <c r="D475" s="192">
        <f>E439/(E436+E437)-1</f>
        <v>9.9009900990099098E-3</v>
      </c>
    </row>
    <row r="476" spans="2:5" x14ac:dyDescent="0.2">
      <c r="B476" s="171"/>
      <c r="C476" s="182"/>
      <c r="D476" s="193"/>
    </row>
    <row r="477" spans="2:5" x14ac:dyDescent="0.2">
      <c r="B477" s="171"/>
      <c r="C477" s="180" t="s">
        <v>314</v>
      </c>
      <c r="D477" s="193">
        <f>(1+D473)*(1+D475)-1</f>
        <v>2.0000000000000018E-2</v>
      </c>
    </row>
    <row r="478" spans="2:5" x14ac:dyDescent="0.2">
      <c r="B478" s="171"/>
      <c r="C478" s="182"/>
      <c r="D478" s="172"/>
    </row>
    <row r="479" spans="2:5" x14ac:dyDescent="0.2">
      <c r="B479" s="171" t="s">
        <v>320</v>
      </c>
      <c r="C479" s="182"/>
      <c r="D479" s="172"/>
    </row>
    <row r="480" spans="2:5" x14ac:dyDescent="0.2">
      <c r="B480" s="171"/>
      <c r="C480" s="180" t="s">
        <v>321</v>
      </c>
      <c r="D480" s="192">
        <f>D438/D436-1</f>
        <v>4.9999999999998934E-3</v>
      </c>
    </row>
    <row r="481" spans="1:6" x14ac:dyDescent="0.2">
      <c r="B481" s="171"/>
      <c r="C481" s="182"/>
      <c r="D481" s="172"/>
    </row>
    <row r="482" spans="1:6" x14ac:dyDescent="0.2">
      <c r="B482" s="171"/>
      <c r="C482" s="180" t="s">
        <v>322</v>
      </c>
      <c r="D482" s="192">
        <f>E438/(D438+D437)-1</f>
        <v>9.0497737556560764E-3</v>
      </c>
    </row>
    <row r="483" spans="1:6" x14ac:dyDescent="0.2">
      <c r="B483" s="171"/>
      <c r="C483" s="182"/>
      <c r="D483" s="172"/>
    </row>
    <row r="484" spans="1:6" x14ac:dyDescent="0.2">
      <c r="B484" s="171"/>
      <c r="C484" s="180" t="s">
        <v>323</v>
      </c>
      <c r="D484" s="192">
        <f>E439/(E438+E437)-1</f>
        <v>4.9261083743843415E-3</v>
      </c>
    </row>
    <row r="485" spans="1:6" x14ac:dyDescent="0.2">
      <c r="B485" s="171"/>
      <c r="C485" s="182"/>
      <c r="D485" s="172"/>
    </row>
    <row r="486" spans="1:6" x14ac:dyDescent="0.2">
      <c r="B486" s="171"/>
      <c r="C486" s="180" t="s">
        <v>314</v>
      </c>
      <c r="D486" s="193">
        <f>(1+D480)*(1+D482)*(1+D484)-1</f>
        <v>1.9090564607805893E-2</v>
      </c>
    </row>
    <row r="487" spans="1:6" x14ac:dyDescent="0.2">
      <c r="B487" s="171"/>
      <c r="C487" s="182"/>
      <c r="D487" s="172"/>
    </row>
    <row r="488" spans="1:6" x14ac:dyDescent="0.2">
      <c r="B488" s="171"/>
      <c r="C488" s="182"/>
      <c r="D488" s="172"/>
    </row>
    <row r="489" spans="1:6" ht="20.25" x14ac:dyDescent="0.3">
      <c r="A489" s="164" t="s">
        <v>1083</v>
      </c>
      <c r="B489" s="171"/>
      <c r="C489" s="182"/>
      <c r="D489" s="172"/>
    </row>
    <row r="490" spans="1:6" x14ac:dyDescent="0.2">
      <c r="A490" s="158" t="s">
        <v>1100</v>
      </c>
      <c r="B490" s="171"/>
      <c r="C490" s="182"/>
      <c r="D490" s="172"/>
    </row>
    <row r="491" spans="1:6" x14ac:dyDescent="0.2">
      <c r="B491" s="171"/>
      <c r="C491" s="182"/>
      <c r="D491" s="172" t="s">
        <v>1093</v>
      </c>
      <c r="E491" s="158" t="s">
        <v>1094</v>
      </c>
    </row>
    <row r="492" spans="1:6" ht="15" x14ac:dyDescent="0.25">
      <c r="B492" s="171"/>
      <c r="C492" s="182" t="s">
        <v>1084</v>
      </c>
      <c r="D492">
        <v>100</v>
      </c>
    </row>
    <row r="493" spans="1:6" ht="15" x14ac:dyDescent="0.25">
      <c r="B493" s="171"/>
      <c r="C493" s="182" t="s">
        <v>1087</v>
      </c>
      <c r="D493">
        <v>101</v>
      </c>
      <c r="E493" s="158" t="s">
        <v>1091</v>
      </c>
      <c r="F493" s="158">
        <v>2.5</v>
      </c>
    </row>
    <row r="494" spans="1:6" ht="15" x14ac:dyDescent="0.25">
      <c r="B494" s="171"/>
      <c r="C494" s="182" t="s">
        <v>1088</v>
      </c>
      <c r="D494">
        <v>99</v>
      </c>
      <c r="E494" s="158" t="s">
        <v>1089</v>
      </c>
    </row>
    <row r="495" spans="1:6" ht="15" x14ac:dyDescent="0.25">
      <c r="B495" s="171"/>
      <c r="C495" s="182" t="s">
        <v>1086</v>
      </c>
      <c r="D495">
        <v>98</v>
      </c>
      <c r="E495" s="158" t="s">
        <v>1090</v>
      </c>
    </row>
    <row r="496" spans="1:6" ht="15" x14ac:dyDescent="0.25">
      <c r="B496" s="171"/>
      <c r="C496" s="182" t="s">
        <v>1085</v>
      </c>
      <c r="D496">
        <v>99.5</v>
      </c>
    </row>
    <row r="497" spans="1:5" ht="15" x14ac:dyDescent="0.25">
      <c r="B497" s="171"/>
      <c r="C497" s="182"/>
      <c r="D497"/>
    </row>
    <row r="498" spans="1:5" ht="15" x14ac:dyDescent="0.25">
      <c r="B498" s="171"/>
      <c r="C498" s="182" t="s">
        <v>1092</v>
      </c>
      <c r="D498" s="1168">
        <f>+(D496-D492+F493)/(D492-(31-27)/31*F493)</f>
        <v>2.0064724919093852E-2</v>
      </c>
    </row>
    <row r="499" spans="1:5" ht="15" x14ac:dyDescent="0.25">
      <c r="B499" s="171"/>
      <c r="C499" s="182"/>
      <c r="D499"/>
    </row>
    <row r="500" spans="1:5" ht="15" x14ac:dyDescent="0.25">
      <c r="B500" s="171"/>
      <c r="C500" s="182" t="s">
        <v>1095</v>
      </c>
      <c r="D500" s="1168">
        <f>+D493/D492-1</f>
        <v>1.0000000000000009E-2</v>
      </c>
    </row>
    <row r="501" spans="1:5" ht="15" x14ac:dyDescent="0.25">
      <c r="B501" s="171"/>
      <c r="C501" s="182"/>
      <c r="D501"/>
    </row>
    <row r="502" spans="1:5" ht="15" x14ac:dyDescent="0.25">
      <c r="B502" s="171"/>
      <c r="C502" s="182" t="s">
        <v>1096</v>
      </c>
      <c r="D502" s="1262">
        <f>(D494+F493-D493)/D493</f>
        <v>4.9504950495049506E-3</v>
      </c>
    </row>
    <row r="503" spans="1:5" x14ac:dyDescent="0.2">
      <c r="B503" s="171"/>
      <c r="C503" s="182"/>
      <c r="D503" s="172"/>
    </row>
    <row r="504" spans="1:5" x14ac:dyDescent="0.2">
      <c r="B504" s="171"/>
      <c r="C504" s="182" t="s">
        <v>1097</v>
      </c>
      <c r="D504" s="172">
        <f>(D495-(D494+F493)+F493)/(D494+F493)</f>
        <v>-9.852216748768473E-3</v>
      </c>
    </row>
    <row r="505" spans="1:5" x14ac:dyDescent="0.2">
      <c r="B505" s="171"/>
      <c r="C505" s="182"/>
      <c r="D505" s="172"/>
    </row>
    <row r="506" spans="1:5" x14ac:dyDescent="0.2">
      <c r="B506" s="171"/>
      <c r="C506" s="182" t="s">
        <v>1098</v>
      </c>
      <c r="D506" s="172">
        <f>D496/D495-1</f>
        <v>1.5306122448979664E-2</v>
      </c>
    </row>
    <row r="507" spans="1:5" x14ac:dyDescent="0.2">
      <c r="B507" s="171"/>
      <c r="C507" s="182"/>
      <c r="D507" s="172"/>
    </row>
    <row r="508" spans="1:5" x14ac:dyDescent="0.2">
      <c r="B508" s="171"/>
      <c r="C508" s="182" t="s">
        <v>1099</v>
      </c>
      <c r="D508" s="172">
        <f>(1+D500)*(1+D502)*(1+D504)*(1+D506)-1</f>
        <v>2.0382653061224776E-2</v>
      </c>
    </row>
    <row r="509" spans="1:5" x14ac:dyDescent="0.2">
      <c r="B509" s="171"/>
      <c r="C509" s="182"/>
      <c r="D509" s="172"/>
    </row>
    <row r="510" spans="1:5" ht="20.25" x14ac:dyDescent="0.3">
      <c r="A510" s="164" t="s">
        <v>324</v>
      </c>
      <c r="B510" s="171"/>
      <c r="C510" s="182"/>
      <c r="D510" s="172"/>
      <c r="E510" s="164" t="s">
        <v>0</v>
      </c>
    </row>
    <row r="511" spans="1:5" x14ac:dyDescent="0.2">
      <c r="A511" s="158" t="s">
        <v>325</v>
      </c>
      <c r="B511" s="171"/>
      <c r="C511" s="182"/>
      <c r="D511" s="172"/>
      <c r="E511" s="158" t="s">
        <v>0</v>
      </c>
    </row>
    <row r="512" spans="1:5" ht="13.5" thickBot="1" x14ac:dyDescent="0.25">
      <c r="B512" s="171"/>
      <c r="C512" s="182"/>
      <c r="D512" s="172"/>
    </row>
    <row r="513" spans="1:14" x14ac:dyDescent="0.2">
      <c r="B513" s="171"/>
      <c r="C513" s="182"/>
      <c r="D513" s="172"/>
      <c r="H513" s="165"/>
      <c r="I513" s="165" t="s">
        <v>326</v>
      </c>
      <c r="J513" s="176" t="s">
        <v>327</v>
      </c>
      <c r="K513" s="176"/>
      <c r="L513" s="176" t="s">
        <v>326</v>
      </c>
      <c r="M513" s="166" t="s">
        <v>327</v>
      </c>
      <c r="N513" s="194" t="s">
        <v>16</v>
      </c>
    </row>
    <row r="514" spans="1:14" x14ac:dyDescent="0.2">
      <c r="B514" s="171"/>
      <c r="C514" s="182"/>
      <c r="D514" s="172"/>
      <c r="H514" s="167" t="s">
        <v>101</v>
      </c>
      <c r="I514" s="167" t="s">
        <v>328</v>
      </c>
      <c r="J514" s="191" t="s">
        <v>329</v>
      </c>
      <c r="K514" s="191"/>
      <c r="L514" s="191" t="s">
        <v>3</v>
      </c>
      <c r="M514" s="168" t="s">
        <v>329</v>
      </c>
      <c r="N514" s="195" t="s">
        <v>3</v>
      </c>
    </row>
    <row r="515" spans="1:14" ht="13.5" thickBot="1" x14ac:dyDescent="0.25">
      <c r="B515" s="171"/>
      <c r="C515" s="182"/>
      <c r="D515" s="172"/>
      <c r="H515" s="167"/>
      <c r="I515" s="167"/>
      <c r="J515" s="191" t="s">
        <v>328</v>
      </c>
      <c r="K515" s="191"/>
      <c r="L515" s="191"/>
      <c r="M515" s="168" t="s">
        <v>328</v>
      </c>
      <c r="N515" s="195"/>
    </row>
    <row r="516" spans="1:14" x14ac:dyDescent="0.2">
      <c r="B516" s="171"/>
      <c r="C516" s="182"/>
      <c r="D516" s="172"/>
      <c r="H516" s="165" t="s">
        <v>330</v>
      </c>
      <c r="I516" s="196">
        <v>0.2</v>
      </c>
      <c r="J516" s="197">
        <v>0.8</v>
      </c>
      <c r="K516" s="176"/>
      <c r="L516" s="176">
        <v>10.4</v>
      </c>
      <c r="M516" s="166">
        <v>2.2999999999999998</v>
      </c>
      <c r="N516" s="1265">
        <f>+I516*L516+J516*M516</f>
        <v>3.92</v>
      </c>
    </row>
    <row r="517" spans="1:14" x14ac:dyDescent="0.2">
      <c r="B517" s="171"/>
      <c r="C517" s="182"/>
      <c r="D517" s="172"/>
      <c r="H517" s="167" t="s">
        <v>331</v>
      </c>
      <c r="I517" s="198">
        <v>0.6</v>
      </c>
      <c r="J517" s="199">
        <v>0.4</v>
      </c>
      <c r="K517" s="191"/>
      <c r="L517" s="191">
        <v>3.5</v>
      </c>
      <c r="M517" s="168">
        <v>1.3</v>
      </c>
      <c r="N517" s="1266">
        <f>+I517*L517+J517*M517</f>
        <v>2.62</v>
      </c>
    </row>
    <row r="518" spans="1:14" x14ac:dyDescent="0.2">
      <c r="B518" s="171"/>
      <c r="C518" s="182"/>
      <c r="D518" s="172"/>
      <c r="H518" s="167" t="s">
        <v>332</v>
      </c>
      <c r="I518" s="198">
        <v>0.9</v>
      </c>
      <c r="J518" s="199">
        <v>0.1</v>
      </c>
      <c r="K518" s="191"/>
      <c r="L518" s="191">
        <v>-15.7</v>
      </c>
      <c r="M518" s="168">
        <v>1.4</v>
      </c>
      <c r="N518" s="1266">
        <f>+I518*L518+J518*M518</f>
        <v>-13.989999999999998</v>
      </c>
    </row>
    <row r="519" spans="1:14" ht="13.5" thickBot="1" x14ac:dyDescent="0.25">
      <c r="B519" s="171"/>
      <c r="C519" s="182"/>
      <c r="D519" s="172"/>
      <c r="H519" s="169" t="s">
        <v>333</v>
      </c>
      <c r="I519" s="200">
        <v>0.3</v>
      </c>
      <c r="J519" s="201">
        <v>0.7</v>
      </c>
      <c r="K519" s="179"/>
      <c r="L519" s="179">
        <v>12.7</v>
      </c>
      <c r="M519" s="170">
        <v>8.6999999999999993</v>
      </c>
      <c r="N519" s="1264">
        <f>+I519*L519+J519*M519</f>
        <v>9.8999999999999986</v>
      </c>
    </row>
    <row r="520" spans="1:14" x14ac:dyDescent="0.2">
      <c r="B520" s="171"/>
      <c r="C520" s="182"/>
      <c r="D520" s="172"/>
      <c r="H520" s="167"/>
      <c r="I520" s="167"/>
      <c r="J520" s="191"/>
      <c r="K520" s="191"/>
      <c r="L520" s="191"/>
      <c r="M520" s="168"/>
      <c r="N520" s="195"/>
    </row>
    <row r="521" spans="1:14" ht="13.5" thickBot="1" x14ac:dyDescent="0.25">
      <c r="B521" s="171"/>
      <c r="C521" s="182"/>
      <c r="D521" s="172"/>
      <c r="H521" s="203" t="s">
        <v>334</v>
      </c>
      <c r="I521" s="204">
        <f>SUM(I516:I520)/4</f>
        <v>0.5</v>
      </c>
      <c r="J521" s="205">
        <f>SUM(J516:J520)/4</f>
        <v>0.5</v>
      </c>
      <c r="K521" s="206"/>
      <c r="L521" s="1263">
        <f>((1+L516/100)*(1+L517/100)*(1+L518/100)*(1+L519/100)-1)*100</f>
        <v>8.5577701040000065</v>
      </c>
      <c r="M521" s="1264">
        <f>((1+M516/100)*(1+M517/100)*(1+M518/100)*(1+M519/100)-1)*100</f>
        <v>14.222741118199988</v>
      </c>
      <c r="N521" s="1264">
        <f>((1+N516/100)*(1+N517/100)*(1+N518/100)*(1+N519/100)-1)*100</f>
        <v>0.80400529172959256</v>
      </c>
    </row>
    <row r="522" spans="1:14" x14ac:dyDescent="0.2">
      <c r="B522" s="171"/>
      <c r="C522" s="182"/>
      <c r="D522" s="172"/>
    </row>
    <row r="523" spans="1:14" x14ac:dyDescent="0.2">
      <c r="B523" s="171"/>
      <c r="C523" s="182"/>
      <c r="D523" s="172"/>
    </row>
    <row r="524" spans="1:14" ht="20.25" x14ac:dyDescent="0.3">
      <c r="A524" s="164" t="s">
        <v>335</v>
      </c>
      <c r="B524" s="171"/>
      <c r="C524" s="182"/>
      <c r="D524" s="172"/>
    </row>
    <row r="525" spans="1:14" ht="13.5" thickBot="1" x14ac:dyDescent="0.25">
      <c r="A525" s="158" t="s">
        <v>1103</v>
      </c>
      <c r="B525" s="171"/>
      <c r="C525" s="182"/>
      <c r="D525" s="172"/>
    </row>
    <row r="526" spans="1:14" x14ac:dyDescent="0.2">
      <c r="B526" s="171"/>
      <c r="C526" s="182"/>
      <c r="D526" s="172"/>
      <c r="E526" s="207" t="s">
        <v>336</v>
      </c>
      <c r="F526" s="208" t="s">
        <v>337</v>
      </c>
      <c r="G526" s="208" t="s">
        <v>338</v>
      </c>
      <c r="H526" s="207" t="s">
        <v>339</v>
      </c>
    </row>
    <row r="527" spans="1:14" ht="13.5" thickBot="1" x14ac:dyDescent="0.25">
      <c r="B527" s="171"/>
      <c r="C527" s="182"/>
      <c r="D527" s="172"/>
      <c r="E527" s="209"/>
      <c r="F527" s="210"/>
      <c r="G527" s="210"/>
      <c r="H527" s="209"/>
    </row>
    <row r="528" spans="1:14" x14ac:dyDescent="0.2">
      <c r="B528" s="171"/>
      <c r="C528" s="182"/>
      <c r="D528" s="172"/>
      <c r="E528" s="211" t="s">
        <v>340</v>
      </c>
      <c r="F528" s="212">
        <v>0.25</v>
      </c>
      <c r="G528" s="213">
        <v>9.18</v>
      </c>
      <c r="H528" s="214">
        <f>+F528*G528</f>
        <v>2.2949999999999999</v>
      </c>
    </row>
    <row r="529" spans="1:8" x14ac:dyDescent="0.2">
      <c r="B529" s="171"/>
      <c r="C529" s="182"/>
      <c r="D529" s="172"/>
      <c r="E529" s="211" t="s">
        <v>341</v>
      </c>
      <c r="F529" s="212">
        <v>0.25</v>
      </c>
      <c r="G529" s="213">
        <v>2.23</v>
      </c>
      <c r="H529" s="214">
        <f>+F529*G529</f>
        <v>0.5575</v>
      </c>
    </row>
    <row r="530" spans="1:8" x14ac:dyDescent="0.2">
      <c r="B530" s="171"/>
      <c r="C530" s="182"/>
      <c r="D530" s="172"/>
      <c r="E530" s="211" t="s">
        <v>342</v>
      </c>
      <c r="F530" s="212">
        <v>0.25</v>
      </c>
      <c r="G530" s="213">
        <v>-3.24</v>
      </c>
      <c r="H530" s="214">
        <f>+F530*G530</f>
        <v>-0.81</v>
      </c>
    </row>
    <row r="531" spans="1:8" ht="13.5" thickBot="1" x14ac:dyDescent="0.25">
      <c r="B531" s="171"/>
      <c r="C531" s="182"/>
      <c r="D531" s="172"/>
      <c r="E531" s="211" t="s">
        <v>343</v>
      </c>
      <c r="F531" s="212">
        <v>0.25</v>
      </c>
      <c r="G531" s="213">
        <v>4.47</v>
      </c>
      <c r="H531" s="214">
        <f>+F531*G531</f>
        <v>1.1174999999999999</v>
      </c>
    </row>
    <row r="532" spans="1:8" x14ac:dyDescent="0.2">
      <c r="B532" s="171"/>
      <c r="C532" s="182"/>
      <c r="D532" s="172"/>
      <c r="E532" s="207"/>
      <c r="F532" s="208"/>
      <c r="G532" s="208"/>
      <c r="H532" s="207"/>
    </row>
    <row r="533" spans="1:8" ht="13.5" thickBot="1" x14ac:dyDescent="0.25">
      <c r="B533" s="171"/>
      <c r="C533" s="182"/>
      <c r="D533" s="172"/>
      <c r="E533" s="209"/>
      <c r="F533" s="210"/>
      <c r="G533" s="210"/>
      <c r="H533" s="215">
        <f>SUM(H528:H532)</f>
        <v>3.16</v>
      </c>
    </row>
    <row r="534" spans="1:8" x14ac:dyDescent="0.2">
      <c r="B534" s="171"/>
      <c r="C534" s="182"/>
      <c r="D534" s="172"/>
    </row>
    <row r="535" spans="1:8" ht="20.25" x14ac:dyDescent="0.3">
      <c r="A535" s="164" t="s">
        <v>344</v>
      </c>
      <c r="B535" s="171"/>
      <c r="C535" s="182"/>
      <c r="D535" s="172"/>
    </row>
    <row r="536" spans="1:8" ht="13.5" thickBot="1" x14ac:dyDescent="0.25">
      <c r="A536" s="158" t="s">
        <v>1123</v>
      </c>
      <c r="B536" s="171"/>
      <c r="C536" s="182"/>
      <c r="D536" s="172"/>
    </row>
    <row r="537" spans="1:8" x14ac:dyDescent="0.2">
      <c r="B537" s="171"/>
      <c r="C537" s="182"/>
      <c r="D537" s="172"/>
      <c r="E537" s="207" t="s">
        <v>345</v>
      </c>
      <c r="F537" s="208" t="s">
        <v>337</v>
      </c>
      <c r="G537" s="208" t="s">
        <v>338</v>
      </c>
      <c r="H537" s="207" t="s">
        <v>339</v>
      </c>
    </row>
    <row r="538" spans="1:8" ht="13.5" thickBot="1" x14ac:dyDescent="0.25">
      <c r="B538" s="171"/>
      <c r="C538" s="182"/>
      <c r="D538" s="172"/>
      <c r="E538" s="209"/>
      <c r="F538" s="210"/>
      <c r="G538" s="210"/>
      <c r="H538" s="209"/>
    </row>
    <row r="539" spans="1:8" x14ac:dyDescent="0.2">
      <c r="B539" s="171"/>
      <c r="C539" s="182"/>
      <c r="D539" s="172"/>
      <c r="E539" s="211" t="s">
        <v>340</v>
      </c>
      <c r="F539" s="212">
        <v>0.25</v>
      </c>
      <c r="G539" s="213">
        <v>-1.3</v>
      </c>
      <c r="H539" s="214">
        <f>+F539*G539</f>
        <v>-0.32500000000000001</v>
      </c>
    </row>
    <row r="540" spans="1:8" x14ac:dyDescent="0.2">
      <c r="B540" s="171"/>
      <c r="C540" s="182"/>
      <c r="D540" s="172"/>
      <c r="E540" s="211" t="s">
        <v>341</v>
      </c>
      <c r="F540" s="212">
        <v>0.25</v>
      </c>
      <c r="G540" s="213">
        <v>-0.8</v>
      </c>
      <c r="H540" s="214">
        <f>+F540*G540</f>
        <v>-0.2</v>
      </c>
    </row>
    <row r="541" spans="1:8" x14ac:dyDescent="0.2">
      <c r="B541" s="171"/>
      <c r="C541" s="182"/>
      <c r="D541" s="172"/>
      <c r="E541" s="211" t="s">
        <v>342</v>
      </c>
      <c r="F541" s="212">
        <v>0.25</v>
      </c>
      <c r="G541" s="213">
        <v>-2</v>
      </c>
      <c r="H541" s="214">
        <f>+F541*G541</f>
        <v>-0.5</v>
      </c>
    </row>
    <row r="542" spans="1:8" ht="13.5" thickBot="1" x14ac:dyDescent="0.25">
      <c r="B542" s="171"/>
      <c r="C542" s="182"/>
      <c r="D542" s="172"/>
      <c r="E542" s="211" t="s">
        <v>343</v>
      </c>
      <c r="F542" s="212">
        <v>0.25</v>
      </c>
      <c r="G542" s="213">
        <v>1.7</v>
      </c>
      <c r="H542" s="214">
        <f>+F542*G542</f>
        <v>0.42499999999999999</v>
      </c>
    </row>
    <row r="543" spans="1:8" x14ac:dyDescent="0.2">
      <c r="B543" s="171"/>
      <c r="C543" s="182"/>
      <c r="D543" s="172"/>
      <c r="E543" s="207"/>
      <c r="F543" s="208"/>
      <c r="G543" s="208"/>
      <c r="H543" s="207"/>
    </row>
    <row r="544" spans="1:8" ht="13.5" thickBot="1" x14ac:dyDescent="0.25">
      <c r="B544" s="171"/>
      <c r="C544" s="182"/>
      <c r="D544" s="172"/>
      <c r="E544" s="209"/>
      <c r="F544" s="210"/>
      <c r="G544" s="210"/>
      <c r="H544" s="215">
        <f>SUM(H539:H543)</f>
        <v>-0.59999999999999987</v>
      </c>
    </row>
    <row r="545" spans="1:8" x14ac:dyDescent="0.2">
      <c r="B545" s="171"/>
      <c r="C545" s="182"/>
      <c r="D545" s="172"/>
    </row>
    <row r="546" spans="1:8" ht="20.25" x14ac:dyDescent="0.3">
      <c r="A546" s="164" t="s">
        <v>346</v>
      </c>
      <c r="B546" s="171"/>
      <c r="C546" s="182"/>
      <c r="D546" s="172"/>
    </row>
    <row r="547" spans="1:8" ht="13.5" thickBot="1" x14ac:dyDescent="0.25">
      <c r="A547" s="158" t="s">
        <v>1124</v>
      </c>
      <c r="B547" s="171"/>
      <c r="C547" s="182"/>
      <c r="D547" s="172"/>
    </row>
    <row r="548" spans="1:8" x14ac:dyDescent="0.2">
      <c r="B548" s="171"/>
      <c r="C548" s="182"/>
      <c r="D548" s="172"/>
      <c r="E548" s="207" t="s">
        <v>347</v>
      </c>
      <c r="F548" s="208" t="s">
        <v>337</v>
      </c>
      <c r="G548" s="208" t="s">
        <v>338</v>
      </c>
      <c r="H548" s="207" t="s">
        <v>339</v>
      </c>
    </row>
    <row r="549" spans="1:8" ht="13.5" thickBot="1" x14ac:dyDescent="0.25">
      <c r="B549" s="171"/>
      <c r="C549" s="182"/>
      <c r="D549" s="172"/>
      <c r="E549" s="209"/>
      <c r="F549" s="210"/>
      <c r="G549" s="210"/>
      <c r="H549" s="209"/>
    </row>
    <row r="550" spans="1:8" x14ac:dyDescent="0.2">
      <c r="B550" s="171"/>
      <c r="C550" s="182"/>
      <c r="D550" s="172"/>
      <c r="E550" s="211" t="s">
        <v>340</v>
      </c>
      <c r="F550" s="216">
        <f>+F539*(1+G539/100)/(1+H$544/100)</f>
        <v>0.24823943661971831</v>
      </c>
      <c r="G550" s="213">
        <v>1.9</v>
      </c>
      <c r="H550" s="214">
        <f>+F550*G550</f>
        <v>0.4716549295774648</v>
      </c>
    </row>
    <row r="551" spans="1:8" x14ac:dyDescent="0.2">
      <c r="B551" s="171"/>
      <c r="C551" s="182"/>
      <c r="D551" s="172"/>
      <c r="E551" s="211" t="s">
        <v>341</v>
      </c>
      <c r="F551" s="216">
        <f>+F540*(1+G540/100)/(1+H$544/100)</f>
        <v>0.24949698189134809</v>
      </c>
      <c r="G551" s="213">
        <v>1.4</v>
      </c>
      <c r="H551" s="214">
        <f>+F551*G551</f>
        <v>0.3492957746478873</v>
      </c>
    </row>
    <row r="552" spans="1:8" x14ac:dyDescent="0.2">
      <c r="B552" s="171"/>
      <c r="C552" s="182"/>
      <c r="D552" s="172"/>
      <c r="E552" s="211" t="s">
        <v>342</v>
      </c>
      <c r="F552" s="216">
        <f>+F541*(1+G541/100)/(1+H$544/100)</f>
        <v>0.24647887323943662</v>
      </c>
      <c r="G552" s="213">
        <v>2.5</v>
      </c>
      <c r="H552" s="214">
        <f>+F552*G552</f>
        <v>0.61619718309859151</v>
      </c>
    </row>
    <row r="553" spans="1:8" ht="13.5" thickBot="1" x14ac:dyDescent="0.25">
      <c r="B553" s="171"/>
      <c r="C553" s="182"/>
      <c r="D553" s="172"/>
      <c r="E553" s="211" t="s">
        <v>343</v>
      </c>
      <c r="F553" s="216">
        <f>+F542*(1+G542/100)/(1+H$544/100)</f>
        <v>0.25578470824949695</v>
      </c>
      <c r="G553" s="213">
        <v>0.4</v>
      </c>
      <c r="H553" s="214">
        <f>+F553*G553</f>
        <v>0.10231388329979879</v>
      </c>
    </row>
    <row r="554" spans="1:8" x14ac:dyDescent="0.2">
      <c r="B554" s="171"/>
      <c r="C554" s="182"/>
      <c r="D554" s="172"/>
      <c r="E554" s="207"/>
      <c r="F554" s="208"/>
      <c r="G554" s="208"/>
      <c r="H554" s="207"/>
    </row>
    <row r="555" spans="1:8" ht="13.5" thickBot="1" x14ac:dyDescent="0.25">
      <c r="B555" s="171"/>
      <c r="C555" s="182"/>
      <c r="D555" s="172"/>
      <c r="E555" s="209"/>
      <c r="F555" s="210"/>
      <c r="G555" s="210"/>
      <c r="H555" s="215">
        <f>SUM(H550:H554)</f>
        <v>1.5394617706237423</v>
      </c>
    </row>
    <row r="556" spans="1:8" x14ac:dyDescent="0.2">
      <c r="B556" s="171"/>
      <c r="C556" s="182"/>
      <c r="D556" s="172"/>
    </row>
    <row r="557" spans="1:8" ht="20.25" x14ac:dyDescent="0.3">
      <c r="A557" s="164" t="s">
        <v>348</v>
      </c>
      <c r="B557" s="171"/>
      <c r="C557" s="182"/>
      <c r="D557" s="172"/>
    </row>
    <row r="558" spans="1:8" ht="13.5" thickBot="1" x14ac:dyDescent="0.25">
      <c r="A558" s="158" t="s">
        <v>1125</v>
      </c>
      <c r="B558" s="171"/>
      <c r="C558" s="182"/>
      <c r="D558" s="172"/>
    </row>
    <row r="559" spans="1:8" x14ac:dyDescent="0.2">
      <c r="B559" s="171"/>
      <c r="C559" s="182"/>
      <c r="D559" s="172"/>
      <c r="E559" s="207" t="s">
        <v>349</v>
      </c>
      <c r="F559" s="208" t="s">
        <v>337</v>
      </c>
      <c r="G559" s="208" t="s">
        <v>338</v>
      </c>
      <c r="H559" s="207" t="s">
        <v>339</v>
      </c>
    </row>
    <row r="560" spans="1:8" ht="13.5" thickBot="1" x14ac:dyDescent="0.25">
      <c r="B560" s="171"/>
      <c r="C560" s="182"/>
      <c r="D560" s="172"/>
      <c r="E560" s="209"/>
      <c r="F560" s="210"/>
      <c r="G560" s="210"/>
      <c r="H560" s="209"/>
    </row>
    <row r="561" spans="1:8" x14ac:dyDescent="0.2">
      <c r="B561" s="171"/>
      <c r="C561" s="182"/>
      <c r="D561" s="172"/>
      <c r="E561" s="211" t="s">
        <v>340</v>
      </c>
      <c r="F561" s="216">
        <f>+F550*(1+G550/100)/(1+H$555/100)</f>
        <v>0.24912086542955789</v>
      </c>
      <c r="G561" s="213">
        <v>2.7</v>
      </c>
      <c r="H561" s="214">
        <f>+F561*G561</f>
        <v>0.67262633665980631</v>
      </c>
    </row>
    <row r="562" spans="1:8" x14ac:dyDescent="0.2">
      <c r="B562" s="171"/>
      <c r="C562" s="182"/>
      <c r="D562" s="172"/>
      <c r="E562" s="211" t="s">
        <v>341</v>
      </c>
      <c r="F562" s="216">
        <f>+F551*(1+G551/100)/(1+H$555/100)</f>
        <v>0.24915430437215413</v>
      </c>
      <c r="G562" s="213">
        <v>3.6</v>
      </c>
      <c r="H562" s="214">
        <f>+F562*G562</f>
        <v>0.89695549573975486</v>
      </c>
    </row>
    <row r="563" spans="1:8" x14ac:dyDescent="0.2">
      <c r="B563" s="171"/>
      <c r="C563" s="182"/>
      <c r="D563" s="172"/>
      <c r="E563" s="211" t="s">
        <v>342</v>
      </c>
      <c r="F563" s="216">
        <f>+F552*(1+G552/100)/(1+H$555/100)</f>
        <v>0.24881050250309061</v>
      </c>
      <c r="G563" s="213">
        <v>-1.2</v>
      </c>
      <c r="H563" s="214">
        <f>+F563*G563</f>
        <v>-0.29857260300370875</v>
      </c>
    </row>
    <row r="564" spans="1:8" ht="13.5" thickBot="1" x14ac:dyDescent="0.25">
      <c r="B564" s="171"/>
      <c r="C564" s="182"/>
      <c r="D564" s="172"/>
      <c r="E564" s="211" t="s">
        <v>343</v>
      </c>
      <c r="F564" s="216">
        <f>+F553*(1+G553/100)/(1+H$555/100)</f>
        <v>0.25291432769519734</v>
      </c>
      <c r="G564" s="213">
        <v>0.6</v>
      </c>
      <c r="H564" s="214">
        <f>+F564*G564</f>
        <v>0.1517485966171184</v>
      </c>
    </row>
    <row r="565" spans="1:8" x14ac:dyDescent="0.2">
      <c r="B565" s="171"/>
      <c r="C565" s="182"/>
      <c r="D565" s="172"/>
      <c r="E565" s="207"/>
      <c r="F565" s="208"/>
      <c r="G565" s="208"/>
      <c r="H565" s="207"/>
    </row>
    <row r="566" spans="1:8" ht="13.5" thickBot="1" x14ac:dyDescent="0.25">
      <c r="B566" s="171"/>
      <c r="C566" s="182"/>
      <c r="D566" s="172"/>
      <c r="E566" s="209"/>
      <c r="F566" s="210"/>
      <c r="G566" s="210"/>
      <c r="H566" s="215">
        <f>SUM(H561:H565)</f>
        <v>1.4227578260129707</v>
      </c>
    </row>
    <row r="567" spans="1:8" x14ac:dyDescent="0.2">
      <c r="B567" s="171"/>
      <c r="C567" s="182"/>
      <c r="D567" s="172"/>
    </row>
    <row r="568" spans="1:8" ht="20.25" x14ac:dyDescent="0.3">
      <c r="A568" s="164" t="s">
        <v>350</v>
      </c>
      <c r="B568" s="171"/>
      <c r="C568" s="182"/>
      <c r="D568" s="172"/>
    </row>
    <row r="569" spans="1:8" ht="13.5" thickBot="1" x14ac:dyDescent="0.25">
      <c r="A569" s="158" t="s">
        <v>1126</v>
      </c>
      <c r="B569" s="171"/>
      <c r="C569" s="182"/>
      <c r="D569" s="172"/>
    </row>
    <row r="570" spans="1:8" x14ac:dyDescent="0.2">
      <c r="B570" s="171"/>
      <c r="C570" s="182"/>
      <c r="D570" s="172"/>
      <c r="E570" s="207" t="s">
        <v>351</v>
      </c>
      <c r="F570" s="208" t="s">
        <v>337</v>
      </c>
      <c r="G570" s="208" t="s">
        <v>338</v>
      </c>
      <c r="H570" s="207" t="s">
        <v>339</v>
      </c>
    </row>
    <row r="571" spans="1:8" ht="13.5" thickBot="1" x14ac:dyDescent="0.25">
      <c r="B571" s="171"/>
      <c r="C571" s="182"/>
      <c r="D571" s="172"/>
      <c r="E571" s="209"/>
      <c r="F571" s="210"/>
      <c r="G571" s="210"/>
      <c r="H571" s="209"/>
    </row>
    <row r="572" spans="1:8" x14ac:dyDescent="0.2">
      <c r="B572" s="171"/>
      <c r="C572" s="182"/>
      <c r="D572" s="172"/>
      <c r="E572" s="211" t="s">
        <v>340</v>
      </c>
      <c r="F572" s="216">
        <f>+F561*(1+G561/100)/(1+H$566/100)</f>
        <v>0.25225810683934696</v>
      </c>
      <c r="G572" s="213">
        <v>5.7</v>
      </c>
      <c r="H572" s="214">
        <f>+F572*G572</f>
        <v>1.4378712089842778</v>
      </c>
    </row>
    <row r="573" spans="1:8" x14ac:dyDescent="0.2">
      <c r="B573" s="171"/>
      <c r="C573" s="182"/>
      <c r="D573" s="172"/>
      <c r="E573" s="211" t="s">
        <v>341</v>
      </c>
      <c r="F573" s="216">
        <f>+F562*(1+G562/100)/(1+H$566/100)</f>
        <v>0.25450289941075521</v>
      </c>
      <c r="G573" s="213">
        <v>-1.9</v>
      </c>
      <c r="H573" s="214">
        <f>+F573*G573</f>
        <v>-0.48355550888043486</v>
      </c>
    </row>
    <row r="574" spans="1:8" x14ac:dyDescent="0.2">
      <c r="B574" s="171"/>
      <c r="C574" s="182"/>
      <c r="D574" s="172"/>
      <c r="E574" s="211" t="s">
        <v>342</v>
      </c>
      <c r="F574" s="216">
        <f>+F563*(1+G563/100)/(1+H$566/100)</f>
        <v>0.24237634801329</v>
      </c>
      <c r="G574" s="213">
        <v>-2.5</v>
      </c>
      <c r="H574" s="214">
        <f>+F574*G574</f>
        <v>-0.60594087003322494</v>
      </c>
    </row>
    <row r="575" spans="1:8" ht="13.5" thickBot="1" x14ac:dyDescent="0.25">
      <c r="B575" s="171"/>
      <c r="C575" s="182"/>
      <c r="D575" s="172"/>
      <c r="E575" s="211" t="s">
        <v>343</v>
      </c>
      <c r="F575" s="216">
        <f>+F564*(1+G564/100)/(1+H$566/100)</f>
        <v>0.25086264573660771</v>
      </c>
      <c r="G575" s="213">
        <v>1.7</v>
      </c>
      <c r="H575" s="214">
        <f>+F575*G575</f>
        <v>0.42646649775223311</v>
      </c>
    </row>
    <row r="576" spans="1:8" x14ac:dyDescent="0.2">
      <c r="B576" s="171"/>
      <c r="C576" s="182"/>
      <c r="D576" s="172"/>
      <c r="E576" s="207"/>
      <c r="F576" s="208"/>
      <c r="G576" s="208"/>
      <c r="H576" s="207"/>
    </row>
    <row r="577" spans="1:8" ht="13.5" thickBot="1" x14ac:dyDescent="0.25">
      <c r="B577" s="171"/>
      <c r="C577" s="182"/>
      <c r="D577" s="172"/>
      <c r="E577" s="209"/>
      <c r="F577" s="210"/>
      <c r="G577" s="210"/>
      <c r="H577" s="215">
        <f>SUM(H572:H576)</f>
        <v>0.77484132782285109</v>
      </c>
    </row>
    <row r="578" spans="1:8" x14ac:dyDescent="0.2">
      <c r="B578" s="171"/>
      <c r="C578" s="182"/>
      <c r="D578" s="172"/>
    </row>
    <row r="579" spans="1:8" ht="20.25" x14ac:dyDescent="0.3">
      <c r="A579" s="164" t="s">
        <v>352</v>
      </c>
      <c r="B579" s="171"/>
      <c r="C579" s="182"/>
      <c r="D579" s="172"/>
    </row>
    <row r="580" spans="1:8" ht="13.5" thickBot="1" x14ac:dyDescent="0.25">
      <c r="A580" s="158" t="s">
        <v>1122</v>
      </c>
      <c r="B580" s="171"/>
      <c r="C580" s="182"/>
      <c r="D580" s="172"/>
    </row>
    <row r="581" spans="1:8" x14ac:dyDescent="0.2">
      <c r="B581" s="171"/>
      <c r="C581" s="182"/>
      <c r="D581" s="172"/>
      <c r="E581" s="207" t="s">
        <v>353</v>
      </c>
      <c r="F581" s="208"/>
      <c r="G581" s="208"/>
      <c r="H581" s="207" t="s">
        <v>155</v>
      </c>
    </row>
    <row r="582" spans="1:8" ht="13.5" thickBot="1" x14ac:dyDescent="0.25">
      <c r="B582" s="171"/>
      <c r="C582" s="182"/>
      <c r="D582" s="172"/>
      <c r="E582" s="209"/>
      <c r="F582" s="210"/>
      <c r="G582" s="210"/>
      <c r="H582" s="209" t="s">
        <v>339</v>
      </c>
    </row>
    <row r="583" spans="1:8" x14ac:dyDescent="0.2">
      <c r="B583" s="171"/>
      <c r="C583" s="182"/>
      <c r="D583" s="172"/>
      <c r="E583" s="211" t="s">
        <v>340</v>
      </c>
      <c r="F583" s="213"/>
      <c r="G583" s="213"/>
      <c r="H583" s="214">
        <f>+H572+H561*(1+H$577/100)+H550*(1+H$577/100)*(1+H$566/100)+H539*(1+H$577/100)*(1+H$566/100)*(1+H$555/100)</f>
        <v>2.2604895632453563</v>
      </c>
    </row>
    <row r="584" spans="1:8" x14ac:dyDescent="0.2">
      <c r="B584" s="171"/>
      <c r="C584" s="182"/>
      <c r="D584" s="172"/>
      <c r="E584" s="211" t="s">
        <v>341</v>
      </c>
      <c r="F584" s="213"/>
      <c r="G584" s="213"/>
      <c r="H584" s="214">
        <f>+H573+H562*(1+H$577/100)+H551*(1+H$577/100)*(1+H$566/100)+H540*(1+H$577/100)*(1+H$566/100)*(1+H$555/100)</f>
        <v>0.56979619923655256</v>
      </c>
    </row>
    <row r="585" spans="1:8" x14ac:dyDescent="0.2">
      <c r="B585" s="171"/>
      <c r="C585" s="182"/>
      <c r="D585" s="172"/>
      <c r="E585" s="211" t="s">
        <v>342</v>
      </c>
      <c r="F585" s="213"/>
      <c r="G585" s="213"/>
      <c r="H585" s="214">
        <f>+H574+H563*(1+H$577/100)+H552*(1+H$577/100)*(1+H$566/100)+H541*(1+H$577/100)*(1+H$566/100)*(1+H$555/100)</f>
        <v>-0.79593070924316256</v>
      </c>
    </row>
    <row r="586" spans="1:8" ht="13.5" thickBot="1" x14ac:dyDescent="0.25">
      <c r="B586" s="171"/>
      <c r="C586" s="182"/>
      <c r="D586" s="172"/>
      <c r="E586" s="211" t="s">
        <v>343</v>
      </c>
      <c r="F586" s="213"/>
      <c r="G586" s="213"/>
      <c r="H586" s="214">
        <f>+H575+H564*(1+H$577/100)+H553*(1+H$577/100)*(1+H$566/100)+H542*(1+H$577/100)*(1+H$566/100)*(1+H$555/100)</f>
        <v>1.1250383820362539</v>
      </c>
    </row>
    <row r="587" spans="1:8" x14ac:dyDescent="0.2">
      <c r="B587" s="171"/>
      <c r="C587" s="182"/>
      <c r="D587" s="172"/>
      <c r="E587" s="207"/>
      <c r="F587" s="208"/>
      <c r="G587" s="208"/>
      <c r="H587" s="207"/>
    </row>
    <row r="588" spans="1:8" ht="13.5" thickBot="1" x14ac:dyDescent="0.25">
      <c r="B588" s="171"/>
      <c r="C588" s="182"/>
      <c r="D588" s="172"/>
      <c r="E588" s="209"/>
      <c r="F588" s="210"/>
      <c r="G588" s="210"/>
      <c r="H588" s="215">
        <f>SUM(H583:H587)</f>
        <v>3.1593934352749997</v>
      </c>
    </row>
    <row r="589" spans="1:8" x14ac:dyDescent="0.2">
      <c r="B589" s="171"/>
      <c r="C589" s="182"/>
      <c r="D589" s="172"/>
    </row>
    <row r="590" spans="1:8" ht="13.5" thickBot="1" x14ac:dyDescent="0.25">
      <c r="B590" s="171"/>
      <c r="C590" s="182"/>
      <c r="D590" s="172"/>
    </row>
    <row r="591" spans="1:8" ht="20.25" x14ac:dyDescent="0.3">
      <c r="A591" s="164" t="s">
        <v>1067</v>
      </c>
      <c r="B591" s="171"/>
      <c r="C591" s="1248" t="s">
        <v>1127</v>
      </c>
      <c r="D591" s="1238" t="s">
        <v>340</v>
      </c>
      <c r="E591" s="1239" t="s">
        <v>341</v>
      </c>
      <c r="F591" s="1239" t="s">
        <v>342</v>
      </c>
      <c r="G591" s="1239" t="s">
        <v>343</v>
      </c>
      <c r="H591" s="1248" t="s">
        <v>16</v>
      </c>
    </row>
    <row r="592" spans="1:8" ht="13.5" thickBot="1" x14ac:dyDescent="0.25">
      <c r="A592" s="158" t="s">
        <v>1130</v>
      </c>
      <c r="B592" s="171"/>
      <c r="C592" s="1290"/>
      <c r="D592" s="1217"/>
      <c r="E592" s="210"/>
      <c r="F592" s="210"/>
      <c r="G592" s="210"/>
      <c r="H592" s="209"/>
    </row>
    <row r="593" spans="1:20" x14ac:dyDescent="0.2">
      <c r="B593" s="171"/>
      <c r="C593" s="1291" t="s">
        <v>1128</v>
      </c>
      <c r="D593" s="526">
        <f>+H539+H550+H561+H572</f>
        <v>2.2571524752215488</v>
      </c>
      <c r="E593" s="526">
        <f>+H540+H551+H562+H573</f>
        <v>0.56269576150720724</v>
      </c>
      <c r="F593" s="526">
        <f>+H541+H552+H563+H574</f>
        <v>-0.78831628993834224</v>
      </c>
      <c r="G593" s="526">
        <f>+H542+H553+H564+H575</f>
        <v>1.1055289776691501</v>
      </c>
      <c r="H593" s="214">
        <f>SUM(D593:G593)</f>
        <v>3.137060924459564</v>
      </c>
    </row>
    <row r="594" spans="1:20" x14ac:dyDescent="0.2">
      <c r="B594" s="171"/>
      <c r="C594" s="1291" t="s">
        <v>1129</v>
      </c>
      <c r="D594" s="526">
        <f>+H528</f>
        <v>2.2949999999999999</v>
      </c>
      <c r="E594" s="526">
        <f>+H529</f>
        <v>0.5575</v>
      </c>
      <c r="F594" s="526">
        <f>+H530</f>
        <v>-0.81</v>
      </c>
      <c r="G594" s="526">
        <f>+H531</f>
        <v>1.1174999999999999</v>
      </c>
      <c r="H594" s="214">
        <f>SUM(D594:G594)</f>
        <v>3.16</v>
      </c>
    </row>
    <row r="595" spans="1:20" ht="13.5" thickBot="1" x14ac:dyDescent="0.25">
      <c r="B595" s="171"/>
      <c r="C595" s="1290" t="s">
        <v>155</v>
      </c>
      <c r="D595" s="1230">
        <f>+H583</f>
        <v>2.2604895632453563</v>
      </c>
      <c r="E595" s="1230">
        <f>+H584</f>
        <v>0.56979619923655256</v>
      </c>
      <c r="F595" s="1230">
        <f>+H585</f>
        <v>-0.79593070924316256</v>
      </c>
      <c r="G595" s="1230">
        <f>+H586</f>
        <v>1.1250383820362539</v>
      </c>
      <c r="H595" s="1289">
        <f>SUM(D595:G595)</f>
        <v>3.1593934352749997</v>
      </c>
    </row>
    <row r="596" spans="1:20" x14ac:dyDescent="0.2">
      <c r="B596" s="171"/>
      <c r="C596" s="182"/>
      <c r="D596" s="172"/>
    </row>
    <row r="597" spans="1:20" x14ac:dyDescent="0.2">
      <c r="B597" s="171"/>
      <c r="C597" s="182"/>
      <c r="D597" s="172"/>
    </row>
    <row r="598" spans="1:20" ht="21" thickBot="1" x14ac:dyDescent="0.35">
      <c r="A598" s="164" t="s">
        <v>1104</v>
      </c>
      <c r="B598" s="171"/>
      <c r="C598" s="182"/>
      <c r="D598" s="172"/>
    </row>
    <row r="599" spans="1:20" x14ac:dyDescent="0.2">
      <c r="A599" s="158" t="s">
        <v>1120</v>
      </c>
      <c r="B599" s="171"/>
      <c r="C599" s="1213" t="s">
        <v>1</v>
      </c>
      <c r="D599" s="1280" t="s">
        <v>713</v>
      </c>
      <c r="E599" s="1281"/>
      <c r="F599" s="1281"/>
      <c r="G599" s="1281"/>
      <c r="H599" s="1281"/>
      <c r="I599" s="1238" t="s">
        <v>713</v>
      </c>
      <c r="J599" s="1240" t="s">
        <v>3</v>
      </c>
      <c r="M599" s="158" t="s">
        <v>782</v>
      </c>
      <c r="N599" s="158" t="s">
        <v>713</v>
      </c>
      <c r="O599" s="158" t="s">
        <v>1116</v>
      </c>
      <c r="Q599" s="158" t="s">
        <v>782</v>
      </c>
      <c r="R599" s="158" t="s">
        <v>782</v>
      </c>
    </row>
    <row r="600" spans="1:20" x14ac:dyDescent="0.2">
      <c r="B600" s="171"/>
      <c r="C600" s="1272"/>
      <c r="D600" s="1282" t="s">
        <v>120</v>
      </c>
      <c r="E600" s="1283"/>
      <c r="F600" s="1283"/>
      <c r="G600" s="1283"/>
      <c r="H600" s="1283"/>
      <c r="I600" s="1284" t="s">
        <v>120</v>
      </c>
      <c r="J600" s="1285"/>
      <c r="M600" s="158" t="s">
        <v>713</v>
      </c>
      <c r="N600" s="158" t="s">
        <v>961</v>
      </c>
      <c r="O600" s="158" t="s">
        <v>1115</v>
      </c>
      <c r="Q600" s="158" t="s">
        <v>713</v>
      </c>
      <c r="R600" s="158" t="s">
        <v>961</v>
      </c>
    </row>
    <row r="601" spans="1:20" ht="13.5" thickBot="1" x14ac:dyDescent="0.25">
      <c r="B601" s="171"/>
      <c r="C601" s="1216"/>
      <c r="D601" s="1286" t="s">
        <v>1084</v>
      </c>
      <c r="E601" s="1287"/>
      <c r="F601" s="1287" t="s">
        <v>1110</v>
      </c>
      <c r="G601" s="1287" t="s">
        <v>1111</v>
      </c>
      <c r="H601" s="1287" t="s">
        <v>1112</v>
      </c>
      <c r="I601" s="1242" t="s">
        <v>1113</v>
      </c>
      <c r="J601" s="1288"/>
      <c r="M601" s="158" t="s">
        <v>1114</v>
      </c>
      <c r="N601" s="158" t="s">
        <v>1115</v>
      </c>
      <c r="O601" s="158" t="s">
        <v>1114</v>
      </c>
      <c r="Q601" s="158" t="s">
        <v>120</v>
      </c>
      <c r="R601" s="158" t="s">
        <v>1115</v>
      </c>
    </row>
    <row r="602" spans="1:20" x14ac:dyDescent="0.2">
      <c r="B602" s="171"/>
      <c r="C602" s="1272"/>
      <c r="D602" s="1277"/>
      <c r="E602" s="213"/>
      <c r="F602" s="213"/>
      <c r="G602" s="213"/>
      <c r="H602" s="213"/>
      <c r="I602" s="213"/>
      <c r="J602" s="521"/>
    </row>
    <row r="603" spans="1:20" ht="15" x14ac:dyDescent="0.25">
      <c r="C603" s="1272" t="s">
        <v>1105</v>
      </c>
      <c r="D603" s="1278">
        <v>15.7</v>
      </c>
      <c r="E603" s="1273" t="s">
        <v>0</v>
      </c>
      <c r="F603" s="1015"/>
      <c r="G603" s="1015"/>
      <c r="H603" s="1015"/>
      <c r="I603" s="1015">
        <v>17.100000000000001</v>
      </c>
      <c r="J603" s="1274">
        <v>8.92</v>
      </c>
      <c r="K603" s="1267" t="s">
        <v>0</v>
      </c>
      <c r="L603"/>
      <c r="M603" s="1168">
        <f>+D603/D$614</f>
        <v>4.4934172867773327E-2</v>
      </c>
      <c r="N603">
        <f>+D603</f>
        <v>15.7</v>
      </c>
      <c r="O603" s="1168">
        <f>+N603/N$614</f>
        <v>4.1757826911362206E-2</v>
      </c>
      <c r="P603" s="1168"/>
      <c r="Q603" s="433">
        <f>+M603*J603</f>
        <v>0.40081282198053808</v>
      </c>
      <c r="R603" s="433">
        <f>+O603*J603</f>
        <v>0.37247981604935088</v>
      </c>
      <c r="S603"/>
      <c r="T603" s="1267" t="s">
        <v>0</v>
      </c>
    </row>
    <row r="604" spans="1:20" ht="15" x14ac:dyDescent="0.25">
      <c r="C604" s="1272"/>
      <c r="D604" s="1278"/>
      <c r="E604" s="1015"/>
      <c r="F604" s="1015"/>
      <c r="G604" s="1015"/>
      <c r="H604" s="1015"/>
      <c r="I604" s="1015"/>
      <c r="J604" s="1274"/>
      <c r="K604" t="s">
        <v>0</v>
      </c>
      <c r="L604"/>
      <c r="M604"/>
      <c r="N604"/>
      <c r="O604"/>
      <c r="P604"/>
      <c r="Q604"/>
      <c r="R604"/>
      <c r="S604"/>
      <c r="T604"/>
    </row>
    <row r="605" spans="1:20" ht="15" x14ac:dyDescent="0.25">
      <c r="C605" s="1272" t="s">
        <v>1106</v>
      </c>
      <c r="D605" s="1278">
        <v>29.8</v>
      </c>
      <c r="E605" s="1273" t="s">
        <v>0</v>
      </c>
      <c r="F605" s="1015"/>
      <c r="G605" s="1015"/>
      <c r="H605" s="1015"/>
      <c r="I605" s="1015">
        <v>32.299999999999997</v>
      </c>
      <c r="J605" s="1274">
        <v>8.39</v>
      </c>
      <c r="K605" s="1267" t="s">
        <v>0</v>
      </c>
      <c r="L605"/>
      <c r="M605" s="1168">
        <f>+D605/D$614</f>
        <v>8.5289066971951918E-2</v>
      </c>
      <c r="N605">
        <f>+D605</f>
        <v>29.8</v>
      </c>
      <c r="O605" s="1168">
        <f>+N605/N$614</f>
        <v>7.9260079105642922E-2</v>
      </c>
      <c r="P605" s="1168"/>
      <c r="Q605" s="433">
        <f>+M605*J605</f>
        <v>0.71557527189467662</v>
      </c>
      <c r="R605" s="433">
        <f>+O605*J605</f>
        <v>0.66499206369634412</v>
      </c>
      <c r="S605"/>
      <c r="T605" s="1267" t="s">
        <v>0</v>
      </c>
    </row>
    <row r="606" spans="1:20" ht="15" x14ac:dyDescent="0.25">
      <c r="C606" s="1272"/>
      <c r="D606" s="1278"/>
      <c r="E606" s="1015" t="s">
        <v>0</v>
      </c>
      <c r="F606" s="1015"/>
      <c r="G606" s="1015"/>
      <c r="H606" s="1015"/>
      <c r="I606" s="1015"/>
      <c r="J606" s="1274"/>
      <c r="K606" t="s">
        <v>99</v>
      </c>
      <c r="L606"/>
      <c r="M606"/>
      <c r="N606"/>
      <c r="O606"/>
      <c r="P606"/>
      <c r="Q606"/>
      <c r="R606"/>
      <c r="S606"/>
      <c r="T606"/>
    </row>
    <row r="607" spans="1:20" ht="15" x14ac:dyDescent="0.25">
      <c r="C607" s="1272" t="s">
        <v>1107</v>
      </c>
      <c r="D607" s="1278">
        <v>41.7</v>
      </c>
      <c r="E607" s="1273" t="s">
        <v>0</v>
      </c>
      <c r="F607" s="1015">
        <v>3.8</v>
      </c>
      <c r="G607" s="1015"/>
      <c r="H607" s="1015"/>
      <c r="I607" s="1015">
        <v>48.7</v>
      </c>
      <c r="J607" s="1274">
        <v>7.13</v>
      </c>
      <c r="K607" s="1267" t="s">
        <v>0</v>
      </c>
      <c r="L607"/>
      <c r="M607" s="1168">
        <f>+D607/D$614</f>
        <v>0.11934745277618776</v>
      </c>
      <c r="N607" s="1">
        <f>+D607+26/31*F607</f>
        <v>44.887096774193552</v>
      </c>
      <c r="O607" s="1168">
        <f>+N607/N$614</f>
        <v>0.11938774634715538</v>
      </c>
      <c r="P607" s="1168"/>
      <c r="Q607" s="433">
        <f>+M607*J607</f>
        <v>0.85094733829421876</v>
      </c>
      <c r="R607" s="433">
        <f>+O607*J607</f>
        <v>0.85123463145521783</v>
      </c>
      <c r="S607"/>
      <c r="T607" s="1267" t="s">
        <v>0</v>
      </c>
    </row>
    <row r="608" spans="1:20" ht="15" x14ac:dyDescent="0.25">
      <c r="C608" s="1272"/>
      <c r="D608" s="1278"/>
      <c r="E608" s="1015" t="s">
        <v>0</v>
      </c>
      <c r="F608" s="1015"/>
      <c r="G608" s="1015"/>
      <c r="H608" s="1015"/>
      <c r="I608" s="1015"/>
      <c r="J608" s="1274"/>
      <c r="K608" t="s">
        <v>0</v>
      </c>
      <c r="L608"/>
      <c r="M608"/>
      <c r="N608"/>
      <c r="O608"/>
      <c r="P608"/>
      <c r="Q608"/>
      <c r="R608"/>
      <c r="S608"/>
      <c r="T608" t="s">
        <v>0</v>
      </c>
    </row>
    <row r="609" spans="3:20" ht="15" x14ac:dyDescent="0.25">
      <c r="C609" s="1272" t="s">
        <v>1108</v>
      </c>
      <c r="D609" s="1278">
        <v>57</v>
      </c>
      <c r="E609" s="1273" t="s">
        <v>0</v>
      </c>
      <c r="F609" s="1015"/>
      <c r="G609" s="1275">
        <v>-5.6</v>
      </c>
      <c r="H609" s="1015"/>
      <c r="I609" s="1275">
        <v>57.1</v>
      </c>
      <c r="J609" s="1274">
        <v>10.75</v>
      </c>
      <c r="K609" s="1267" t="s">
        <v>0</v>
      </c>
      <c r="L609"/>
      <c r="M609" s="1168">
        <f>+D609/D$614</f>
        <v>0.1631368059530624</v>
      </c>
      <c r="N609" s="1">
        <f>+D609+22/31*G609</f>
        <v>53.025806451612901</v>
      </c>
      <c r="O609" s="1168">
        <f>+N609/N$614</f>
        <v>0.14103455080521307</v>
      </c>
      <c r="P609" s="1168"/>
      <c r="Q609" s="433">
        <f>+M609*J609</f>
        <v>1.7537206639954208</v>
      </c>
      <c r="R609" s="433">
        <f>+O609*J609</f>
        <v>1.5161214211560405</v>
      </c>
      <c r="S609"/>
      <c r="T609" s="1267" t="s">
        <v>0</v>
      </c>
    </row>
    <row r="610" spans="3:20" ht="15" x14ac:dyDescent="0.25">
      <c r="C610" s="1272"/>
      <c r="D610" s="1278"/>
      <c r="E610" s="1015" t="s">
        <v>0</v>
      </c>
      <c r="F610" s="1015"/>
      <c r="G610" s="1015"/>
      <c r="H610" s="1015"/>
      <c r="I610" s="1015"/>
      <c r="J610" s="1274"/>
      <c r="K610" t="s">
        <v>0</v>
      </c>
      <c r="L610"/>
      <c r="M610"/>
      <c r="N610"/>
      <c r="O610"/>
      <c r="P610"/>
      <c r="Q610"/>
      <c r="R610"/>
      <c r="S610"/>
      <c r="T610" t="s">
        <v>0</v>
      </c>
    </row>
    <row r="611" spans="3:20" ht="15" x14ac:dyDescent="0.25">
      <c r="C611" s="1272" t="s">
        <v>1109</v>
      </c>
      <c r="D611" s="1278">
        <v>205.2</v>
      </c>
      <c r="E611" s="1273" t="s">
        <v>0</v>
      </c>
      <c r="F611" s="1015"/>
      <c r="G611" s="1275" t="s">
        <v>0</v>
      </c>
      <c r="H611" s="1015">
        <v>49.9</v>
      </c>
      <c r="I611" s="1015">
        <v>275</v>
      </c>
      <c r="J611" s="1274">
        <v>8.16</v>
      </c>
      <c r="K611" s="1267" t="s">
        <v>0</v>
      </c>
      <c r="L611"/>
      <c r="M611" s="1168">
        <f>+D611/D$614</f>
        <v>0.58729250143102463</v>
      </c>
      <c r="N611" s="1">
        <f>+D611+17/31*H611</f>
        <v>232.56451612903226</v>
      </c>
      <c r="O611" s="1168">
        <f>+N611/N$614</f>
        <v>0.61855979683062634</v>
      </c>
      <c r="P611" s="1168"/>
      <c r="Q611" s="433">
        <f>+M611*J611</f>
        <v>4.792306811677161</v>
      </c>
      <c r="R611" s="433">
        <f>+O611*J611</f>
        <v>5.0474479421379108</v>
      </c>
      <c r="S611"/>
      <c r="T611" s="1267" t="s">
        <v>0</v>
      </c>
    </row>
    <row r="612" spans="3:20" ht="15" x14ac:dyDescent="0.25">
      <c r="C612" s="1272"/>
      <c r="D612" s="1278"/>
      <c r="E612" s="1015" t="s">
        <v>0</v>
      </c>
      <c r="F612" s="1015"/>
      <c r="G612" s="1015"/>
      <c r="H612" s="1015"/>
      <c r="I612" s="1015"/>
      <c r="J612" s="1274"/>
      <c r="K612" t="s">
        <v>0</v>
      </c>
      <c r="L612"/>
      <c r="M612"/>
      <c r="N612"/>
      <c r="O612"/>
      <c r="P612"/>
      <c r="Q612"/>
      <c r="R612"/>
      <c r="S612"/>
      <c r="T612" t="s">
        <v>99</v>
      </c>
    </row>
    <row r="613" spans="3:20" ht="15" x14ac:dyDescent="0.25">
      <c r="C613" s="1272"/>
      <c r="D613" s="1278"/>
      <c r="E613" s="1015"/>
      <c r="F613" s="1015"/>
      <c r="G613" s="1015"/>
      <c r="H613" s="1015"/>
      <c r="I613" s="1015"/>
      <c r="J613" s="1274"/>
      <c r="K613"/>
      <c r="L613"/>
      <c r="M613"/>
      <c r="N613"/>
      <c r="O613"/>
      <c r="P613"/>
      <c r="Q613"/>
      <c r="R613"/>
      <c r="S613"/>
      <c r="T613"/>
    </row>
    <row r="614" spans="3:20" ht="15.75" thickBot="1" x14ac:dyDescent="0.3">
      <c r="C614" s="1216" t="s">
        <v>16</v>
      </c>
      <c r="D614" s="1279">
        <f>SUM(D603:D611)</f>
        <v>349.4</v>
      </c>
      <c r="E614" s="1276"/>
      <c r="F614" s="1276">
        <f>SUM(F607:F613)</f>
        <v>3.8</v>
      </c>
      <c r="G614" s="1276">
        <f>SUM(G609:G613)</f>
        <v>-5.6</v>
      </c>
      <c r="H614" s="1276">
        <f>SUM(H611:H613)</f>
        <v>49.9</v>
      </c>
      <c r="I614" s="1276">
        <f>SUM(I603:I611)</f>
        <v>430.2</v>
      </c>
      <c r="J614" s="1199"/>
      <c r="K614" s="1268" t="s">
        <v>0</v>
      </c>
      <c r="L614"/>
      <c r="M614" s="1168">
        <f>+D614/D$614</f>
        <v>1</v>
      </c>
      <c r="N614" s="1271">
        <f>SUM(N603:N611)</f>
        <v>375.97741935483873</v>
      </c>
      <c r="O614" s="1168">
        <f>+N614/N$614</f>
        <v>1</v>
      </c>
      <c r="P614" s="1168"/>
      <c r="Q614" s="1270">
        <f>SUM(Q603:Q611)</f>
        <v>8.5133629078420157</v>
      </c>
      <c r="R614" s="1270">
        <f>SUM(R603:R611)</f>
        <v>8.4522758744948643</v>
      </c>
      <c r="S614"/>
      <c r="T614" s="1269" t="s">
        <v>0</v>
      </c>
    </row>
    <row r="615" spans="3:20" x14ac:dyDescent="0.2">
      <c r="T615" s="158" t="s">
        <v>0</v>
      </c>
    </row>
    <row r="616" spans="3:20" x14ac:dyDescent="0.2">
      <c r="I616" s="158" t="s">
        <v>1117</v>
      </c>
      <c r="J616" s="158" t="s">
        <v>1118</v>
      </c>
      <c r="L616" s="158" t="s">
        <v>1119</v>
      </c>
    </row>
    <row r="617" spans="3:20" x14ac:dyDescent="0.2">
      <c r="I617" s="158" t="s">
        <v>101</v>
      </c>
      <c r="J617" s="158" t="s">
        <v>101</v>
      </c>
    </row>
    <row r="618" spans="3:20" x14ac:dyDescent="0.2">
      <c r="H618" s="158">
        <v>208.7</v>
      </c>
      <c r="I618" s="1223">
        <f>+H618/D611-1</f>
        <v>1.7056530214424992E-2</v>
      </c>
      <c r="J618" s="1223">
        <f>I611/(H618+H611)-1</f>
        <v>6.3418406805877847E-2</v>
      </c>
      <c r="L618" s="185">
        <f>(1+I618)*(1+J618)-1</f>
        <v>8.1556634992137944E-2</v>
      </c>
    </row>
    <row r="620" spans="3:20" x14ac:dyDescent="0.2">
      <c r="H620" s="158">
        <v>350.2</v>
      </c>
      <c r="I620" s="1223">
        <f>(H620-G609-F607-D614)/(D614+9/14*F607+5/14*G609)</f>
        <v>7.4319082036833524E-3</v>
      </c>
      <c r="J620" s="1223">
        <f>I614/(H620+H614)-1</f>
        <v>7.5231192201949515E-2</v>
      </c>
      <c r="L620" s="172">
        <f>(1+I620)*(1+J620)-1</f>
        <v>8.3222211720131334E-2</v>
      </c>
    </row>
  </sheetData>
  <pageMargins left="0.75" right="0.75" top="1" bottom="1" header="0.5" footer="0.5"/>
  <pageSetup paperSize="9" orientation="portrait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427B-C8D9-4191-B6E9-541C0AE98808}">
  <dimension ref="B2:X88"/>
  <sheetViews>
    <sheetView topLeftCell="A15" workbookViewId="0">
      <selection activeCell="T49" sqref="T49"/>
    </sheetView>
  </sheetViews>
  <sheetFormatPr defaultRowHeight="12.75" x14ac:dyDescent="0.2"/>
  <cols>
    <col min="1" max="1" width="9.140625" style="158"/>
    <col min="2" max="2" width="25.7109375" style="158" customWidth="1"/>
    <col min="3" max="4" width="9.140625" style="158"/>
    <col min="5" max="5" width="2.7109375" style="158" customWidth="1"/>
    <col min="6" max="6" width="9.140625" style="158"/>
    <col min="7" max="7" width="10.7109375" style="158" customWidth="1"/>
    <col min="8" max="8" width="2.7109375" style="158" customWidth="1"/>
    <col min="9" max="10" width="9.140625" style="158"/>
    <col min="11" max="11" width="9.28515625" style="158" bestFit="1" customWidth="1"/>
    <col min="12" max="13" width="9.140625" style="158"/>
    <col min="14" max="15" width="10.7109375" style="158" customWidth="1"/>
    <col min="16" max="257" width="9.140625" style="158"/>
    <col min="258" max="258" width="25.7109375" style="158" customWidth="1"/>
    <col min="259" max="260" width="9.140625" style="158"/>
    <col min="261" max="261" width="2.7109375" style="158" customWidth="1"/>
    <col min="262" max="262" width="9.140625" style="158"/>
    <col min="263" max="263" width="10.7109375" style="158" customWidth="1"/>
    <col min="264" max="264" width="2.7109375" style="158" customWidth="1"/>
    <col min="265" max="266" width="9.140625" style="158"/>
    <col min="267" max="267" width="9.28515625" style="158" bestFit="1" customWidth="1"/>
    <col min="268" max="269" width="9.140625" style="158"/>
    <col min="270" max="271" width="10.7109375" style="158" customWidth="1"/>
    <col min="272" max="513" width="9.140625" style="158"/>
    <col min="514" max="514" width="25.7109375" style="158" customWidth="1"/>
    <col min="515" max="516" width="9.140625" style="158"/>
    <col min="517" max="517" width="2.7109375" style="158" customWidth="1"/>
    <col min="518" max="518" width="9.140625" style="158"/>
    <col min="519" max="519" width="10.7109375" style="158" customWidth="1"/>
    <col min="520" max="520" width="2.7109375" style="158" customWidth="1"/>
    <col min="521" max="522" width="9.140625" style="158"/>
    <col min="523" max="523" width="9.28515625" style="158" bestFit="1" customWidth="1"/>
    <col min="524" max="525" width="9.140625" style="158"/>
    <col min="526" max="527" width="10.7109375" style="158" customWidth="1"/>
    <col min="528" max="769" width="9.140625" style="158"/>
    <col min="770" max="770" width="25.7109375" style="158" customWidth="1"/>
    <col min="771" max="772" width="9.140625" style="158"/>
    <col min="773" max="773" width="2.7109375" style="158" customWidth="1"/>
    <col min="774" max="774" width="9.140625" style="158"/>
    <col min="775" max="775" width="10.7109375" style="158" customWidth="1"/>
    <col min="776" max="776" width="2.7109375" style="158" customWidth="1"/>
    <col min="777" max="778" width="9.140625" style="158"/>
    <col min="779" max="779" width="9.28515625" style="158" bestFit="1" customWidth="1"/>
    <col min="780" max="781" width="9.140625" style="158"/>
    <col min="782" max="783" width="10.7109375" style="158" customWidth="1"/>
    <col min="784" max="1025" width="9.140625" style="158"/>
    <col min="1026" max="1026" width="25.7109375" style="158" customWidth="1"/>
    <col min="1027" max="1028" width="9.140625" style="158"/>
    <col min="1029" max="1029" width="2.7109375" style="158" customWidth="1"/>
    <col min="1030" max="1030" width="9.140625" style="158"/>
    <col min="1031" max="1031" width="10.7109375" style="158" customWidth="1"/>
    <col min="1032" max="1032" width="2.7109375" style="158" customWidth="1"/>
    <col min="1033" max="1034" width="9.140625" style="158"/>
    <col min="1035" max="1035" width="9.28515625" style="158" bestFit="1" customWidth="1"/>
    <col min="1036" max="1037" width="9.140625" style="158"/>
    <col min="1038" max="1039" width="10.7109375" style="158" customWidth="1"/>
    <col min="1040" max="1281" width="9.140625" style="158"/>
    <col min="1282" max="1282" width="25.7109375" style="158" customWidth="1"/>
    <col min="1283" max="1284" width="9.140625" style="158"/>
    <col min="1285" max="1285" width="2.7109375" style="158" customWidth="1"/>
    <col min="1286" max="1286" width="9.140625" style="158"/>
    <col min="1287" max="1287" width="10.7109375" style="158" customWidth="1"/>
    <col min="1288" max="1288" width="2.7109375" style="158" customWidth="1"/>
    <col min="1289" max="1290" width="9.140625" style="158"/>
    <col min="1291" max="1291" width="9.28515625" style="158" bestFit="1" customWidth="1"/>
    <col min="1292" max="1293" width="9.140625" style="158"/>
    <col min="1294" max="1295" width="10.7109375" style="158" customWidth="1"/>
    <col min="1296" max="1537" width="9.140625" style="158"/>
    <col min="1538" max="1538" width="25.7109375" style="158" customWidth="1"/>
    <col min="1539" max="1540" width="9.140625" style="158"/>
    <col min="1541" max="1541" width="2.7109375" style="158" customWidth="1"/>
    <col min="1542" max="1542" width="9.140625" style="158"/>
    <col min="1543" max="1543" width="10.7109375" style="158" customWidth="1"/>
    <col min="1544" max="1544" width="2.7109375" style="158" customWidth="1"/>
    <col min="1545" max="1546" width="9.140625" style="158"/>
    <col min="1547" max="1547" width="9.28515625" style="158" bestFit="1" customWidth="1"/>
    <col min="1548" max="1549" width="9.140625" style="158"/>
    <col min="1550" max="1551" width="10.7109375" style="158" customWidth="1"/>
    <col min="1552" max="1793" width="9.140625" style="158"/>
    <col min="1794" max="1794" width="25.7109375" style="158" customWidth="1"/>
    <col min="1795" max="1796" width="9.140625" style="158"/>
    <col min="1797" max="1797" width="2.7109375" style="158" customWidth="1"/>
    <col min="1798" max="1798" width="9.140625" style="158"/>
    <col min="1799" max="1799" width="10.7109375" style="158" customWidth="1"/>
    <col min="1800" max="1800" width="2.7109375" style="158" customWidth="1"/>
    <col min="1801" max="1802" width="9.140625" style="158"/>
    <col min="1803" max="1803" width="9.28515625" style="158" bestFit="1" customWidth="1"/>
    <col min="1804" max="1805" width="9.140625" style="158"/>
    <col min="1806" max="1807" width="10.7109375" style="158" customWidth="1"/>
    <col min="1808" max="2049" width="9.140625" style="158"/>
    <col min="2050" max="2050" width="25.7109375" style="158" customWidth="1"/>
    <col min="2051" max="2052" width="9.140625" style="158"/>
    <col min="2053" max="2053" width="2.7109375" style="158" customWidth="1"/>
    <col min="2054" max="2054" width="9.140625" style="158"/>
    <col min="2055" max="2055" width="10.7109375" style="158" customWidth="1"/>
    <col min="2056" max="2056" width="2.7109375" style="158" customWidth="1"/>
    <col min="2057" max="2058" width="9.140625" style="158"/>
    <col min="2059" max="2059" width="9.28515625" style="158" bestFit="1" customWidth="1"/>
    <col min="2060" max="2061" width="9.140625" style="158"/>
    <col min="2062" max="2063" width="10.7109375" style="158" customWidth="1"/>
    <col min="2064" max="2305" width="9.140625" style="158"/>
    <col min="2306" max="2306" width="25.7109375" style="158" customWidth="1"/>
    <col min="2307" max="2308" width="9.140625" style="158"/>
    <col min="2309" max="2309" width="2.7109375" style="158" customWidth="1"/>
    <col min="2310" max="2310" width="9.140625" style="158"/>
    <col min="2311" max="2311" width="10.7109375" style="158" customWidth="1"/>
    <col min="2312" max="2312" width="2.7109375" style="158" customWidth="1"/>
    <col min="2313" max="2314" width="9.140625" style="158"/>
    <col min="2315" max="2315" width="9.28515625" style="158" bestFit="1" customWidth="1"/>
    <col min="2316" max="2317" width="9.140625" style="158"/>
    <col min="2318" max="2319" width="10.7109375" style="158" customWidth="1"/>
    <col min="2320" max="2561" width="9.140625" style="158"/>
    <col min="2562" max="2562" width="25.7109375" style="158" customWidth="1"/>
    <col min="2563" max="2564" width="9.140625" style="158"/>
    <col min="2565" max="2565" width="2.7109375" style="158" customWidth="1"/>
    <col min="2566" max="2566" width="9.140625" style="158"/>
    <col min="2567" max="2567" width="10.7109375" style="158" customWidth="1"/>
    <col min="2568" max="2568" width="2.7109375" style="158" customWidth="1"/>
    <col min="2569" max="2570" width="9.140625" style="158"/>
    <col min="2571" max="2571" width="9.28515625" style="158" bestFit="1" customWidth="1"/>
    <col min="2572" max="2573" width="9.140625" style="158"/>
    <col min="2574" max="2575" width="10.7109375" style="158" customWidth="1"/>
    <col min="2576" max="2817" width="9.140625" style="158"/>
    <col min="2818" max="2818" width="25.7109375" style="158" customWidth="1"/>
    <col min="2819" max="2820" width="9.140625" style="158"/>
    <col min="2821" max="2821" width="2.7109375" style="158" customWidth="1"/>
    <col min="2822" max="2822" width="9.140625" style="158"/>
    <col min="2823" max="2823" width="10.7109375" style="158" customWidth="1"/>
    <col min="2824" max="2824" width="2.7109375" style="158" customWidth="1"/>
    <col min="2825" max="2826" width="9.140625" style="158"/>
    <col min="2827" max="2827" width="9.28515625" style="158" bestFit="1" customWidth="1"/>
    <col min="2828" max="2829" width="9.140625" style="158"/>
    <col min="2830" max="2831" width="10.7109375" style="158" customWidth="1"/>
    <col min="2832" max="3073" width="9.140625" style="158"/>
    <col min="3074" max="3074" width="25.7109375" style="158" customWidth="1"/>
    <col min="3075" max="3076" width="9.140625" style="158"/>
    <col min="3077" max="3077" width="2.7109375" style="158" customWidth="1"/>
    <col min="3078" max="3078" width="9.140625" style="158"/>
    <col min="3079" max="3079" width="10.7109375" style="158" customWidth="1"/>
    <col min="3080" max="3080" width="2.7109375" style="158" customWidth="1"/>
    <col min="3081" max="3082" width="9.140625" style="158"/>
    <col min="3083" max="3083" width="9.28515625" style="158" bestFit="1" customWidth="1"/>
    <col min="3084" max="3085" width="9.140625" style="158"/>
    <col min="3086" max="3087" width="10.7109375" style="158" customWidth="1"/>
    <col min="3088" max="3329" width="9.140625" style="158"/>
    <col min="3330" max="3330" width="25.7109375" style="158" customWidth="1"/>
    <col min="3331" max="3332" width="9.140625" style="158"/>
    <col min="3333" max="3333" width="2.7109375" style="158" customWidth="1"/>
    <col min="3334" max="3334" width="9.140625" style="158"/>
    <col min="3335" max="3335" width="10.7109375" style="158" customWidth="1"/>
    <col min="3336" max="3336" width="2.7109375" style="158" customWidth="1"/>
    <col min="3337" max="3338" width="9.140625" style="158"/>
    <col min="3339" max="3339" width="9.28515625" style="158" bestFit="1" customWidth="1"/>
    <col min="3340" max="3341" width="9.140625" style="158"/>
    <col min="3342" max="3343" width="10.7109375" style="158" customWidth="1"/>
    <col min="3344" max="3585" width="9.140625" style="158"/>
    <col min="3586" max="3586" width="25.7109375" style="158" customWidth="1"/>
    <col min="3587" max="3588" width="9.140625" style="158"/>
    <col min="3589" max="3589" width="2.7109375" style="158" customWidth="1"/>
    <col min="3590" max="3590" width="9.140625" style="158"/>
    <col min="3591" max="3591" width="10.7109375" style="158" customWidth="1"/>
    <col min="3592" max="3592" width="2.7109375" style="158" customWidth="1"/>
    <col min="3593" max="3594" width="9.140625" style="158"/>
    <col min="3595" max="3595" width="9.28515625" style="158" bestFit="1" customWidth="1"/>
    <col min="3596" max="3597" width="9.140625" style="158"/>
    <col min="3598" max="3599" width="10.7109375" style="158" customWidth="1"/>
    <col min="3600" max="3841" width="9.140625" style="158"/>
    <col min="3842" max="3842" width="25.7109375" style="158" customWidth="1"/>
    <col min="3843" max="3844" width="9.140625" style="158"/>
    <col min="3845" max="3845" width="2.7109375" style="158" customWidth="1"/>
    <col min="3846" max="3846" width="9.140625" style="158"/>
    <col min="3847" max="3847" width="10.7109375" style="158" customWidth="1"/>
    <col min="3848" max="3848" width="2.7109375" style="158" customWidth="1"/>
    <col min="3849" max="3850" width="9.140625" style="158"/>
    <col min="3851" max="3851" width="9.28515625" style="158" bestFit="1" customWidth="1"/>
    <col min="3852" max="3853" width="9.140625" style="158"/>
    <col min="3854" max="3855" width="10.7109375" style="158" customWidth="1"/>
    <col min="3856" max="4097" width="9.140625" style="158"/>
    <col min="4098" max="4098" width="25.7109375" style="158" customWidth="1"/>
    <col min="4099" max="4100" width="9.140625" style="158"/>
    <col min="4101" max="4101" width="2.7109375" style="158" customWidth="1"/>
    <col min="4102" max="4102" width="9.140625" style="158"/>
    <col min="4103" max="4103" width="10.7109375" style="158" customWidth="1"/>
    <col min="4104" max="4104" width="2.7109375" style="158" customWidth="1"/>
    <col min="4105" max="4106" width="9.140625" style="158"/>
    <col min="4107" max="4107" width="9.28515625" style="158" bestFit="1" customWidth="1"/>
    <col min="4108" max="4109" width="9.140625" style="158"/>
    <col min="4110" max="4111" width="10.7109375" style="158" customWidth="1"/>
    <col min="4112" max="4353" width="9.140625" style="158"/>
    <col min="4354" max="4354" width="25.7109375" style="158" customWidth="1"/>
    <col min="4355" max="4356" width="9.140625" style="158"/>
    <col min="4357" max="4357" width="2.7109375" style="158" customWidth="1"/>
    <col min="4358" max="4358" width="9.140625" style="158"/>
    <col min="4359" max="4359" width="10.7109375" style="158" customWidth="1"/>
    <col min="4360" max="4360" width="2.7109375" style="158" customWidth="1"/>
    <col min="4361" max="4362" width="9.140625" style="158"/>
    <col min="4363" max="4363" width="9.28515625" style="158" bestFit="1" customWidth="1"/>
    <col min="4364" max="4365" width="9.140625" style="158"/>
    <col min="4366" max="4367" width="10.7109375" style="158" customWidth="1"/>
    <col min="4368" max="4609" width="9.140625" style="158"/>
    <col min="4610" max="4610" width="25.7109375" style="158" customWidth="1"/>
    <col min="4611" max="4612" width="9.140625" style="158"/>
    <col min="4613" max="4613" width="2.7109375" style="158" customWidth="1"/>
    <col min="4614" max="4614" width="9.140625" style="158"/>
    <col min="4615" max="4615" width="10.7109375" style="158" customWidth="1"/>
    <col min="4616" max="4616" width="2.7109375" style="158" customWidth="1"/>
    <col min="4617" max="4618" width="9.140625" style="158"/>
    <col min="4619" max="4619" width="9.28515625" style="158" bestFit="1" customWidth="1"/>
    <col min="4620" max="4621" width="9.140625" style="158"/>
    <col min="4622" max="4623" width="10.7109375" style="158" customWidth="1"/>
    <col min="4624" max="4865" width="9.140625" style="158"/>
    <col min="4866" max="4866" width="25.7109375" style="158" customWidth="1"/>
    <col min="4867" max="4868" width="9.140625" style="158"/>
    <col min="4869" max="4869" width="2.7109375" style="158" customWidth="1"/>
    <col min="4870" max="4870" width="9.140625" style="158"/>
    <col min="4871" max="4871" width="10.7109375" style="158" customWidth="1"/>
    <col min="4872" max="4872" width="2.7109375" style="158" customWidth="1"/>
    <col min="4873" max="4874" width="9.140625" style="158"/>
    <col min="4875" max="4875" width="9.28515625" style="158" bestFit="1" customWidth="1"/>
    <col min="4876" max="4877" width="9.140625" style="158"/>
    <col min="4878" max="4879" width="10.7109375" style="158" customWidth="1"/>
    <col min="4880" max="5121" width="9.140625" style="158"/>
    <col min="5122" max="5122" width="25.7109375" style="158" customWidth="1"/>
    <col min="5123" max="5124" width="9.140625" style="158"/>
    <col min="5125" max="5125" width="2.7109375" style="158" customWidth="1"/>
    <col min="5126" max="5126" width="9.140625" style="158"/>
    <col min="5127" max="5127" width="10.7109375" style="158" customWidth="1"/>
    <col min="5128" max="5128" width="2.7109375" style="158" customWidth="1"/>
    <col min="5129" max="5130" width="9.140625" style="158"/>
    <col min="5131" max="5131" width="9.28515625" style="158" bestFit="1" customWidth="1"/>
    <col min="5132" max="5133" width="9.140625" style="158"/>
    <col min="5134" max="5135" width="10.7109375" style="158" customWidth="1"/>
    <col min="5136" max="5377" width="9.140625" style="158"/>
    <col min="5378" max="5378" width="25.7109375" style="158" customWidth="1"/>
    <col min="5379" max="5380" width="9.140625" style="158"/>
    <col min="5381" max="5381" width="2.7109375" style="158" customWidth="1"/>
    <col min="5382" max="5382" width="9.140625" style="158"/>
    <col min="5383" max="5383" width="10.7109375" style="158" customWidth="1"/>
    <col min="5384" max="5384" width="2.7109375" style="158" customWidth="1"/>
    <col min="5385" max="5386" width="9.140625" style="158"/>
    <col min="5387" max="5387" width="9.28515625" style="158" bestFit="1" customWidth="1"/>
    <col min="5388" max="5389" width="9.140625" style="158"/>
    <col min="5390" max="5391" width="10.7109375" style="158" customWidth="1"/>
    <col min="5392" max="5633" width="9.140625" style="158"/>
    <col min="5634" max="5634" width="25.7109375" style="158" customWidth="1"/>
    <col min="5635" max="5636" width="9.140625" style="158"/>
    <col min="5637" max="5637" width="2.7109375" style="158" customWidth="1"/>
    <col min="5638" max="5638" width="9.140625" style="158"/>
    <col min="5639" max="5639" width="10.7109375" style="158" customWidth="1"/>
    <col min="5640" max="5640" width="2.7109375" style="158" customWidth="1"/>
    <col min="5641" max="5642" width="9.140625" style="158"/>
    <col min="5643" max="5643" width="9.28515625" style="158" bestFit="1" customWidth="1"/>
    <col min="5644" max="5645" width="9.140625" style="158"/>
    <col min="5646" max="5647" width="10.7109375" style="158" customWidth="1"/>
    <col min="5648" max="5889" width="9.140625" style="158"/>
    <col min="5890" max="5890" width="25.7109375" style="158" customWidth="1"/>
    <col min="5891" max="5892" width="9.140625" style="158"/>
    <col min="5893" max="5893" width="2.7109375" style="158" customWidth="1"/>
    <col min="5894" max="5894" width="9.140625" style="158"/>
    <col min="5895" max="5895" width="10.7109375" style="158" customWidth="1"/>
    <col min="5896" max="5896" width="2.7109375" style="158" customWidth="1"/>
    <col min="5897" max="5898" width="9.140625" style="158"/>
    <col min="5899" max="5899" width="9.28515625" style="158" bestFit="1" customWidth="1"/>
    <col min="5900" max="5901" width="9.140625" style="158"/>
    <col min="5902" max="5903" width="10.7109375" style="158" customWidth="1"/>
    <col min="5904" max="6145" width="9.140625" style="158"/>
    <col min="6146" max="6146" width="25.7109375" style="158" customWidth="1"/>
    <col min="6147" max="6148" width="9.140625" style="158"/>
    <col min="6149" max="6149" width="2.7109375" style="158" customWidth="1"/>
    <col min="6150" max="6150" width="9.140625" style="158"/>
    <col min="6151" max="6151" width="10.7109375" style="158" customWidth="1"/>
    <col min="6152" max="6152" width="2.7109375" style="158" customWidth="1"/>
    <col min="6153" max="6154" width="9.140625" style="158"/>
    <col min="6155" max="6155" width="9.28515625" style="158" bestFit="1" customWidth="1"/>
    <col min="6156" max="6157" width="9.140625" style="158"/>
    <col min="6158" max="6159" width="10.7109375" style="158" customWidth="1"/>
    <col min="6160" max="6401" width="9.140625" style="158"/>
    <col min="6402" max="6402" width="25.7109375" style="158" customWidth="1"/>
    <col min="6403" max="6404" width="9.140625" style="158"/>
    <col min="6405" max="6405" width="2.7109375" style="158" customWidth="1"/>
    <col min="6406" max="6406" width="9.140625" style="158"/>
    <col min="6407" max="6407" width="10.7109375" style="158" customWidth="1"/>
    <col min="6408" max="6408" width="2.7109375" style="158" customWidth="1"/>
    <col min="6409" max="6410" width="9.140625" style="158"/>
    <col min="6411" max="6411" width="9.28515625" style="158" bestFit="1" customWidth="1"/>
    <col min="6412" max="6413" width="9.140625" style="158"/>
    <col min="6414" max="6415" width="10.7109375" style="158" customWidth="1"/>
    <col min="6416" max="6657" width="9.140625" style="158"/>
    <col min="6658" max="6658" width="25.7109375" style="158" customWidth="1"/>
    <col min="6659" max="6660" width="9.140625" style="158"/>
    <col min="6661" max="6661" width="2.7109375" style="158" customWidth="1"/>
    <col min="6662" max="6662" width="9.140625" style="158"/>
    <col min="6663" max="6663" width="10.7109375" style="158" customWidth="1"/>
    <col min="6664" max="6664" width="2.7109375" style="158" customWidth="1"/>
    <col min="6665" max="6666" width="9.140625" style="158"/>
    <col min="6667" max="6667" width="9.28515625" style="158" bestFit="1" customWidth="1"/>
    <col min="6668" max="6669" width="9.140625" style="158"/>
    <col min="6670" max="6671" width="10.7109375" style="158" customWidth="1"/>
    <col min="6672" max="6913" width="9.140625" style="158"/>
    <col min="6914" max="6914" width="25.7109375" style="158" customWidth="1"/>
    <col min="6915" max="6916" width="9.140625" style="158"/>
    <col min="6917" max="6917" width="2.7109375" style="158" customWidth="1"/>
    <col min="6918" max="6918" width="9.140625" style="158"/>
    <col min="6919" max="6919" width="10.7109375" style="158" customWidth="1"/>
    <col min="6920" max="6920" width="2.7109375" style="158" customWidth="1"/>
    <col min="6921" max="6922" width="9.140625" style="158"/>
    <col min="6923" max="6923" width="9.28515625" style="158" bestFit="1" customWidth="1"/>
    <col min="6924" max="6925" width="9.140625" style="158"/>
    <col min="6926" max="6927" width="10.7109375" style="158" customWidth="1"/>
    <col min="6928" max="7169" width="9.140625" style="158"/>
    <col min="7170" max="7170" width="25.7109375" style="158" customWidth="1"/>
    <col min="7171" max="7172" width="9.140625" style="158"/>
    <col min="7173" max="7173" width="2.7109375" style="158" customWidth="1"/>
    <col min="7174" max="7174" width="9.140625" style="158"/>
    <col min="7175" max="7175" width="10.7109375" style="158" customWidth="1"/>
    <col min="7176" max="7176" width="2.7109375" style="158" customWidth="1"/>
    <col min="7177" max="7178" width="9.140625" style="158"/>
    <col min="7179" max="7179" width="9.28515625" style="158" bestFit="1" customWidth="1"/>
    <col min="7180" max="7181" width="9.140625" style="158"/>
    <col min="7182" max="7183" width="10.7109375" style="158" customWidth="1"/>
    <col min="7184" max="7425" width="9.140625" style="158"/>
    <col min="7426" max="7426" width="25.7109375" style="158" customWidth="1"/>
    <col min="7427" max="7428" width="9.140625" style="158"/>
    <col min="7429" max="7429" width="2.7109375" style="158" customWidth="1"/>
    <col min="7430" max="7430" width="9.140625" style="158"/>
    <col min="7431" max="7431" width="10.7109375" style="158" customWidth="1"/>
    <col min="7432" max="7432" width="2.7109375" style="158" customWidth="1"/>
    <col min="7433" max="7434" width="9.140625" style="158"/>
    <col min="7435" max="7435" width="9.28515625" style="158" bestFit="1" customWidth="1"/>
    <col min="7436" max="7437" width="9.140625" style="158"/>
    <col min="7438" max="7439" width="10.7109375" style="158" customWidth="1"/>
    <col min="7440" max="7681" width="9.140625" style="158"/>
    <col min="7682" max="7682" width="25.7109375" style="158" customWidth="1"/>
    <col min="7683" max="7684" width="9.140625" style="158"/>
    <col min="7685" max="7685" width="2.7109375" style="158" customWidth="1"/>
    <col min="7686" max="7686" width="9.140625" style="158"/>
    <col min="7687" max="7687" width="10.7109375" style="158" customWidth="1"/>
    <col min="7688" max="7688" width="2.7109375" style="158" customWidth="1"/>
    <col min="7689" max="7690" width="9.140625" style="158"/>
    <col min="7691" max="7691" width="9.28515625" style="158" bestFit="1" customWidth="1"/>
    <col min="7692" max="7693" width="9.140625" style="158"/>
    <col min="7694" max="7695" width="10.7109375" style="158" customWidth="1"/>
    <col min="7696" max="7937" width="9.140625" style="158"/>
    <col min="7938" max="7938" width="25.7109375" style="158" customWidth="1"/>
    <col min="7939" max="7940" width="9.140625" style="158"/>
    <col min="7941" max="7941" width="2.7109375" style="158" customWidth="1"/>
    <col min="7942" max="7942" width="9.140625" style="158"/>
    <col min="7943" max="7943" width="10.7109375" style="158" customWidth="1"/>
    <col min="7944" max="7944" width="2.7109375" style="158" customWidth="1"/>
    <col min="7945" max="7946" width="9.140625" style="158"/>
    <col min="7947" max="7947" width="9.28515625" style="158" bestFit="1" customWidth="1"/>
    <col min="7948" max="7949" width="9.140625" style="158"/>
    <col min="7950" max="7951" width="10.7109375" style="158" customWidth="1"/>
    <col min="7952" max="8193" width="9.140625" style="158"/>
    <col min="8194" max="8194" width="25.7109375" style="158" customWidth="1"/>
    <col min="8195" max="8196" width="9.140625" style="158"/>
    <col min="8197" max="8197" width="2.7109375" style="158" customWidth="1"/>
    <col min="8198" max="8198" width="9.140625" style="158"/>
    <col min="8199" max="8199" width="10.7109375" style="158" customWidth="1"/>
    <col min="8200" max="8200" width="2.7109375" style="158" customWidth="1"/>
    <col min="8201" max="8202" width="9.140625" style="158"/>
    <col min="8203" max="8203" width="9.28515625" style="158" bestFit="1" customWidth="1"/>
    <col min="8204" max="8205" width="9.140625" style="158"/>
    <col min="8206" max="8207" width="10.7109375" style="158" customWidth="1"/>
    <col min="8208" max="8449" width="9.140625" style="158"/>
    <col min="8450" max="8450" width="25.7109375" style="158" customWidth="1"/>
    <col min="8451" max="8452" width="9.140625" style="158"/>
    <col min="8453" max="8453" width="2.7109375" style="158" customWidth="1"/>
    <col min="8454" max="8454" width="9.140625" style="158"/>
    <col min="8455" max="8455" width="10.7109375" style="158" customWidth="1"/>
    <col min="8456" max="8456" width="2.7109375" style="158" customWidth="1"/>
    <col min="8457" max="8458" width="9.140625" style="158"/>
    <col min="8459" max="8459" width="9.28515625" style="158" bestFit="1" customWidth="1"/>
    <col min="8460" max="8461" width="9.140625" style="158"/>
    <col min="8462" max="8463" width="10.7109375" style="158" customWidth="1"/>
    <col min="8464" max="8705" width="9.140625" style="158"/>
    <col min="8706" max="8706" width="25.7109375" style="158" customWidth="1"/>
    <col min="8707" max="8708" width="9.140625" style="158"/>
    <col min="8709" max="8709" width="2.7109375" style="158" customWidth="1"/>
    <col min="8710" max="8710" width="9.140625" style="158"/>
    <col min="8711" max="8711" width="10.7109375" style="158" customWidth="1"/>
    <col min="8712" max="8712" width="2.7109375" style="158" customWidth="1"/>
    <col min="8713" max="8714" width="9.140625" style="158"/>
    <col min="8715" max="8715" width="9.28515625" style="158" bestFit="1" customWidth="1"/>
    <col min="8716" max="8717" width="9.140625" style="158"/>
    <col min="8718" max="8719" width="10.7109375" style="158" customWidth="1"/>
    <col min="8720" max="8961" width="9.140625" style="158"/>
    <col min="8962" max="8962" width="25.7109375" style="158" customWidth="1"/>
    <col min="8963" max="8964" width="9.140625" style="158"/>
    <col min="8965" max="8965" width="2.7109375" style="158" customWidth="1"/>
    <col min="8966" max="8966" width="9.140625" style="158"/>
    <col min="8967" max="8967" width="10.7109375" style="158" customWidth="1"/>
    <col min="8968" max="8968" width="2.7109375" style="158" customWidth="1"/>
    <col min="8969" max="8970" width="9.140625" style="158"/>
    <col min="8971" max="8971" width="9.28515625" style="158" bestFit="1" customWidth="1"/>
    <col min="8972" max="8973" width="9.140625" style="158"/>
    <col min="8974" max="8975" width="10.7109375" style="158" customWidth="1"/>
    <col min="8976" max="9217" width="9.140625" style="158"/>
    <col min="9218" max="9218" width="25.7109375" style="158" customWidth="1"/>
    <col min="9219" max="9220" width="9.140625" style="158"/>
    <col min="9221" max="9221" width="2.7109375" style="158" customWidth="1"/>
    <col min="9222" max="9222" width="9.140625" style="158"/>
    <col min="9223" max="9223" width="10.7109375" style="158" customWidth="1"/>
    <col min="9224" max="9224" width="2.7109375" style="158" customWidth="1"/>
    <col min="9225" max="9226" width="9.140625" style="158"/>
    <col min="9227" max="9227" width="9.28515625" style="158" bestFit="1" customWidth="1"/>
    <col min="9228" max="9229" width="9.140625" style="158"/>
    <col min="9230" max="9231" width="10.7109375" style="158" customWidth="1"/>
    <col min="9232" max="9473" width="9.140625" style="158"/>
    <col min="9474" max="9474" width="25.7109375" style="158" customWidth="1"/>
    <col min="9475" max="9476" width="9.140625" style="158"/>
    <col min="9477" max="9477" width="2.7109375" style="158" customWidth="1"/>
    <col min="9478" max="9478" width="9.140625" style="158"/>
    <col min="9479" max="9479" width="10.7109375" style="158" customWidth="1"/>
    <col min="9480" max="9480" width="2.7109375" style="158" customWidth="1"/>
    <col min="9481" max="9482" width="9.140625" style="158"/>
    <col min="9483" max="9483" width="9.28515625" style="158" bestFit="1" customWidth="1"/>
    <col min="9484" max="9485" width="9.140625" style="158"/>
    <col min="9486" max="9487" width="10.7109375" style="158" customWidth="1"/>
    <col min="9488" max="9729" width="9.140625" style="158"/>
    <col min="9730" max="9730" width="25.7109375" style="158" customWidth="1"/>
    <col min="9731" max="9732" width="9.140625" style="158"/>
    <col min="9733" max="9733" width="2.7109375" style="158" customWidth="1"/>
    <col min="9734" max="9734" width="9.140625" style="158"/>
    <col min="9735" max="9735" width="10.7109375" style="158" customWidth="1"/>
    <col min="9736" max="9736" width="2.7109375" style="158" customWidth="1"/>
    <col min="9737" max="9738" width="9.140625" style="158"/>
    <col min="9739" max="9739" width="9.28515625" style="158" bestFit="1" customWidth="1"/>
    <col min="9740" max="9741" width="9.140625" style="158"/>
    <col min="9742" max="9743" width="10.7109375" style="158" customWidth="1"/>
    <col min="9744" max="9985" width="9.140625" style="158"/>
    <col min="9986" max="9986" width="25.7109375" style="158" customWidth="1"/>
    <col min="9987" max="9988" width="9.140625" style="158"/>
    <col min="9989" max="9989" width="2.7109375" style="158" customWidth="1"/>
    <col min="9990" max="9990" width="9.140625" style="158"/>
    <col min="9991" max="9991" width="10.7109375" style="158" customWidth="1"/>
    <col min="9992" max="9992" width="2.7109375" style="158" customWidth="1"/>
    <col min="9993" max="9994" width="9.140625" style="158"/>
    <col min="9995" max="9995" width="9.28515625" style="158" bestFit="1" customWidth="1"/>
    <col min="9996" max="9997" width="9.140625" style="158"/>
    <col min="9998" max="9999" width="10.7109375" style="158" customWidth="1"/>
    <col min="10000" max="10241" width="9.140625" style="158"/>
    <col min="10242" max="10242" width="25.7109375" style="158" customWidth="1"/>
    <col min="10243" max="10244" width="9.140625" style="158"/>
    <col min="10245" max="10245" width="2.7109375" style="158" customWidth="1"/>
    <col min="10246" max="10246" width="9.140625" style="158"/>
    <col min="10247" max="10247" width="10.7109375" style="158" customWidth="1"/>
    <col min="10248" max="10248" width="2.7109375" style="158" customWidth="1"/>
    <col min="10249" max="10250" width="9.140625" style="158"/>
    <col min="10251" max="10251" width="9.28515625" style="158" bestFit="1" customWidth="1"/>
    <col min="10252" max="10253" width="9.140625" style="158"/>
    <col min="10254" max="10255" width="10.7109375" style="158" customWidth="1"/>
    <col min="10256" max="10497" width="9.140625" style="158"/>
    <col min="10498" max="10498" width="25.7109375" style="158" customWidth="1"/>
    <col min="10499" max="10500" width="9.140625" style="158"/>
    <col min="10501" max="10501" width="2.7109375" style="158" customWidth="1"/>
    <col min="10502" max="10502" width="9.140625" style="158"/>
    <col min="10503" max="10503" width="10.7109375" style="158" customWidth="1"/>
    <col min="10504" max="10504" width="2.7109375" style="158" customWidth="1"/>
    <col min="10505" max="10506" width="9.140625" style="158"/>
    <col min="10507" max="10507" width="9.28515625" style="158" bestFit="1" customWidth="1"/>
    <col min="10508" max="10509" width="9.140625" style="158"/>
    <col min="10510" max="10511" width="10.7109375" style="158" customWidth="1"/>
    <col min="10512" max="10753" width="9.140625" style="158"/>
    <col min="10754" max="10754" width="25.7109375" style="158" customWidth="1"/>
    <col min="10755" max="10756" width="9.140625" style="158"/>
    <col min="10757" max="10757" width="2.7109375" style="158" customWidth="1"/>
    <col min="10758" max="10758" width="9.140625" style="158"/>
    <col min="10759" max="10759" width="10.7109375" style="158" customWidth="1"/>
    <col min="10760" max="10760" width="2.7109375" style="158" customWidth="1"/>
    <col min="10761" max="10762" width="9.140625" style="158"/>
    <col min="10763" max="10763" width="9.28515625" style="158" bestFit="1" customWidth="1"/>
    <col min="10764" max="10765" width="9.140625" style="158"/>
    <col min="10766" max="10767" width="10.7109375" style="158" customWidth="1"/>
    <col min="10768" max="11009" width="9.140625" style="158"/>
    <col min="11010" max="11010" width="25.7109375" style="158" customWidth="1"/>
    <col min="11011" max="11012" width="9.140625" style="158"/>
    <col min="11013" max="11013" width="2.7109375" style="158" customWidth="1"/>
    <col min="11014" max="11014" width="9.140625" style="158"/>
    <col min="11015" max="11015" width="10.7109375" style="158" customWidth="1"/>
    <col min="11016" max="11016" width="2.7109375" style="158" customWidth="1"/>
    <col min="11017" max="11018" width="9.140625" style="158"/>
    <col min="11019" max="11019" width="9.28515625" style="158" bestFit="1" customWidth="1"/>
    <col min="11020" max="11021" width="9.140625" style="158"/>
    <col min="11022" max="11023" width="10.7109375" style="158" customWidth="1"/>
    <col min="11024" max="11265" width="9.140625" style="158"/>
    <col min="11266" max="11266" width="25.7109375" style="158" customWidth="1"/>
    <col min="11267" max="11268" width="9.140625" style="158"/>
    <col min="11269" max="11269" width="2.7109375" style="158" customWidth="1"/>
    <col min="11270" max="11270" width="9.140625" style="158"/>
    <col min="11271" max="11271" width="10.7109375" style="158" customWidth="1"/>
    <col min="11272" max="11272" width="2.7109375" style="158" customWidth="1"/>
    <col min="11273" max="11274" width="9.140625" style="158"/>
    <col min="11275" max="11275" width="9.28515625" style="158" bestFit="1" customWidth="1"/>
    <col min="11276" max="11277" width="9.140625" style="158"/>
    <col min="11278" max="11279" width="10.7109375" style="158" customWidth="1"/>
    <col min="11280" max="11521" width="9.140625" style="158"/>
    <col min="11522" max="11522" width="25.7109375" style="158" customWidth="1"/>
    <col min="11523" max="11524" width="9.140625" style="158"/>
    <col min="11525" max="11525" width="2.7109375" style="158" customWidth="1"/>
    <col min="11526" max="11526" width="9.140625" style="158"/>
    <col min="11527" max="11527" width="10.7109375" style="158" customWidth="1"/>
    <col min="11528" max="11528" width="2.7109375" style="158" customWidth="1"/>
    <col min="11529" max="11530" width="9.140625" style="158"/>
    <col min="11531" max="11531" width="9.28515625" style="158" bestFit="1" customWidth="1"/>
    <col min="11532" max="11533" width="9.140625" style="158"/>
    <col min="11534" max="11535" width="10.7109375" style="158" customWidth="1"/>
    <col min="11536" max="11777" width="9.140625" style="158"/>
    <col min="11778" max="11778" width="25.7109375" style="158" customWidth="1"/>
    <col min="11779" max="11780" width="9.140625" style="158"/>
    <col min="11781" max="11781" width="2.7109375" style="158" customWidth="1"/>
    <col min="11782" max="11782" width="9.140625" style="158"/>
    <col min="11783" max="11783" width="10.7109375" style="158" customWidth="1"/>
    <col min="11784" max="11784" width="2.7109375" style="158" customWidth="1"/>
    <col min="11785" max="11786" width="9.140625" style="158"/>
    <col min="11787" max="11787" width="9.28515625" style="158" bestFit="1" customWidth="1"/>
    <col min="11788" max="11789" width="9.140625" style="158"/>
    <col min="11790" max="11791" width="10.7109375" style="158" customWidth="1"/>
    <col min="11792" max="12033" width="9.140625" style="158"/>
    <col min="12034" max="12034" width="25.7109375" style="158" customWidth="1"/>
    <col min="12035" max="12036" width="9.140625" style="158"/>
    <col min="12037" max="12037" width="2.7109375" style="158" customWidth="1"/>
    <col min="12038" max="12038" width="9.140625" style="158"/>
    <col min="12039" max="12039" width="10.7109375" style="158" customWidth="1"/>
    <col min="12040" max="12040" width="2.7109375" style="158" customWidth="1"/>
    <col min="12041" max="12042" width="9.140625" style="158"/>
    <col min="12043" max="12043" width="9.28515625" style="158" bestFit="1" customWidth="1"/>
    <col min="12044" max="12045" width="9.140625" style="158"/>
    <col min="12046" max="12047" width="10.7109375" style="158" customWidth="1"/>
    <col min="12048" max="12289" width="9.140625" style="158"/>
    <col min="12290" max="12290" width="25.7109375" style="158" customWidth="1"/>
    <col min="12291" max="12292" width="9.140625" style="158"/>
    <col min="12293" max="12293" width="2.7109375" style="158" customWidth="1"/>
    <col min="12294" max="12294" width="9.140625" style="158"/>
    <col min="12295" max="12295" width="10.7109375" style="158" customWidth="1"/>
    <col min="12296" max="12296" width="2.7109375" style="158" customWidth="1"/>
    <col min="12297" max="12298" width="9.140625" style="158"/>
    <col min="12299" max="12299" width="9.28515625" style="158" bestFit="1" customWidth="1"/>
    <col min="12300" max="12301" width="9.140625" style="158"/>
    <col min="12302" max="12303" width="10.7109375" style="158" customWidth="1"/>
    <col min="12304" max="12545" width="9.140625" style="158"/>
    <col min="12546" max="12546" width="25.7109375" style="158" customWidth="1"/>
    <col min="12547" max="12548" width="9.140625" style="158"/>
    <col min="12549" max="12549" width="2.7109375" style="158" customWidth="1"/>
    <col min="12550" max="12550" width="9.140625" style="158"/>
    <col min="12551" max="12551" width="10.7109375" style="158" customWidth="1"/>
    <col min="12552" max="12552" width="2.7109375" style="158" customWidth="1"/>
    <col min="12553" max="12554" width="9.140625" style="158"/>
    <col min="12555" max="12555" width="9.28515625" style="158" bestFit="1" customWidth="1"/>
    <col min="12556" max="12557" width="9.140625" style="158"/>
    <col min="12558" max="12559" width="10.7109375" style="158" customWidth="1"/>
    <col min="12560" max="12801" width="9.140625" style="158"/>
    <col min="12802" max="12802" width="25.7109375" style="158" customWidth="1"/>
    <col min="12803" max="12804" width="9.140625" style="158"/>
    <col min="12805" max="12805" width="2.7109375" style="158" customWidth="1"/>
    <col min="12806" max="12806" width="9.140625" style="158"/>
    <col min="12807" max="12807" width="10.7109375" style="158" customWidth="1"/>
    <col min="12808" max="12808" width="2.7109375" style="158" customWidth="1"/>
    <col min="12809" max="12810" width="9.140625" style="158"/>
    <col min="12811" max="12811" width="9.28515625" style="158" bestFit="1" customWidth="1"/>
    <col min="12812" max="12813" width="9.140625" style="158"/>
    <col min="12814" max="12815" width="10.7109375" style="158" customWidth="1"/>
    <col min="12816" max="13057" width="9.140625" style="158"/>
    <col min="13058" max="13058" width="25.7109375" style="158" customWidth="1"/>
    <col min="13059" max="13060" width="9.140625" style="158"/>
    <col min="13061" max="13061" width="2.7109375" style="158" customWidth="1"/>
    <col min="13062" max="13062" width="9.140625" style="158"/>
    <col min="13063" max="13063" width="10.7109375" style="158" customWidth="1"/>
    <col min="13064" max="13064" width="2.7109375" style="158" customWidth="1"/>
    <col min="13065" max="13066" width="9.140625" style="158"/>
    <col min="13067" max="13067" width="9.28515625" style="158" bestFit="1" customWidth="1"/>
    <col min="13068" max="13069" width="9.140625" style="158"/>
    <col min="13070" max="13071" width="10.7109375" style="158" customWidth="1"/>
    <col min="13072" max="13313" width="9.140625" style="158"/>
    <col min="13314" max="13314" width="25.7109375" style="158" customWidth="1"/>
    <col min="13315" max="13316" width="9.140625" style="158"/>
    <col min="13317" max="13317" width="2.7109375" style="158" customWidth="1"/>
    <col min="13318" max="13318" width="9.140625" style="158"/>
    <col min="13319" max="13319" width="10.7109375" style="158" customWidth="1"/>
    <col min="13320" max="13320" width="2.7109375" style="158" customWidth="1"/>
    <col min="13321" max="13322" width="9.140625" style="158"/>
    <col min="13323" max="13323" width="9.28515625" style="158" bestFit="1" customWidth="1"/>
    <col min="13324" max="13325" width="9.140625" style="158"/>
    <col min="13326" max="13327" width="10.7109375" style="158" customWidth="1"/>
    <col min="13328" max="13569" width="9.140625" style="158"/>
    <col min="13570" max="13570" width="25.7109375" style="158" customWidth="1"/>
    <col min="13571" max="13572" width="9.140625" style="158"/>
    <col min="13573" max="13573" width="2.7109375" style="158" customWidth="1"/>
    <col min="13574" max="13574" width="9.140625" style="158"/>
    <col min="13575" max="13575" width="10.7109375" style="158" customWidth="1"/>
    <col min="13576" max="13576" width="2.7109375" style="158" customWidth="1"/>
    <col min="13577" max="13578" width="9.140625" style="158"/>
    <col min="13579" max="13579" width="9.28515625" style="158" bestFit="1" customWidth="1"/>
    <col min="13580" max="13581" width="9.140625" style="158"/>
    <col min="13582" max="13583" width="10.7109375" style="158" customWidth="1"/>
    <col min="13584" max="13825" width="9.140625" style="158"/>
    <col min="13826" max="13826" width="25.7109375" style="158" customWidth="1"/>
    <col min="13827" max="13828" width="9.140625" style="158"/>
    <col min="13829" max="13829" width="2.7109375" style="158" customWidth="1"/>
    <col min="13830" max="13830" width="9.140625" style="158"/>
    <col min="13831" max="13831" width="10.7109375" style="158" customWidth="1"/>
    <col min="13832" max="13832" width="2.7109375" style="158" customWidth="1"/>
    <col min="13833" max="13834" width="9.140625" style="158"/>
    <col min="13835" max="13835" width="9.28515625" style="158" bestFit="1" customWidth="1"/>
    <col min="13836" max="13837" width="9.140625" style="158"/>
    <col min="13838" max="13839" width="10.7109375" style="158" customWidth="1"/>
    <col min="13840" max="14081" width="9.140625" style="158"/>
    <col min="14082" max="14082" width="25.7109375" style="158" customWidth="1"/>
    <col min="14083" max="14084" width="9.140625" style="158"/>
    <col min="14085" max="14085" width="2.7109375" style="158" customWidth="1"/>
    <col min="14086" max="14086" width="9.140625" style="158"/>
    <col min="14087" max="14087" width="10.7109375" style="158" customWidth="1"/>
    <col min="14088" max="14088" width="2.7109375" style="158" customWidth="1"/>
    <col min="14089" max="14090" width="9.140625" style="158"/>
    <col min="14091" max="14091" width="9.28515625" style="158" bestFit="1" customWidth="1"/>
    <col min="14092" max="14093" width="9.140625" style="158"/>
    <col min="14094" max="14095" width="10.7109375" style="158" customWidth="1"/>
    <col min="14096" max="14337" width="9.140625" style="158"/>
    <col min="14338" max="14338" width="25.7109375" style="158" customWidth="1"/>
    <col min="14339" max="14340" width="9.140625" style="158"/>
    <col min="14341" max="14341" width="2.7109375" style="158" customWidth="1"/>
    <col min="14342" max="14342" width="9.140625" style="158"/>
    <col min="14343" max="14343" width="10.7109375" style="158" customWidth="1"/>
    <col min="14344" max="14344" width="2.7109375" style="158" customWidth="1"/>
    <col min="14345" max="14346" width="9.140625" style="158"/>
    <col min="14347" max="14347" width="9.28515625" style="158" bestFit="1" customWidth="1"/>
    <col min="14348" max="14349" width="9.140625" style="158"/>
    <col min="14350" max="14351" width="10.7109375" style="158" customWidth="1"/>
    <col min="14352" max="14593" width="9.140625" style="158"/>
    <col min="14594" max="14594" width="25.7109375" style="158" customWidth="1"/>
    <col min="14595" max="14596" width="9.140625" style="158"/>
    <col min="14597" max="14597" width="2.7109375" style="158" customWidth="1"/>
    <col min="14598" max="14598" width="9.140625" style="158"/>
    <col min="14599" max="14599" width="10.7109375" style="158" customWidth="1"/>
    <col min="14600" max="14600" width="2.7109375" style="158" customWidth="1"/>
    <col min="14601" max="14602" width="9.140625" style="158"/>
    <col min="14603" max="14603" width="9.28515625" style="158" bestFit="1" customWidth="1"/>
    <col min="14604" max="14605" width="9.140625" style="158"/>
    <col min="14606" max="14607" width="10.7109375" style="158" customWidth="1"/>
    <col min="14608" max="14849" width="9.140625" style="158"/>
    <col min="14850" max="14850" width="25.7109375" style="158" customWidth="1"/>
    <col min="14851" max="14852" width="9.140625" style="158"/>
    <col min="14853" max="14853" width="2.7109375" style="158" customWidth="1"/>
    <col min="14854" max="14854" width="9.140625" style="158"/>
    <col min="14855" max="14855" width="10.7109375" style="158" customWidth="1"/>
    <col min="14856" max="14856" width="2.7109375" style="158" customWidth="1"/>
    <col min="14857" max="14858" width="9.140625" style="158"/>
    <col min="14859" max="14859" width="9.28515625" style="158" bestFit="1" customWidth="1"/>
    <col min="14860" max="14861" width="9.140625" style="158"/>
    <col min="14862" max="14863" width="10.7109375" style="158" customWidth="1"/>
    <col min="14864" max="15105" width="9.140625" style="158"/>
    <col min="15106" max="15106" width="25.7109375" style="158" customWidth="1"/>
    <col min="15107" max="15108" width="9.140625" style="158"/>
    <col min="15109" max="15109" width="2.7109375" style="158" customWidth="1"/>
    <col min="15110" max="15110" width="9.140625" style="158"/>
    <col min="15111" max="15111" width="10.7109375" style="158" customWidth="1"/>
    <col min="15112" max="15112" width="2.7109375" style="158" customWidth="1"/>
    <col min="15113" max="15114" width="9.140625" style="158"/>
    <col min="15115" max="15115" width="9.28515625" style="158" bestFit="1" customWidth="1"/>
    <col min="15116" max="15117" width="9.140625" style="158"/>
    <col min="15118" max="15119" width="10.7109375" style="158" customWidth="1"/>
    <col min="15120" max="15361" width="9.140625" style="158"/>
    <col min="15362" max="15362" width="25.7109375" style="158" customWidth="1"/>
    <col min="15363" max="15364" width="9.140625" style="158"/>
    <col min="15365" max="15365" width="2.7109375" style="158" customWidth="1"/>
    <col min="15366" max="15366" width="9.140625" style="158"/>
    <col min="15367" max="15367" width="10.7109375" style="158" customWidth="1"/>
    <col min="15368" max="15368" width="2.7109375" style="158" customWidth="1"/>
    <col min="15369" max="15370" width="9.140625" style="158"/>
    <col min="15371" max="15371" width="9.28515625" style="158" bestFit="1" customWidth="1"/>
    <col min="15372" max="15373" width="9.140625" style="158"/>
    <col min="15374" max="15375" width="10.7109375" style="158" customWidth="1"/>
    <col min="15376" max="15617" width="9.140625" style="158"/>
    <col min="15618" max="15618" width="25.7109375" style="158" customWidth="1"/>
    <col min="15619" max="15620" width="9.140625" style="158"/>
    <col min="15621" max="15621" width="2.7109375" style="158" customWidth="1"/>
    <col min="15622" max="15622" width="9.140625" style="158"/>
    <col min="15623" max="15623" width="10.7109375" style="158" customWidth="1"/>
    <col min="15624" max="15624" width="2.7109375" style="158" customWidth="1"/>
    <col min="15625" max="15626" width="9.140625" style="158"/>
    <col min="15627" max="15627" width="9.28515625" style="158" bestFit="1" customWidth="1"/>
    <col min="15628" max="15629" width="9.140625" style="158"/>
    <col min="15630" max="15631" width="10.7109375" style="158" customWidth="1"/>
    <col min="15632" max="15873" width="9.140625" style="158"/>
    <col min="15874" max="15874" width="25.7109375" style="158" customWidth="1"/>
    <col min="15875" max="15876" width="9.140625" style="158"/>
    <col min="15877" max="15877" width="2.7109375" style="158" customWidth="1"/>
    <col min="15878" max="15878" width="9.140625" style="158"/>
    <col min="15879" max="15879" width="10.7109375" style="158" customWidth="1"/>
    <col min="15880" max="15880" width="2.7109375" style="158" customWidth="1"/>
    <col min="15881" max="15882" width="9.140625" style="158"/>
    <col min="15883" max="15883" width="9.28515625" style="158" bestFit="1" customWidth="1"/>
    <col min="15884" max="15885" width="9.140625" style="158"/>
    <col min="15886" max="15887" width="10.7109375" style="158" customWidth="1"/>
    <col min="15888" max="16129" width="9.140625" style="158"/>
    <col min="16130" max="16130" width="25.7109375" style="158" customWidth="1"/>
    <col min="16131" max="16132" width="9.140625" style="158"/>
    <col min="16133" max="16133" width="2.7109375" style="158" customWidth="1"/>
    <col min="16134" max="16134" width="9.140625" style="158"/>
    <col min="16135" max="16135" width="10.7109375" style="158" customWidth="1"/>
    <col min="16136" max="16136" width="2.7109375" style="158" customWidth="1"/>
    <col min="16137" max="16138" width="9.140625" style="158"/>
    <col min="16139" max="16139" width="9.28515625" style="158" bestFit="1" customWidth="1"/>
    <col min="16140" max="16141" width="9.140625" style="158"/>
    <col min="16142" max="16143" width="10.7109375" style="158" customWidth="1"/>
    <col min="16144" max="16384" width="9.140625" style="158"/>
  </cols>
  <sheetData>
    <row r="2" spans="2:23" ht="20.25" x14ac:dyDescent="0.3">
      <c r="B2" s="164" t="s">
        <v>642</v>
      </c>
      <c r="R2" s="158" t="s">
        <v>624</v>
      </c>
    </row>
    <row r="3" spans="2:23" ht="13.5" thickBot="1" x14ac:dyDescent="0.25">
      <c r="R3" s="158" t="s">
        <v>625</v>
      </c>
    </row>
    <row r="4" spans="2:23" ht="15.75" x14ac:dyDescent="0.25">
      <c r="B4" s="346" t="s">
        <v>626</v>
      </c>
      <c r="C4" s="397" t="s">
        <v>1</v>
      </c>
      <c r="D4" s="397" t="s">
        <v>15</v>
      </c>
      <c r="E4" s="294"/>
      <c r="F4" s="293" t="s">
        <v>473</v>
      </c>
      <c r="G4" s="296" t="s">
        <v>15</v>
      </c>
      <c r="I4" s="337" t="s">
        <v>529</v>
      </c>
      <c r="J4" s="347"/>
      <c r="N4" s="348" t="s">
        <v>1</v>
      </c>
      <c r="O4" s="349" t="s">
        <v>15</v>
      </c>
      <c r="P4" s="408" t="s">
        <v>504</v>
      </c>
      <c r="R4" s="542" t="s">
        <v>16</v>
      </c>
      <c r="S4" s="418" t="s">
        <v>16</v>
      </c>
      <c r="T4" s="299" t="s">
        <v>16</v>
      </c>
      <c r="W4" s="507" t="s">
        <v>504</v>
      </c>
    </row>
    <row r="5" spans="2:23" x14ac:dyDescent="0.2">
      <c r="B5" s="316"/>
      <c r="C5" s="302" t="s">
        <v>328</v>
      </c>
      <c r="D5" s="302" t="s">
        <v>328</v>
      </c>
      <c r="E5" s="317"/>
      <c r="F5" s="301" t="s">
        <v>3</v>
      </c>
      <c r="G5" s="304" t="s">
        <v>3</v>
      </c>
      <c r="I5" s="320"/>
      <c r="J5" s="322"/>
      <c r="N5" s="351" t="s">
        <v>3</v>
      </c>
      <c r="O5" s="352" t="s">
        <v>3</v>
      </c>
      <c r="P5" s="362" t="s">
        <v>506</v>
      </c>
      <c r="R5" s="320" t="s">
        <v>627</v>
      </c>
      <c r="S5" s="321" t="s">
        <v>364</v>
      </c>
      <c r="T5" s="322" t="s">
        <v>116</v>
      </c>
      <c r="W5" s="508" t="s">
        <v>506</v>
      </c>
    </row>
    <row r="6" spans="2:23" x14ac:dyDescent="0.2">
      <c r="B6" s="308" t="s">
        <v>0</v>
      </c>
      <c r="C6" s="398" t="s">
        <v>0</v>
      </c>
      <c r="D6" s="398" t="s">
        <v>0</v>
      </c>
      <c r="E6" s="358"/>
      <c r="F6" s="399" t="s">
        <v>0</v>
      </c>
      <c r="G6" s="400" t="s">
        <v>0</v>
      </c>
      <c r="I6" s="313" t="s">
        <v>476</v>
      </c>
      <c r="J6" s="315" t="s">
        <v>477</v>
      </c>
      <c r="N6" s="351" t="s">
        <v>223</v>
      </c>
      <c r="O6" s="352" t="s">
        <v>223</v>
      </c>
      <c r="P6" s="362" t="s">
        <v>3</v>
      </c>
      <c r="R6" s="419" t="s">
        <v>628</v>
      </c>
      <c r="S6" s="429" t="s">
        <v>628</v>
      </c>
      <c r="T6" s="420"/>
      <c r="W6" s="508" t="s">
        <v>629</v>
      </c>
    </row>
    <row r="7" spans="2:23" x14ac:dyDescent="0.2">
      <c r="B7" s="316"/>
      <c r="C7" s="317"/>
      <c r="D7" s="317"/>
      <c r="E7" s="317"/>
      <c r="F7" s="318"/>
      <c r="G7" s="319"/>
      <c r="I7" s="320"/>
      <c r="J7" s="322"/>
      <c r="N7" s="167"/>
      <c r="O7" s="191"/>
      <c r="P7" s="362"/>
      <c r="R7" s="320"/>
      <c r="S7" s="321"/>
      <c r="T7" s="322"/>
      <c r="W7" s="508"/>
    </row>
    <row r="8" spans="2:23" x14ac:dyDescent="0.2">
      <c r="B8" s="316"/>
      <c r="C8" s="317"/>
      <c r="D8" s="317"/>
      <c r="E8" s="317"/>
      <c r="F8" s="318"/>
      <c r="G8" s="319"/>
      <c r="I8" s="320"/>
      <c r="J8" s="322"/>
      <c r="N8" s="167"/>
      <c r="O8" s="191"/>
      <c r="P8" s="362"/>
      <c r="R8" s="320"/>
      <c r="S8" s="321"/>
      <c r="T8" s="322"/>
      <c r="W8" s="548"/>
    </row>
    <row r="9" spans="2:23" x14ac:dyDescent="0.2">
      <c r="B9" s="316" t="s">
        <v>485</v>
      </c>
      <c r="C9" s="323">
        <v>0.4</v>
      </c>
      <c r="D9" s="323">
        <v>0.5</v>
      </c>
      <c r="E9" s="317"/>
      <c r="F9" s="324">
        <v>20</v>
      </c>
      <c r="G9" s="325">
        <v>10</v>
      </c>
      <c r="I9" s="326">
        <f>(C9-D9)*((1+G9/100)/(1+G$23/100)-1)</f>
        <v>-1.522842639593924E-3</v>
      </c>
      <c r="J9" s="328">
        <f>C9*((1+F9/100)/(1+G9/100)-1)*(1+G9/100)/(1+P$23/100)</f>
        <v>3.7105751391465651E-2</v>
      </c>
      <c r="N9" s="414">
        <f>+C9*F9</f>
        <v>8</v>
      </c>
      <c r="O9" s="415">
        <f>+D9*G9</f>
        <v>5</v>
      </c>
      <c r="P9" s="416">
        <f>+C9*G9</f>
        <v>4</v>
      </c>
      <c r="Q9" s="190"/>
      <c r="R9" s="549">
        <f>+C9*F9</f>
        <v>8</v>
      </c>
      <c r="S9" s="550"/>
      <c r="T9" s="551"/>
      <c r="W9" s="548">
        <f>+C9*G9</f>
        <v>4</v>
      </c>
    </row>
    <row r="10" spans="2:23" x14ac:dyDescent="0.2">
      <c r="B10" s="316"/>
      <c r="C10" s="323"/>
      <c r="D10" s="323"/>
      <c r="E10" s="317"/>
      <c r="F10" s="324"/>
      <c r="G10" s="325"/>
      <c r="I10" s="326"/>
      <c r="J10" s="328"/>
      <c r="N10" s="414"/>
      <c r="O10" s="415"/>
      <c r="P10" s="416"/>
      <c r="Q10" s="190"/>
      <c r="R10" s="549"/>
      <c r="S10" s="550"/>
      <c r="T10" s="551"/>
      <c r="W10" s="548"/>
    </row>
    <row r="11" spans="2:23" x14ac:dyDescent="0.2">
      <c r="B11" s="316" t="s">
        <v>487</v>
      </c>
      <c r="C11" s="323">
        <v>0.55000000000000004</v>
      </c>
      <c r="D11" s="323">
        <v>0.4</v>
      </c>
      <c r="E11" s="317"/>
      <c r="F11" s="324">
        <v>6</v>
      </c>
      <c r="G11" s="325">
        <v>8</v>
      </c>
      <c r="I11" s="326">
        <f>(C11-D11)*((1+G11/100)/(1+G$23/100)-1)</f>
        <v>-4.8454083987076185E-4</v>
      </c>
      <c r="J11" s="328">
        <f>C11*((1+F11/100)/(1+G11/100)-1)*(1+G11/100)/(1+P$23/100)</f>
        <v>-1.0204081632653047E-2</v>
      </c>
      <c r="N11" s="414">
        <f>+C11*F11</f>
        <v>3.3000000000000003</v>
      </c>
      <c r="O11" s="415">
        <f>+D11*G11</f>
        <v>3.2</v>
      </c>
      <c r="P11" s="416">
        <f>+C11*G11</f>
        <v>4.4000000000000004</v>
      </c>
      <c r="Q11" s="190"/>
      <c r="R11" s="549"/>
      <c r="S11" s="550">
        <f>+C11*F11</f>
        <v>3.3000000000000003</v>
      </c>
      <c r="T11" s="551"/>
      <c r="W11" s="548">
        <f>+C11*G11</f>
        <v>4.4000000000000004</v>
      </c>
    </row>
    <row r="12" spans="2:23" x14ac:dyDescent="0.2">
      <c r="B12" s="316"/>
      <c r="C12" s="323"/>
      <c r="D12" s="323"/>
      <c r="E12" s="317"/>
      <c r="F12" s="324"/>
      <c r="G12" s="325"/>
      <c r="I12" s="326"/>
      <c r="J12" s="328"/>
      <c r="N12" s="414"/>
      <c r="O12" s="415"/>
      <c r="P12" s="416"/>
      <c r="Q12" s="190"/>
      <c r="R12" s="549"/>
      <c r="S12" s="550"/>
      <c r="T12" s="551"/>
      <c r="W12" s="548"/>
    </row>
    <row r="13" spans="2:23" x14ac:dyDescent="0.2">
      <c r="B13" s="316" t="s">
        <v>116</v>
      </c>
      <c r="C13" s="323">
        <v>0.05</v>
      </c>
      <c r="D13" s="323">
        <v>0.1</v>
      </c>
      <c r="E13" s="317"/>
      <c r="F13" s="324">
        <v>1.4</v>
      </c>
      <c r="G13" s="325">
        <v>1.5</v>
      </c>
      <c r="I13" s="326">
        <f>(C13-D13)*((1+G13/100)/(1+G$23/100)-1)</f>
        <v>3.1610521458237174E-3</v>
      </c>
      <c r="J13" s="328">
        <f>C13*((1+F13/100)/(1+G13/100)-1)*(1+G13/100)/(1+P$23/100)</f>
        <v>-4.6382189239324715E-5</v>
      </c>
      <c r="N13" s="414">
        <f>+C13*F13</f>
        <v>6.9999999999999993E-2</v>
      </c>
      <c r="O13" s="415">
        <f>+D13*G13</f>
        <v>0.15000000000000002</v>
      </c>
      <c r="P13" s="416">
        <f>+C13*G13</f>
        <v>7.5000000000000011E-2</v>
      </c>
      <c r="Q13" s="190"/>
      <c r="R13" s="549"/>
      <c r="S13" s="550"/>
      <c r="T13" s="551">
        <f>+C13*F13</f>
        <v>6.9999999999999993E-2</v>
      </c>
      <c r="W13" s="548">
        <f>+C13*G13</f>
        <v>7.5000000000000011E-2</v>
      </c>
    </row>
    <row r="14" spans="2:23" x14ac:dyDescent="0.2">
      <c r="B14" s="316"/>
      <c r="C14" s="323"/>
      <c r="D14" s="323"/>
      <c r="E14" s="317"/>
      <c r="F14" s="324"/>
      <c r="G14" s="325"/>
      <c r="I14" s="326"/>
      <c r="J14" s="328"/>
      <c r="N14" s="414"/>
      <c r="O14" s="415"/>
      <c r="P14" s="416"/>
      <c r="Q14" s="190"/>
      <c r="R14" s="549"/>
      <c r="S14" s="550"/>
      <c r="T14" s="551"/>
      <c r="W14" s="548"/>
    </row>
    <row r="15" spans="2:23" x14ac:dyDescent="0.2">
      <c r="B15" s="316" t="s">
        <v>630</v>
      </c>
      <c r="C15" s="323">
        <v>0.05</v>
      </c>
      <c r="D15" s="323">
        <v>0</v>
      </c>
      <c r="E15" s="317"/>
      <c r="F15" s="324">
        <v>9.5</v>
      </c>
      <c r="G15" s="325">
        <v>9.9</v>
      </c>
      <c r="I15" s="326">
        <f>(C15-D15)*((1+G15/100)/(1+G$23/100)-1)</f>
        <v>7.1527457314259915E-4</v>
      </c>
      <c r="J15" s="328">
        <f>C15*((1+F15/100)/(1+G15/100)-1)*(1+G15/100)/(1+P$23/100)</f>
        <v>-1.8552875695732995E-4</v>
      </c>
      <c r="N15" s="414">
        <f>+C15*F15</f>
        <v>0.47500000000000003</v>
      </c>
      <c r="O15" s="415">
        <f>+D15*G15</f>
        <v>0</v>
      </c>
      <c r="P15" s="416">
        <f>+C15*G15</f>
        <v>0.49500000000000005</v>
      </c>
      <c r="Q15" s="190"/>
      <c r="R15" s="549">
        <f>+C15*F15</f>
        <v>0.47500000000000003</v>
      </c>
      <c r="S15" s="550"/>
      <c r="T15" s="551"/>
      <c r="W15" s="548">
        <f>+C15*G9</f>
        <v>0.5</v>
      </c>
    </row>
    <row r="16" spans="2:23" x14ac:dyDescent="0.2">
      <c r="B16" s="316"/>
      <c r="C16" s="323"/>
      <c r="D16" s="323"/>
      <c r="E16" s="317"/>
      <c r="F16" s="324"/>
      <c r="G16" s="325"/>
      <c r="I16" s="326"/>
      <c r="J16" s="328"/>
      <c r="N16" s="414"/>
      <c r="O16" s="415"/>
      <c r="P16" s="416"/>
      <c r="Q16" s="190"/>
      <c r="R16" s="549"/>
      <c r="S16" s="550"/>
      <c r="T16" s="551"/>
      <c r="W16" s="548"/>
    </row>
    <row r="17" spans="2:24" x14ac:dyDescent="0.2">
      <c r="B17" s="316" t="s">
        <v>631</v>
      </c>
      <c r="C17" s="323">
        <v>-0.15</v>
      </c>
      <c r="D17" s="323">
        <v>0</v>
      </c>
      <c r="E17" s="317"/>
      <c r="F17" s="324">
        <v>8.6</v>
      </c>
      <c r="G17" s="325">
        <v>8.5</v>
      </c>
      <c r="I17" s="326">
        <f>(C17-D17)*((1+G17/100)/(1+G$23/100)-1)</f>
        <v>-2.0766035994461695E-4</v>
      </c>
      <c r="J17" s="328">
        <f>C17*((1+F17/100)/(1+G17/100)-1)*(1+G17/100)/(1+P$23/100)</f>
        <v>-1.3914656771799903E-4</v>
      </c>
      <c r="N17" s="414">
        <f>+C17*F17</f>
        <v>-1.2899999999999998</v>
      </c>
      <c r="O17" s="415">
        <f>+D17*G17</f>
        <v>0</v>
      </c>
      <c r="P17" s="416">
        <f>+C17*G17</f>
        <v>-1.2749999999999999</v>
      </c>
      <c r="Q17" s="190"/>
      <c r="R17" s="549"/>
      <c r="S17" s="550">
        <f>+C17*F17</f>
        <v>-1.2899999999999998</v>
      </c>
      <c r="T17" s="551"/>
      <c r="W17" s="548">
        <f>+C17*G11</f>
        <v>-1.2</v>
      </c>
    </row>
    <row r="18" spans="2:24" x14ac:dyDescent="0.2">
      <c r="B18" s="316"/>
      <c r="C18" s="323"/>
      <c r="D18" s="323"/>
      <c r="E18" s="317"/>
      <c r="F18" s="324"/>
      <c r="G18" s="325"/>
      <c r="I18" s="326"/>
      <c r="J18" s="328"/>
      <c r="N18" s="414"/>
      <c r="O18" s="415"/>
      <c r="P18" s="416"/>
      <c r="Q18" s="190"/>
      <c r="R18" s="549"/>
      <c r="S18" s="550"/>
      <c r="T18" s="551"/>
      <c r="W18" s="548"/>
    </row>
    <row r="19" spans="2:24" x14ac:dyDescent="0.2">
      <c r="B19" s="316" t="s">
        <v>632</v>
      </c>
      <c r="C19" s="323">
        <f>-C15</f>
        <v>-0.05</v>
      </c>
      <c r="D19" s="323">
        <v>0</v>
      </c>
      <c r="E19" s="317"/>
      <c r="F19" s="324">
        <v>1.5</v>
      </c>
      <c r="G19" s="325">
        <v>1.5</v>
      </c>
      <c r="I19" s="326">
        <f>(C19-D19)*((1+G19/100)/(1+G$23/100)-1)</f>
        <v>3.1610521458237174E-3</v>
      </c>
      <c r="J19" s="328">
        <f>C19*((1+F19/100)/(1+G19/100)-1)*(1+G19/100)/(1+P$23/100)</f>
        <v>0</v>
      </c>
      <c r="N19" s="414">
        <f>+C19*F19</f>
        <v>-7.5000000000000011E-2</v>
      </c>
      <c r="O19" s="415">
        <f>+D19*G19</f>
        <v>0</v>
      </c>
      <c r="P19" s="416">
        <f>+C19*G19</f>
        <v>-7.5000000000000011E-2</v>
      </c>
      <c r="Q19" s="190"/>
      <c r="R19" s="549"/>
      <c r="S19" s="550"/>
      <c r="T19" s="551">
        <f>+C19*F19</f>
        <v>-7.5000000000000011E-2</v>
      </c>
      <c r="W19" s="548">
        <f>+G13*C19</f>
        <v>-7.5000000000000011E-2</v>
      </c>
    </row>
    <row r="20" spans="2:24" x14ac:dyDescent="0.2">
      <c r="B20" s="316"/>
      <c r="C20" s="323"/>
      <c r="D20" s="323"/>
      <c r="E20" s="317"/>
      <c r="F20" s="324"/>
      <c r="G20" s="325"/>
      <c r="I20" s="326"/>
      <c r="J20" s="328"/>
      <c r="N20" s="414"/>
      <c r="O20" s="415"/>
      <c r="P20" s="416"/>
      <c r="Q20" s="190"/>
      <c r="R20" s="549"/>
      <c r="S20" s="550"/>
      <c r="T20" s="551"/>
      <c r="W20" s="548"/>
    </row>
    <row r="21" spans="2:24" x14ac:dyDescent="0.2">
      <c r="B21" s="316" t="s">
        <v>633</v>
      </c>
      <c r="C21" s="323">
        <f>-C17</f>
        <v>0.15</v>
      </c>
      <c r="D21" s="323">
        <v>0</v>
      </c>
      <c r="E21" s="317"/>
      <c r="F21" s="318">
        <v>1.2</v>
      </c>
      <c r="G21" s="319">
        <v>1.2</v>
      </c>
      <c r="I21" s="326">
        <f>(C21-D21)*((1+G21/100)/(1+G$23/100)-1)</f>
        <v>-9.8984771573603861E-3</v>
      </c>
      <c r="J21" s="328">
        <f>C21*((1+F21/100)/(1+G21/100)-1)*(1+G21/100)/(1+P$23/100)</f>
        <v>0</v>
      </c>
      <c r="N21" s="414">
        <f>+C21*F21</f>
        <v>0.18</v>
      </c>
      <c r="O21" s="415">
        <f>+D21*G21</f>
        <v>0</v>
      </c>
      <c r="P21" s="416">
        <f>+C21*G21</f>
        <v>0.18</v>
      </c>
      <c r="Q21" s="190"/>
      <c r="R21" s="549"/>
      <c r="S21" s="550"/>
      <c r="T21" s="551">
        <f>+C21*F21</f>
        <v>0.18</v>
      </c>
      <c r="W21" s="548">
        <f>+C21*G13</f>
        <v>0.22499999999999998</v>
      </c>
    </row>
    <row r="22" spans="2:24" x14ac:dyDescent="0.2">
      <c r="B22" s="316"/>
      <c r="C22" s="323"/>
      <c r="D22" s="323"/>
      <c r="E22" s="317"/>
      <c r="F22" s="318"/>
      <c r="G22" s="319"/>
      <c r="I22" s="326"/>
      <c r="J22" s="328"/>
      <c r="N22" s="414"/>
      <c r="O22" s="415"/>
      <c r="P22" s="416"/>
      <c r="Q22" s="190"/>
      <c r="R22" s="549"/>
      <c r="S22" s="550"/>
      <c r="T22" s="551"/>
      <c r="W22" s="508"/>
    </row>
    <row r="23" spans="2:24" ht="13.5" thickBot="1" x14ac:dyDescent="0.25">
      <c r="B23" s="329" t="s">
        <v>16</v>
      </c>
      <c r="C23" s="330">
        <f>SUM(C9:C21)</f>
        <v>1</v>
      </c>
      <c r="D23" s="330">
        <f>SUM(D9:D21)</f>
        <v>1</v>
      </c>
      <c r="E23" s="331"/>
      <c r="F23" s="332">
        <f>+N23</f>
        <v>10.660000000000002</v>
      </c>
      <c r="G23" s="333">
        <f>+O23</f>
        <v>8.35</v>
      </c>
      <c r="H23" s="171"/>
      <c r="I23" s="334">
        <f>SUM(I9:I21)</f>
        <v>-5.0761421319796551E-3</v>
      </c>
      <c r="J23" s="336">
        <f>SUM(J9:J22)</f>
        <v>2.6530612244897955E-2</v>
      </c>
      <c r="N23" s="363">
        <f>SUM(N9:N21)</f>
        <v>10.660000000000002</v>
      </c>
      <c r="O23" s="364">
        <f>SUM(O9:O13)</f>
        <v>8.35</v>
      </c>
      <c r="P23" s="417">
        <f>SUM(P9:P21)</f>
        <v>7.799999999999998</v>
      </c>
      <c r="Q23" s="190"/>
      <c r="R23" s="552">
        <f>SUM(R9:R21)/(C9+C15)</f>
        <v>18.833333333333332</v>
      </c>
      <c r="S23" s="553">
        <f>SUM(S9:S21)/(C11+C17)</f>
        <v>5.0250000000000012</v>
      </c>
      <c r="T23" s="554">
        <f>SUM(T9:T21)/(C13+C19+C21)</f>
        <v>1.1666666666666667</v>
      </c>
      <c r="W23" s="1296">
        <f>SUM(W9:W21)</f>
        <v>7.9249999999999989</v>
      </c>
    </row>
    <row r="25" spans="2:24" x14ac:dyDescent="0.2">
      <c r="N25" s="158" t="s">
        <v>0</v>
      </c>
      <c r="Q25" s="185"/>
      <c r="X25" s="185" t="s">
        <v>0</v>
      </c>
    </row>
    <row r="26" spans="2:24" ht="15.75" x14ac:dyDescent="0.25">
      <c r="I26" s="422" t="s">
        <v>507</v>
      </c>
      <c r="J26" s="423"/>
      <c r="K26" s="424">
        <f>(1+F23/100)/(1+G23/100)-1</f>
        <v>2.1319796954314851E-2</v>
      </c>
    </row>
    <row r="27" spans="2:24" ht="13.5" thickBot="1" x14ac:dyDescent="0.25">
      <c r="I27" s="425"/>
      <c r="J27" s="321"/>
      <c r="K27" s="426"/>
      <c r="N27" s="158" t="s">
        <v>223</v>
      </c>
    </row>
    <row r="28" spans="2:24" x14ac:dyDescent="0.2">
      <c r="I28" s="425" t="s">
        <v>476</v>
      </c>
      <c r="J28" s="321"/>
      <c r="K28" s="427">
        <f>+I23</f>
        <v>-5.0761421319796551E-3</v>
      </c>
      <c r="N28" s="368">
        <f>+(1+P23/100)/(1+G23/100)-1</f>
        <v>-5.0761421319795996E-3</v>
      </c>
    </row>
    <row r="29" spans="2:24" ht="13.5" thickBot="1" x14ac:dyDescent="0.25">
      <c r="I29" s="425" t="s">
        <v>477</v>
      </c>
      <c r="J29" s="321"/>
      <c r="K29" s="427">
        <f>+J23</f>
        <v>2.6530612244897955E-2</v>
      </c>
      <c r="N29" s="369">
        <f>+(1+F23/100)/(1+P23/100)-1</f>
        <v>2.6530612244897833E-2</v>
      </c>
    </row>
    <row r="30" spans="2:24" x14ac:dyDescent="0.2">
      <c r="I30" s="425" t="s">
        <v>0</v>
      </c>
      <c r="J30" s="321"/>
      <c r="K30" s="427" t="s">
        <v>0</v>
      </c>
    </row>
    <row r="31" spans="2:24" x14ac:dyDescent="0.2">
      <c r="I31" s="428" t="s">
        <v>524</v>
      </c>
      <c r="J31" s="429"/>
      <c r="K31" s="430">
        <f>(1+K26)/((1+K28)*(1+K29))-1</f>
        <v>0</v>
      </c>
    </row>
    <row r="38" spans="2:16" ht="20.25" x14ac:dyDescent="0.3">
      <c r="B38" s="164" t="s">
        <v>645</v>
      </c>
      <c r="C38"/>
      <c r="D38"/>
    </row>
    <row r="39" spans="2:16" ht="13.5" thickBot="1" x14ac:dyDescent="0.25"/>
    <row r="40" spans="2:16" ht="15.75" x14ac:dyDescent="0.25">
      <c r="B40" s="346" t="s">
        <v>626</v>
      </c>
      <c r="C40" s="397" t="s">
        <v>1</v>
      </c>
      <c r="D40" s="397" t="s">
        <v>15</v>
      </c>
      <c r="E40" s="294"/>
      <c r="F40" s="293" t="s">
        <v>473</v>
      </c>
      <c r="G40" s="296" t="s">
        <v>15</v>
      </c>
      <c r="I40" s="337" t="s">
        <v>529</v>
      </c>
      <c r="J40" s="347"/>
      <c r="N40" s="165" t="s">
        <v>634</v>
      </c>
      <c r="O40" s="176" t="s">
        <v>634</v>
      </c>
      <c r="P40" s="408" t="s">
        <v>504</v>
      </c>
    </row>
    <row r="41" spans="2:16" x14ac:dyDescent="0.2">
      <c r="B41" s="316"/>
      <c r="C41" s="302" t="s">
        <v>328</v>
      </c>
      <c r="D41" s="302" t="s">
        <v>328</v>
      </c>
      <c r="E41" s="317"/>
      <c r="F41" s="301" t="s">
        <v>3</v>
      </c>
      <c r="G41" s="304" t="s">
        <v>3</v>
      </c>
      <c r="I41" s="320"/>
      <c r="J41" s="322"/>
      <c r="N41" s="167" t="s">
        <v>3</v>
      </c>
      <c r="O41" s="191" t="s">
        <v>521</v>
      </c>
      <c r="P41" s="362" t="s">
        <v>506</v>
      </c>
    </row>
    <row r="42" spans="2:16" x14ac:dyDescent="0.2">
      <c r="B42" s="308" t="s">
        <v>635</v>
      </c>
      <c r="C42" s="398" t="s">
        <v>0</v>
      </c>
      <c r="D42" s="398" t="s">
        <v>0</v>
      </c>
      <c r="E42" s="358"/>
      <c r="F42" s="399" t="s">
        <v>0</v>
      </c>
      <c r="G42" s="400" t="s">
        <v>0</v>
      </c>
      <c r="I42" s="313" t="s">
        <v>476</v>
      </c>
      <c r="J42" s="315" t="s">
        <v>477</v>
      </c>
      <c r="N42" s="167" t="s">
        <v>223</v>
      </c>
      <c r="O42" s="191" t="s">
        <v>223</v>
      </c>
      <c r="P42" s="362" t="s">
        <v>629</v>
      </c>
    </row>
    <row r="43" spans="2:16" x14ac:dyDescent="0.2">
      <c r="B43" s="316"/>
      <c r="C43" s="317"/>
      <c r="D43" s="317"/>
      <c r="E43" s="317"/>
      <c r="F43" s="318"/>
      <c r="G43" s="319"/>
      <c r="I43" s="320"/>
      <c r="J43" s="322"/>
      <c r="N43" s="167"/>
      <c r="O43" s="191"/>
      <c r="P43" s="362"/>
    </row>
    <row r="44" spans="2:16" x14ac:dyDescent="0.2">
      <c r="B44" s="316"/>
      <c r="C44" s="317"/>
      <c r="D44" s="317"/>
      <c r="E44" s="317"/>
      <c r="F44" s="318"/>
      <c r="G44" s="319"/>
      <c r="I44" s="320"/>
      <c r="J44" s="322"/>
      <c r="N44" s="167"/>
      <c r="O44" s="191"/>
      <c r="P44" s="362"/>
    </row>
    <row r="45" spans="2:16" x14ac:dyDescent="0.2">
      <c r="B45" s="316" t="s">
        <v>485</v>
      </c>
      <c r="C45" s="323">
        <f>+C9+C15</f>
        <v>0.45</v>
      </c>
      <c r="D45" s="323">
        <v>0.5</v>
      </c>
      <c r="E45" s="317"/>
      <c r="F45" s="324">
        <f>+R23</f>
        <v>18.833333333333332</v>
      </c>
      <c r="G45" s="325">
        <v>10</v>
      </c>
      <c r="I45" s="326">
        <f>(C45-D45)*((1+G45/100)/(1+G$51/100)-1)</f>
        <v>-7.61421319796962E-4</v>
      </c>
      <c r="J45" s="328">
        <f>C45*((1+F45/100)/(1+G45/100)-1)*(1+G45/100)/(1+P$23/100)</f>
        <v>3.6873840445268924E-2</v>
      </c>
      <c r="N45" s="414">
        <f>+C45*F45</f>
        <v>8.4749999999999996</v>
      </c>
      <c r="O45" s="415">
        <f>+D45*G45</f>
        <v>5</v>
      </c>
      <c r="P45" s="416">
        <f>+C45*G45</f>
        <v>4.5</v>
      </c>
    </row>
    <row r="46" spans="2:16" x14ac:dyDescent="0.2">
      <c r="B46" s="316"/>
      <c r="C46" s="323"/>
      <c r="D46" s="323"/>
      <c r="E46" s="317"/>
      <c r="F46" s="324"/>
      <c r="G46" s="325"/>
      <c r="I46" s="326"/>
      <c r="J46" s="328"/>
      <c r="N46" s="414"/>
      <c r="O46" s="415"/>
      <c r="P46" s="416"/>
    </row>
    <row r="47" spans="2:16" x14ac:dyDescent="0.2">
      <c r="B47" s="316" t="s">
        <v>487</v>
      </c>
      <c r="C47" s="323">
        <f>+C11+C17</f>
        <v>0.4</v>
      </c>
      <c r="D47" s="323">
        <v>0.4</v>
      </c>
      <c r="E47" s="317"/>
      <c r="F47" s="324">
        <f>+S23</f>
        <v>5.0250000000000012</v>
      </c>
      <c r="G47" s="325">
        <v>8</v>
      </c>
      <c r="I47" s="326">
        <f>(C47-D47)*((1+G47/100)/(1+G$23/100)-1)</f>
        <v>0</v>
      </c>
      <c r="J47" s="328">
        <f>C47*((1+F47/100)/(1+G47/100)-1)*(1+G47/100)/(1+P$23/100)</f>
        <v>-1.1038961038961105E-2</v>
      </c>
      <c r="N47" s="414">
        <f>+C47*F47</f>
        <v>2.0100000000000007</v>
      </c>
      <c r="O47" s="415">
        <f>+D47*G47</f>
        <v>3.2</v>
      </c>
      <c r="P47" s="416">
        <f>+C47*G47</f>
        <v>3.2</v>
      </c>
    </row>
    <row r="48" spans="2:16" x14ac:dyDescent="0.2">
      <c r="B48" s="316"/>
      <c r="C48" s="323"/>
      <c r="D48" s="323"/>
      <c r="E48" s="317"/>
      <c r="F48" s="324"/>
      <c r="G48" s="325"/>
      <c r="I48" s="326"/>
      <c r="J48" s="328"/>
      <c r="N48" s="414"/>
      <c r="O48" s="415"/>
      <c r="P48" s="416"/>
    </row>
    <row r="49" spans="2:16" x14ac:dyDescent="0.2">
      <c r="B49" s="316" t="s">
        <v>116</v>
      </c>
      <c r="C49" s="323">
        <f>+C13+C19+C21</f>
        <v>0.15</v>
      </c>
      <c r="D49" s="323">
        <v>0.1</v>
      </c>
      <c r="E49" s="317"/>
      <c r="F49" s="324">
        <f>+T23</f>
        <v>1.1666666666666667</v>
      </c>
      <c r="G49" s="325">
        <v>1.5</v>
      </c>
      <c r="I49" s="326">
        <f>(C49-D49)*((1+G49/100)/(1+G$23/100)-1)</f>
        <v>-3.1610521458237165E-3</v>
      </c>
      <c r="J49" s="328">
        <f>C49*((1+F49/100)/(1+G49/100)-1)*(1+G49/100)/(1+P$23/100)</f>
        <v>-4.6382189239330465E-4</v>
      </c>
      <c r="N49" s="414">
        <f>+C49*F49</f>
        <v>0.17500000000000002</v>
      </c>
      <c r="O49" s="415">
        <f>+D49*G49</f>
        <v>0.15000000000000002</v>
      </c>
      <c r="P49" s="416">
        <f>+C49*G49</f>
        <v>0.22499999999999998</v>
      </c>
    </row>
    <row r="50" spans="2:16" x14ac:dyDescent="0.2">
      <c r="B50" s="316"/>
      <c r="C50" s="323"/>
      <c r="D50" s="323"/>
      <c r="E50" s="317"/>
      <c r="F50" s="324"/>
      <c r="G50" s="325"/>
      <c r="I50" s="326"/>
      <c r="J50" s="328"/>
      <c r="N50" s="414"/>
      <c r="O50" s="415"/>
      <c r="P50" s="416"/>
    </row>
    <row r="51" spans="2:16" ht="13.5" thickBot="1" x14ac:dyDescent="0.25">
      <c r="B51" s="329" t="s">
        <v>16</v>
      </c>
      <c r="C51" s="330">
        <f>SUM(C45:C50)</f>
        <v>1</v>
      </c>
      <c r="D51" s="330">
        <f>SUM(D45:D50)</f>
        <v>1</v>
      </c>
      <c r="E51" s="331"/>
      <c r="F51" s="332">
        <f>+F23</f>
        <v>10.660000000000002</v>
      </c>
      <c r="G51" s="333">
        <f>+G23</f>
        <v>8.35</v>
      </c>
      <c r="H51" s="171"/>
      <c r="I51" s="334">
        <f>SUM(I45:I50)</f>
        <v>-3.9224734656206784E-3</v>
      </c>
      <c r="J51" s="336">
        <f>SUM(J45:J50)</f>
        <v>2.5371057513914514E-2</v>
      </c>
      <c r="N51" s="363">
        <f>SUM(N35:N49)</f>
        <v>10.66</v>
      </c>
      <c r="O51" s="364">
        <f>SUM(O45:O49)</f>
        <v>8.35</v>
      </c>
      <c r="P51" s="417">
        <f>SUM(P37:P49)</f>
        <v>7.9249999999999998</v>
      </c>
    </row>
    <row r="53" spans="2:16" ht="13.5" thickBot="1" x14ac:dyDescent="0.25"/>
    <row r="54" spans="2:16" ht="15.75" x14ac:dyDescent="0.25">
      <c r="I54" s="337" t="s">
        <v>507</v>
      </c>
      <c r="J54" s="366"/>
      <c r="K54" s="339">
        <f>(1+F51/100)/(1+G51/100)-1</f>
        <v>2.1319796954314851E-2</v>
      </c>
    </row>
    <row r="55" spans="2:16" x14ac:dyDescent="0.2">
      <c r="I55" s="320"/>
      <c r="J55" s="321"/>
      <c r="K55" s="367"/>
    </row>
    <row r="56" spans="2:16" x14ac:dyDescent="0.2">
      <c r="I56" s="320" t="s">
        <v>476</v>
      </c>
      <c r="J56" s="321"/>
      <c r="K56" s="340">
        <f>+I51</f>
        <v>-3.9224734656206784E-3</v>
      </c>
    </row>
    <row r="57" spans="2:16" x14ac:dyDescent="0.2">
      <c r="I57" s="320" t="s">
        <v>477</v>
      </c>
      <c r="J57" s="321"/>
      <c r="K57" s="340">
        <f>+J51</f>
        <v>2.5371057513914514E-2</v>
      </c>
    </row>
    <row r="58" spans="2:16" x14ac:dyDescent="0.2">
      <c r="I58" s="320" t="s">
        <v>0</v>
      </c>
      <c r="J58" s="321"/>
      <c r="K58" s="340" t="s">
        <v>0</v>
      </c>
    </row>
    <row r="59" spans="2:16" ht="13.5" thickBot="1" x14ac:dyDescent="0.25">
      <c r="I59" s="341" t="s">
        <v>524</v>
      </c>
      <c r="J59" s="342"/>
      <c r="K59" s="343">
        <f>(1+K54)/((1+K56)*(1+K57))-1</f>
        <v>-2.8657973105361556E-5</v>
      </c>
    </row>
    <row r="65" spans="2:16" ht="20.25" x14ac:dyDescent="0.3">
      <c r="B65" s="164" t="s">
        <v>651</v>
      </c>
      <c r="C65"/>
    </row>
    <row r="66" spans="2:16" ht="13.5" thickBot="1" x14ac:dyDescent="0.25"/>
    <row r="67" spans="2:16" ht="15.75" x14ac:dyDescent="0.25">
      <c r="B67" s="346" t="s">
        <v>626</v>
      </c>
      <c r="C67" s="397" t="s">
        <v>1</v>
      </c>
      <c r="D67" s="397" t="s">
        <v>15</v>
      </c>
      <c r="E67" s="294"/>
      <c r="F67" s="293" t="s">
        <v>473</v>
      </c>
      <c r="G67" s="296" t="s">
        <v>15</v>
      </c>
      <c r="I67" s="337"/>
      <c r="J67" s="338" t="s">
        <v>503</v>
      </c>
      <c r="K67" s="418"/>
      <c r="L67" s="299"/>
      <c r="N67" s="165" t="s">
        <v>634</v>
      </c>
      <c r="O67" s="176" t="s">
        <v>634</v>
      </c>
      <c r="P67" s="408" t="s">
        <v>504</v>
      </c>
    </row>
    <row r="68" spans="2:16" x14ac:dyDescent="0.2">
      <c r="B68" s="316"/>
      <c r="C68" s="302" t="s">
        <v>328</v>
      </c>
      <c r="D68" s="302" t="s">
        <v>328</v>
      </c>
      <c r="E68" s="317"/>
      <c r="F68" s="301" t="s">
        <v>3</v>
      </c>
      <c r="G68" s="304" t="s">
        <v>3</v>
      </c>
      <c r="I68" s="305"/>
      <c r="J68" s="306" t="s">
        <v>636</v>
      </c>
      <c r="K68" s="306"/>
      <c r="L68" s="307" t="s">
        <v>636</v>
      </c>
      <c r="N68" s="167" t="s">
        <v>3</v>
      </c>
      <c r="O68" s="191" t="s">
        <v>521</v>
      </c>
      <c r="P68" s="362" t="s">
        <v>506</v>
      </c>
    </row>
    <row r="69" spans="2:16" x14ac:dyDescent="0.2">
      <c r="B69" s="308" t="s">
        <v>637</v>
      </c>
      <c r="C69" s="398" t="s">
        <v>0</v>
      </c>
      <c r="D69" s="398" t="s">
        <v>0</v>
      </c>
      <c r="E69" s="358"/>
      <c r="F69" s="399" t="s">
        <v>0</v>
      </c>
      <c r="G69" s="400" t="s">
        <v>0</v>
      </c>
      <c r="I69" s="313" t="s">
        <v>476</v>
      </c>
      <c r="J69" s="314" t="s">
        <v>638</v>
      </c>
      <c r="K69" s="314" t="s">
        <v>477</v>
      </c>
      <c r="L69" s="315" t="s">
        <v>520</v>
      </c>
      <c r="N69" s="167" t="s">
        <v>223</v>
      </c>
      <c r="O69" s="191" t="s">
        <v>223</v>
      </c>
      <c r="P69" s="362" t="s">
        <v>629</v>
      </c>
    </row>
    <row r="70" spans="2:16" x14ac:dyDescent="0.2">
      <c r="B70" s="316"/>
      <c r="C70" s="317"/>
      <c r="D70" s="317"/>
      <c r="E70" s="317"/>
      <c r="F70" s="318"/>
      <c r="G70" s="319"/>
      <c r="I70" s="320"/>
      <c r="J70" s="321"/>
      <c r="K70" s="321"/>
      <c r="L70" s="322"/>
      <c r="N70" s="167"/>
      <c r="O70" s="191"/>
      <c r="P70" s="362"/>
    </row>
    <row r="71" spans="2:16" x14ac:dyDescent="0.2">
      <c r="B71" s="316"/>
      <c r="C71" s="317"/>
      <c r="D71" s="317"/>
      <c r="E71" s="317"/>
      <c r="F71" s="318"/>
      <c r="G71" s="319"/>
      <c r="I71" s="320"/>
      <c r="J71" s="321"/>
      <c r="K71" s="321"/>
      <c r="L71" s="322"/>
      <c r="N71" s="167"/>
      <c r="O71" s="191"/>
      <c r="P71" s="362"/>
    </row>
    <row r="72" spans="2:16" x14ac:dyDescent="0.2">
      <c r="B72" s="316" t="s">
        <v>485</v>
      </c>
      <c r="C72" s="323">
        <f>+C9+C15</f>
        <v>0.45</v>
      </c>
      <c r="D72" s="323">
        <v>0.5</v>
      </c>
      <c r="E72" s="317"/>
      <c r="F72" s="324">
        <f>+F9</f>
        <v>20</v>
      </c>
      <c r="G72" s="325">
        <v>10</v>
      </c>
      <c r="I72" s="326">
        <f>(C72-D72)*((1+G72/100)/(1+G$78/100)-1)</f>
        <v>-7.61421319796962E-4</v>
      </c>
      <c r="J72" s="327">
        <f>C15*((1+G15/100)/(1+G9/100)-1)*(1+G9/100)/(1+P$23/100)</f>
        <v>-4.6382189239335232E-5</v>
      </c>
      <c r="K72" s="327">
        <f>+J9</f>
        <v>3.7105751391465651E-2</v>
      </c>
      <c r="L72" s="328">
        <f>+J15</f>
        <v>-1.8552875695732995E-4</v>
      </c>
      <c r="M72" s="185" t="s">
        <v>0</v>
      </c>
      <c r="N72" s="167">
        <f>+C72*F72</f>
        <v>9</v>
      </c>
      <c r="O72" s="191">
        <f>+D72*G72</f>
        <v>5</v>
      </c>
      <c r="P72" s="362">
        <f>+C72*G72</f>
        <v>4.5</v>
      </c>
    </row>
    <row r="73" spans="2:16" x14ac:dyDescent="0.2">
      <c r="B73" s="316"/>
      <c r="C73" s="323"/>
      <c r="D73" s="323"/>
      <c r="E73" s="317"/>
      <c r="F73" s="324"/>
      <c r="G73" s="325"/>
      <c r="I73" s="326"/>
      <c r="J73" s="327"/>
      <c r="K73" s="321"/>
      <c r="L73" s="322"/>
      <c r="N73" s="167"/>
      <c r="O73" s="191"/>
      <c r="P73" s="362"/>
    </row>
    <row r="74" spans="2:16" x14ac:dyDescent="0.2">
      <c r="B74" s="316" t="s">
        <v>487</v>
      </c>
      <c r="C74" s="323">
        <f>+C11+C17</f>
        <v>0.4</v>
      </c>
      <c r="D74" s="323">
        <v>0.4</v>
      </c>
      <c r="E74" s="317"/>
      <c r="F74" s="324">
        <f>+F11</f>
        <v>6</v>
      </c>
      <c r="G74" s="325">
        <v>8</v>
      </c>
      <c r="I74" s="326">
        <f>(C74-D74)*((1+G74/100)/(1+G$78/100)-1)</f>
        <v>0</v>
      </c>
      <c r="J74" s="327">
        <f>C17*((1+G17/100)/(1+G11/100)-1)*(1+G11/100)/(1+P$23/100)</f>
        <v>-6.9573283858996777E-4</v>
      </c>
      <c r="K74" s="327">
        <f>+J11</f>
        <v>-1.0204081632653047E-2</v>
      </c>
      <c r="L74" s="328">
        <f>+J17</f>
        <v>-1.3914656771799903E-4</v>
      </c>
      <c r="N74" s="167">
        <f>+C74*F74</f>
        <v>2.4000000000000004</v>
      </c>
      <c r="O74" s="191">
        <f>+D74*G74</f>
        <v>3.2</v>
      </c>
      <c r="P74" s="362">
        <f>+C74*G74</f>
        <v>3.2</v>
      </c>
    </row>
    <row r="75" spans="2:16" x14ac:dyDescent="0.2">
      <c r="B75" s="316"/>
      <c r="C75" s="323"/>
      <c r="D75" s="323"/>
      <c r="E75" s="317"/>
      <c r="F75" s="324"/>
      <c r="G75" s="325"/>
      <c r="I75" s="326"/>
      <c r="J75" s="327"/>
      <c r="K75" s="321"/>
      <c r="L75" s="322"/>
      <c r="N75" s="167"/>
      <c r="O75" s="191"/>
      <c r="P75" s="362"/>
    </row>
    <row r="76" spans="2:16" x14ac:dyDescent="0.2">
      <c r="B76" s="316" t="s">
        <v>116</v>
      </c>
      <c r="C76" s="323">
        <f>+C13+C19+C21</f>
        <v>0.15</v>
      </c>
      <c r="D76" s="323">
        <v>0.1</v>
      </c>
      <c r="E76" s="317"/>
      <c r="F76" s="324">
        <f>+F13</f>
        <v>1.4</v>
      </c>
      <c r="G76" s="325">
        <v>1.5</v>
      </c>
      <c r="I76" s="326">
        <f>(C76-D76)*((1+G76/100)/(1+G$78/100)-1)</f>
        <v>-3.1610521458237165E-3</v>
      </c>
      <c r="J76" s="327">
        <f>C19*((1+G19/100)/(1+G13/100)-1)*(1+G13/100)/(1+P$23/100)+C21*((1+G21/100)/(1+G13/100)-1)*(1+G13/100)/(1+P$23/100)</f>
        <v>-4.1743970315396948E-4</v>
      </c>
      <c r="K76" s="327">
        <f>+J13</f>
        <v>-4.6382189239324715E-5</v>
      </c>
      <c r="L76" s="328">
        <f>+J19</f>
        <v>0</v>
      </c>
      <c r="N76" s="167">
        <f>+C76*F76</f>
        <v>0.21</v>
      </c>
      <c r="O76" s="191">
        <f>+D76*G76</f>
        <v>0.15000000000000002</v>
      </c>
      <c r="P76" s="416">
        <f>+C76*G76</f>
        <v>0.22499999999999998</v>
      </c>
    </row>
    <row r="77" spans="2:16" x14ac:dyDescent="0.2">
      <c r="B77" s="316"/>
      <c r="C77" s="323"/>
      <c r="D77" s="323"/>
      <c r="E77" s="317"/>
      <c r="F77" s="324"/>
      <c r="G77" s="325"/>
      <c r="I77" s="326"/>
      <c r="J77" s="327"/>
      <c r="K77" s="321"/>
      <c r="L77" s="322"/>
      <c r="N77" s="167"/>
      <c r="O77" s="191"/>
      <c r="P77" s="362"/>
    </row>
    <row r="78" spans="2:16" ht="13.5" thickBot="1" x14ac:dyDescent="0.25">
      <c r="B78" s="329" t="s">
        <v>16</v>
      </c>
      <c r="C78" s="330">
        <f>SUM(C72:C77)</f>
        <v>1</v>
      </c>
      <c r="D78" s="330">
        <f>SUM(D72:D77)</f>
        <v>1</v>
      </c>
      <c r="E78" s="331"/>
      <c r="F78" s="332">
        <f>+F23</f>
        <v>10.660000000000002</v>
      </c>
      <c r="G78" s="333">
        <f>+G23</f>
        <v>8.35</v>
      </c>
      <c r="H78" s="171"/>
      <c r="I78" s="334">
        <f>SUM(I72:I77)</f>
        <v>-3.9224734656206784E-3</v>
      </c>
      <c r="J78" s="335">
        <f>SUM(J72:J77)</f>
        <v>-1.1595547309832725E-3</v>
      </c>
      <c r="K78" s="335">
        <f>SUM(K72:K77)</f>
        <v>2.6855287569573283E-2</v>
      </c>
      <c r="L78" s="336">
        <f>SUM(L72:L77)</f>
        <v>-3.2467532467532901E-4</v>
      </c>
      <c r="N78" s="363">
        <f>SUM(N62:N76)</f>
        <v>11.610000000000001</v>
      </c>
      <c r="O78" s="364">
        <f>SUM(O72:O76)</f>
        <v>8.35</v>
      </c>
      <c r="P78" s="417">
        <f>SUM(P64:P76)</f>
        <v>7.9249999999999998</v>
      </c>
    </row>
    <row r="81" spans="9:11" ht="15.75" x14ac:dyDescent="0.25">
      <c r="I81" s="422" t="s">
        <v>507</v>
      </c>
      <c r="J81" s="423"/>
      <c r="K81" s="424">
        <f>(1+F78/100)/(1+G78/100)-1</f>
        <v>2.1319796954314851E-2</v>
      </c>
    </row>
    <row r="82" spans="9:11" x14ac:dyDescent="0.2">
      <c r="I82" s="425"/>
      <c r="J82" s="321"/>
      <c r="K82" s="426"/>
    </row>
    <row r="83" spans="9:11" x14ac:dyDescent="0.2">
      <c r="I83" s="425" t="s">
        <v>476</v>
      </c>
      <c r="J83" s="321"/>
      <c r="K83" s="427">
        <f>+I78</f>
        <v>-3.9224734656206784E-3</v>
      </c>
    </row>
    <row r="84" spans="9:11" x14ac:dyDescent="0.2">
      <c r="I84" s="425" t="s">
        <v>639</v>
      </c>
      <c r="J84" s="321"/>
      <c r="K84" s="427">
        <f>+J78</f>
        <v>-1.1595547309832725E-3</v>
      </c>
    </row>
    <row r="85" spans="9:11" x14ac:dyDescent="0.2">
      <c r="I85" s="425" t="s">
        <v>477</v>
      </c>
      <c r="J85" s="321"/>
      <c r="K85" s="427">
        <f>+K78</f>
        <v>2.6855287569573283E-2</v>
      </c>
    </row>
    <row r="86" spans="9:11" x14ac:dyDescent="0.2">
      <c r="I86" s="425" t="s">
        <v>640</v>
      </c>
      <c r="J86" s="321"/>
      <c r="K86" s="427">
        <f>+L78</f>
        <v>-3.2467532467532901E-4</v>
      </c>
    </row>
    <row r="87" spans="9:11" x14ac:dyDescent="0.2">
      <c r="I87" s="425" t="s">
        <v>0</v>
      </c>
      <c r="J87" s="321"/>
      <c r="K87" s="427" t="s">
        <v>0</v>
      </c>
    </row>
    <row r="88" spans="9:11" x14ac:dyDescent="0.2">
      <c r="I88" s="428" t="s">
        <v>524</v>
      </c>
      <c r="J88" s="429"/>
      <c r="K88" s="430">
        <f>(1+K81)/((1+K83+K84)*(1+K85)*(1+K86))-1</f>
        <v>1.4410153786670321E-5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ACBF-737C-468E-B3D4-0A58B1A66A7B}">
  <dimension ref="B2:W24"/>
  <sheetViews>
    <sheetView workbookViewId="0">
      <selection activeCell="J31" sqref="J31"/>
    </sheetView>
  </sheetViews>
  <sheetFormatPr defaultRowHeight="12.75" x14ac:dyDescent="0.2"/>
  <cols>
    <col min="1" max="1" width="9.140625" style="556"/>
    <col min="2" max="2" width="22.7109375" style="556" customWidth="1"/>
    <col min="3" max="4" width="10.7109375" style="556" customWidth="1"/>
    <col min="5" max="5" width="3.7109375" style="556" customWidth="1"/>
    <col min="6" max="7" width="10.7109375" style="556" customWidth="1"/>
    <col min="8" max="8" width="2.7109375" style="556" customWidth="1"/>
    <col min="9" max="9" width="9.140625" style="556"/>
    <col min="10" max="11" width="10.7109375" style="556" customWidth="1"/>
    <col min="12" max="12" width="9.140625" style="556"/>
    <col min="13" max="13" width="1.7109375" style="556" customWidth="1"/>
    <col min="14" max="15" width="10.7109375" style="556" customWidth="1"/>
    <col min="16" max="16" width="9.140625" style="556"/>
    <col min="17" max="18" width="1.7109375" style="556" customWidth="1"/>
    <col min="19" max="20" width="10.7109375" style="556" customWidth="1"/>
    <col min="21" max="257" width="9.140625" style="556"/>
    <col min="258" max="258" width="22.7109375" style="556" customWidth="1"/>
    <col min="259" max="260" width="10.7109375" style="556" customWidth="1"/>
    <col min="261" max="261" width="3.7109375" style="556" customWidth="1"/>
    <col min="262" max="263" width="10.7109375" style="556" customWidth="1"/>
    <col min="264" max="264" width="2.7109375" style="556" customWidth="1"/>
    <col min="265" max="265" width="9.140625" style="556"/>
    <col min="266" max="267" width="10.7109375" style="556" customWidth="1"/>
    <col min="268" max="268" width="9.140625" style="556"/>
    <col min="269" max="269" width="1.7109375" style="556" customWidth="1"/>
    <col min="270" max="271" width="10.7109375" style="556" customWidth="1"/>
    <col min="272" max="272" width="9.140625" style="556"/>
    <col min="273" max="274" width="1.7109375" style="556" customWidth="1"/>
    <col min="275" max="276" width="10.7109375" style="556" customWidth="1"/>
    <col min="277" max="513" width="9.140625" style="556"/>
    <col min="514" max="514" width="22.7109375" style="556" customWidth="1"/>
    <col min="515" max="516" width="10.7109375" style="556" customWidth="1"/>
    <col min="517" max="517" width="3.7109375" style="556" customWidth="1"/>
    <col min="518" max="519" width="10.7109375" style="556" customWidth="1"/>
    <col min="520" max="520" width="2.7109375" style="556" customWidth="1"/>
    <col min="521" max="521" width="9.140625" style="556"/>
    <col min="522" max="523" width="10.7109375" style="556" customWidth="1"/>
    <col min="524" max="524" width="9.140625" style="556"/>
    <col min="525" max="525" width="1.7109375" style="556" customWidth="1"/>
    <col min="526" max="527" width="10.7109375" style="556" customWidth="1"/>
    <col min="528" max="528" width="9.140625" style="556"/>
    <col min="529" max="530" width="1.7109375" style="556" customWidth="1"/>
    <col min="531" max="532" width="10.7109375" style="556" customWidth="1"/>
    <col min="533" max="769" width="9.140625" style="556"/>
    <col min="770" max="770" width="22.7109375" style="556" customWidth="1"/>
    <col min="771" max="772" width="10.7109375" style="556" customWidth="1"/>
    <col min="773" max="773" width="3.7109375" style="556" customWidth="1"/>
    <col min="774" max="775" width="10.7109375" style="556" customWidth="1"/>
    <col min="776" max="776" width="2.7109375" style="556" customWidth="1"/>
    <col min="777" max="777" width="9.140625" style="556"/>
    <col min="778" max="779" width="10.7109375" style="556" customWidth="1"/>
    <col min="780" max="780" width="9.140625" style="556"/>
    <col min="781" max="781" width="1.7109375" style="556" customWidth="1"/>
    <col min="782" max="783" width="10.7109375" style="556" customWidth="1"/>
    <col min="784" max="784" width="9.140625" style="556"/>
    <col min="785" max="786" width="1.7109375" style="556" customWidth="1"/>
    <col min="787" max="788" width="10.7109375" style="556" customWidth="1"/>
    <col min="789" max="1025" width="9.140625" style="556"/>
    <col min="1026" max="1026" width="22.7109375" style="556" customWidth="1"/>
    <col min="1027" max="1028" width="10.7109375" style="556" customWidth="1"/>
    <col min="1029" max="1029" width="3.7109375" style="556" customWidth="1"/>
    <col min="1030" max="1031" width="10.7109375" style="556" customWidth="1"/>
    <col min="1032" max="1032" width="2.7109375" style="556" customWidth="1"/>
    <col min="1033" max="1033" width="9.140625" style="556"/>
    <col min="1034" max="1035" width="10.7109375" style="556" customWidth="1"/>
    <col min="1036" max="1036" width="9.140625" style="556"/>
    <col min="1037" max="1037" width="1.7109375" style="556" customWidth="1"/>
    <col min="1038" max="1039" width="10.7109375" style="556" customWidth="1"/>
    <col min="1040" max="1040" width="9.140625" style="556"/>
    <col min="1041" max="1042" width="1.7109375" style="556" customWidth="1"/>
    <col min="1043" max="1044" width="10.7109375" style="556" customWidth="1"/>
    <col min="1045" max="1281" width="9.140625" style="556"/>
    <col min="1282" max="1282" width="22.7109375" style="556" customWidth="1"/>
    <col min="1283" max="1284" width="10.7109375" style="556" customWidth="1"/>
    <col min="1285" max="1285" width="3.7109375" style="556" customWidth="1"/>
    <col min="1286" max="1287" width="10.7109375" style="556" customWidth="1"/>
    <col min="1288" max="1288" width="2.7109375" style="556" customWidth="1"/>
    <col min="1289" max="1289" width="9.140625" style="556"/>
    <col min="1290" max="1291" width="10.7109375" style="556" customWidth="1"/>
    <col min="1292" max="1292" width="9.140625" style="556"/>
    <col min="1293" max="1293" width="1.7109375" style="556" customWidth="1"/>
    <col min="1294" max="1295" width="10.7109375" style="556" customWidth="1"/>
    <col min="1296" max="1296" width="9.140625" style="556"/>
    <col min="1297" max="1298" width="1.7109375" style="556" customWidth="1"/>
    <col min="1299" max="1300" width="10.7109375" style="556" customWidth="1"/>
    <col min="1301" max="1537" width="9.140625" style="556"/>
    <col min="1538" max="1538" width="22.7109375" style="556" customWidth="1"/>
    <col min="1539" max="1540" width="10.7109375" style="556" customWidth="1"/>
    <col min="1541" max="1541" width="3.7109375" style="556" customWidth="1"/>
    <col min="1542" max="1543" width="10.7109375" style="556" customWidth="1"/>
    <col min="1544" max="1544" width="2.7109375" style="556" customWidth="1"/>
    <col min="1545" max="1545" width="9.140625" style="556"/>
    <col min="1546" max="1547" width="10.7109375" style="556" customWidth="1"/>
    <col min="1548" max="1548" width="9.140625" style="556"/>
    <col min="1549" max="1549" width="1.7109375" style="556" customWidth="1"/>
    <col min="1550" max="1551" width="10.7109375" style="556" customWidth="1"/>
    <col min="1552" max="1552" width="9.140625" style="556"/>
    <col min="1553" max="1554" width="1.7109375" style="556" customWidth="1"/>
    <col min="1555" max="1556" width="10.7109375" style="556" customWidth="1"/>
    <col min="1557" max="1793" width="9.140625" style="556"/>
    <col min="1794" max="1794" width="22.7109375" style="556" customWidth="1"/>
    <col min="1795" max="1796" width="10.7109375" style="556" customWidth="1"/>
    <col min="1797" max="1797" width="3.7109375" style="556" customWidth="1"/>
    <col min="1798" max="1799" width="10.7109375" style="556" customWidth="1"/>
    <col min="1800" max="1800" width="2.7109375" style="556" customWidth="1"/>
    <col min="1801" max="1801" width="9.140625" style="556"/>
    <col min="1802" max="1803" width="10.7109375" style="556" customWidth="1"/>
    <col min="1804" max="1804" width="9.140625" style="556"/>
    <col min="1805" max="1805" width="1.7109375" style="556" customWidth="1"/>
    <col min="1806" max="1807" width="10.7109375" style="556" customWidth="1"/>
    <col min="1808" max="1808" width="9.140625" style="556"/>
    <col min="1809" max="1810" width="1.7109375" style="556" customWidth="1"/>
    <col min="1811" max="1812" width="10.7109375" style="556" customWidth="1"/>
    <col min="1813" max="2049" width="9.140625" style="556"/>
    <col min="2050" max="2050" width="22.7109375" style="556" customWidth="1"/>
    <col min="2051" max="2052" width="10.7109375" style="556" customWidth="1"/>
    <col min="2053" max="2053" width="3.7109375" style="556" customWidth="1"/>
    <col min="2054" max="2055" width="10.7109375" style="556" customWidth="1"/>
    <col min="2056" max="2056" width="2.7109375" style="556" customWidth="1"/>
    <col min="2057" max="2057" width="9.140625" style="556"/>
    <col min="2058" max="2059" width="10.7109375" style="556" customWidth="1"/>
    <col min="2060" max="2060" width="9.140625" style="556"/>
    <col min="2061" max="2061" width="1.7109375" style="556" customWidth="1"/>
    <col min="2062" max="2063" width="10.7109375" style="556" customWidth="1"/>
    <col min="2064" max="2064" width="9.140625" style="556"/>
    <col min="2065" max="2066" width="1.7109375" style="556" customWidth="1"/>
    <col min="2067" max="2068" width="10.7109375" style="556" customWidth="1"/>
    <col min="2069" max="2305" width="9.140625" style="556"/>
    <col min="2306" max="2306" width="22.7109375" style="556" customWidth="1"/>
    <col min="2307" max="2308" width="10.7109375" style="556" customWidth="1"/>
    <col min="2309" max="2309" width="3.7109375" style="556" customWidth="1"/>
    <col min="2310" max="2311" width="10.7109375" style="556" customWidth="1"/>
    <col min="2312" max="2312" width="2.7109375" style="556" customWidth="1"/>
    <col min="2313" max="2313" width="9.140625" style="556"/>
    <col min="2314" max="2315" width="10.7109375" style="556" customWidth="1"/>
    <col min="2316" max="2316" width="9.140625" style="556"/>
    <col min="2317" max="2317" width="1.7109375" style="556" customWidth="1"/>
    <col min="2318" max="2319" width="10.7109375" style="556" customWidth="1"/>
    <col min="2320" max="2320" width="9.140625" style="556"/>
    <col min="2321" max="2322" width="1.7109375" style="556" customWidth="1"/>
    <col min="2323" max="2324" width="10.7109375" style="556" customWidth="1"/>
    <col min="2325" max="2561" width="9.140625" style="556"/>
    <col min="2562" max="2562" width="22.7109375" style="556" customWidth="1"/>
    <col min="2563" max="2564" width="10.7109375" style="556" customWidth="1"/>
    <col min="2565" max="2565" width="3.7109375" style="556" customWidth="1"/>
    <col min="2566" max="2567" width="10.7109375" style="556" customWidth="1"/>
    <col min="2568" max="2568" width="2.7109375" style="556" customWidth="1"/>
    <col min="2569" max="2569" width="9.140625" style="556"/>
    <col min="2570" max="2571" width="10.7109375" style="556" customWidth="1"/>
    <col min="2572" max="2572" width="9.140625" style="556"/>
    <col min="2573" max="2573" width="1.7109375" style="556" customWidth="1"/>
    <col min="2574" max="2575" width="10.7109375" style="556" customWidth="1"/>
    <col min="2576" max="2576" width="9.140625" style="556"/>
    <col min="2577" max="2578" width="1.7109375" style="556" customWidth="1"/>
    <col min="2579" max="2580" width="10.7109375" style="556" customWidth="1"/>
    <col min="2581" max="2817" width="9.140625" style="556"/>
    <col min="2818" max="2818" width="22.7109375" style="556" customWidth="1"/>
    <col min="2819" max="2820" width="10.7109375" style="556" customWidth="1"/>
    <col min="2821" max="2821" width="3.7109375" style="556" customWidth="1"/>
    <col min="2822" max="2823" width="10.7109375" style="556" customWidth="1"/>
    <col min="2824" max="2824" width="2.7109375" style="556" customWidth="1"/>
    <col min="2825" max="2825" width="9.140625" style="556"/>
    <col min="2826" max="2827" width="10.7109375" style="556" customWidth="1"/>
    <col min="2828" max="2828" width="9.140625" style="556"/>
    <col min="2829" max="2829" width="1.7109375" style="556" customWidth="1"/>
    <col min="2830" max="2831" width="10.7109375" style="556" customWidth="1"/>
    <col min="2832" max="2832" width="9.140625" style="556"/>
    <col min="2833" max="2834" width="1.7109375" style="556" customWidth="1"/>
    <col min="2835" max="2836" width="10.7109375" style="556" customWidth="1"/>
    <col min="2837" max="3073" width="9.140625" style="556"/>
    <col min="3074" max="3074" width="22.7109375" style="556" customWidth="1"/>
    <col min="3075" max="3076" width="10.7109375" style="556" customWidth="1"/>
    <col min="3077" max="3077" width="3.7109375" style="556" customWidth="1"/>
    <col min="3078" max="3079" width="10.7109375" style="556" customWidth="1"/>
    <col min="3080" max="3080" width="2.7109375" style="556" customWidth="1"/>
    <col min="3081" max="3081" width="9.140625" style="556"/>
    <col min="3082" max="3083" width="10.7109375" style="556" customWidth="1"/>
    <col min="3084" max="3084" width="9.140625" style="556"/>
    <col min="3085" max="3085" width="1.7109375" style="556" customWidth="1"/>
    <col min="3086" max="3087" width="10.7109375" style="556" customWidth="1"/>
    <col min="3088" max="3088" width="9.140625" style="556"/>
    <col min="3089" max="3090" width="1.7109375" style="556" customWidth="1"/>
    <col min="3091" max="3092" width="10.7109375" style="556" customWidth="1"/>
    <col min="3093" max="3329" width="9.140625" style="556"/>
    <col min="3330" max="3330" width="22.7109375" style="556" customWidth="1"/>
    <col min="3331" max="3332" width="10.7109375" style="556" customWidth="1"/>
    <col min="3333" max="3333" width="3.7109375" style="556" customWidth="1"/>
    <col min="3334" max="3335" width="10.7109375" style="556" customWidth="1"/>
    <col min="3336" max="3336" width="2.7109375" style="556" customWidth="1"/>
    <col min="3337" max="3337" width="9.140625" style="556"/>
    <col min="3338" max="3339" width="10.7109375" style="556" customWidth="1"/>
    <col min="3340" max="3340" width="9.140625" style="556"/>
    <col min="3341" max="3341" width="1.7109375" style="556" customWidth="1"/>
    <col min="3342" max="3343" width="10.7109375" style="556" customWidth="1"/>
    <col min="3344" max="3344" width="9.140625" style="556"/>
    <col min="3345" max="3346" width="1.7109375" style="556" customWidth="1"/>
    <col min="3347" max="3348" width="10.7109375" style="556" customWidth="1"/>
    <col min="3349" max="3585" width="9.140625" style="556"/>
    <col min="3586" max="3586" width="22.7109375" style="556" customWidth="1"/>
    <col min="3587" max="3588" width="10.7109375" style="556" customWidth="1"/>
    <col min="3589" max="3589" width="3.7109375" style="556" customWidth="1"/>
    <col min="3590" max="3591" width="10.7109375" style="556" customWidth="1"/>
    <col min="3592" max="3592" width="2.7109375" style="556" customWidth="1"/>
    <col min="3593" max="3593" width="9.140625" style="556"/>
    <col min="3594" max="3595" width="10.7109375" style="556" customWidth="1"/>
    <col min="3596" max="3596" width="9.140625" style="556"/>
    <col min="3597" max="3597" width="1.7109375" style="556" customWidth="1"/>
    <col min="3598" max="3599" width="10.7109375" style="556" customWidth="1"/>
    <col min="3600" max="3600" width="9.140625" style="556"/>
    <col min="3601" max="3602" width="1.7109375" style="556" customWidth="1"/>
    <col min="3603" max="3604" width="10.7109375" style="556" customWidth="1"/>
    <col min="3605" max="3841" width="9.140625" style="556"/>
    <col min="3842" max="3842" width="22.7109375" style="556" customWidth="1"/>
    <col min="3843" max="3844" width="10.7109375" style="556" customWidth="1"/>
    <col min="3845" max="3845" width="3.7109375" style="556" customWidth="1"/>
    <col min="3846" max="3847" width="10.7109375" style="556" customWidth="1"/>
    <col min="3848" max="3848" width="2.7109375" style="556" customWidth="1"/>
    <col min="3849" max="3849" width="9.140625" style="556"/>
    <col min="3850" max="3851" width="10.7109375" style="556" customWidth="1"/>
    <col min="3852" max="3852" width="9.140625" style="556"/>
    <col min="3853" max="3853" width="1.7109375" style="556" customWidth="1"/>
    <col min="3854" max="3855" width="10.7109375" style="556" customWidth="1"/>
    <col min="3856" max="3856" width="9.140625" style="556"/>
    <col min="3857" max="3858" width="1.7109375" style="556" customWidth="1"/>
    <col min="3859" max="3860" width="10.7109375" style="556" customWidth="1"/>
    <col min="3861" max="4097" width="9.140625" style="556"/>
    <col min="4098" max="4098" width="22.7109375" style="556" customWidth="1"/>
    <col min="4099" max="4100" width="10.7109375" style="556" customWidth="1"/>
    <col min="4101" max="4101" width="3.7109375" style="556" customWidth="1"/>
    <col min="4102" max="4103" width="10.7109375" style="556" customWidth="1"/>
    <col min="4104" max="4104" width="2.7109375" style="556" customWidth="1"/>
    <col min="4105" max="4105" width="9.140625" style="556"/>
    <col min="4106" max="4107" width="10.7109375" style="556" customWidth="1"/>
    <col min="4108" max="4108" width="9.140625" style="556"/>
    <col min="4109" max="4109" width="1.7109375" style="556" customWidth="1"/>
    <col min="4110" max="4111" width="10.7109375" style="556" customWidth="1"/>
    <col min="4112" max="4112" width="9.140625" style="556"/>
    <col min="4113" max="4114" width="1.7109375" style="556" customWidth="1"/>
    <col min="4115" max="4116" width="10.7109375" style="556" customWidth="1"/>
    <col min="4117" max="4353" width="9.140625" style="556"/>
    <col min="4354" max="4354" width="22.7109375" style="556" customWidth="1"/>
    <col min="4355" max="4356" width="10.7109375" style="556" customWidth="1"/>
    <col min="4357" max="4357" width="3.7109375" style="556" customWidth="1"/>
    <col min="4358" max="4359" width="10.7109375" style="556" customWidth="1"/>
    <col min="4360" max="4360" width="2.7109375" style="556" customWidth="1"/>
    <col min="4361" max="4361" width="9.140625" style="556"/>
    <col min="4362" max="4363" width="10.7109375" style="556" customWidth="1"/>
    <col min="4364" max="4364" width="9.140625" style="556"/>
    <col min="4365" max="4365" width="1.7109375" style="556" customWidth="1"/>
    <col min="4366" max="4367" width="10.7109375" style="556" customWidth="1"/>
    <col min="4368" max="4368" width="9.140625" style="556"/>
    <col min="4369" max="4370" width="1.7109375" style="556" customWidth="1"/>
    <col min="4371" max="4372" width="10.7109375" style="556" customWidth="1"/>
    <col min="4373" max="4609" width="9.140625" style="556"/>
    <col min="4610" max="4610" width="22.7109375" style="556" customWidth="1"/>
    <col min="4611" max="4612" width="10.7109375" style="556" customWidth="1"/>
    <col min="4613" max="4613" width="3.7109375" style="556" customWidth="1"/>
    <col min="4614" max="4615" width="10.7109375" style="556" customWidth="1"/>
    <col min="4616" max="4616" width="2.7109375" style="556" customWidth="1"/>
    <col min="4617" max="4617" width="9.140625" style="556"/>
    <col min="4618" max="4619" width="10.7109375" style="556" customWidth="1"/>
    <col min="4620" max="4620" width="9.140625" style="556"/>
    <col min="4621" max="4621" width="1.7109375" style="556" customWidth="1"/>
    <col min="4622" max="4623" width="10.7109375" style="556" customWidth="1"/>
    <col min="4624" max="4624" width="9.140625" style="556"/>
    <col min="4625" max="4626" width="1.7109375" style="556" customWidth="1"/>
    <col min="4627" max="4628" width="10.7109375" style="556" customWidth="1"/>
    <col min="4629" max="4865" width="9.140625" style="556"/>
    <col min="4866" max="4866" width="22.7109375" style="556" customWidth="1"/>
    <col min="4867" max="4868" width="10.7109375" style="556" customWidth="1"/>
    <col min="4869" max="4869" width="3.7109375" style="556" customWidth="1"/>
    <col min="4870" max="4871" width="10.7109375" style="556" customWidth="1"/>
    <col min="4872" max="4872" width="2.7109375" style="556" customWidth="1"/>
    <col min="4873" max="4873" width="9.140625" style="556"/>
    <col min="4874" max="4875" width="10.7109375" style="556" customWidth="1"/>
    <col min="4876" max="4876" width="9.140625" style="556"/>
    <col min="4877" max="4877" width="1.7109375" style="556" customWidth="1"/>
    <col min="4878" max="4879" width="10.7109375" style="556" customWidth="1"/>
    <col min="4880" max="4880" width="9.140625" style="556"/>
    <col min="4881" max="4882" width="1.7109375" style="556" customWidth="1"/>
    <col min="4883" max="4884" width="10.7109375" style="556" customWidth="1"/>
    <col min="4885" max="5121" width="9.140625" style="556"/>
    <col min="5122" max="5122" width="22.7109375" style="556" customWidth="1"/>
    <col min="5123" max="5124" width="10.7109375" style="556" customWidth="1"/>
    <col min="5125" max="5125" width="3.7109375" style="556" customWidth="1"/>
    <col min="5126" max="5127" width="10.7109375" style="556" customWidth="1"/>
    <col min="5128" max="5128" width="2.7109375" style="556" customWidth="1"/>
    <col min="5129" max="5129" width="9.140625" style="556"/>
    <col min="5130" max="5131" width="10.7109375" style="556" customWidth="1"/>
    <col min="5132" max="5132" width="9.140625" style="556"/>
    <col min="5133" max="5133" width="1.7109375" style="556" customWidth="1"/>
    <col min="5134" max="5135" width="10.7109375" style="556" customWidth="1"/>
    <col min="5136" max="5136" width="9.140625" style="556"/>
    <col min="5137" max="5138" width="1.7109375" style="556" customWidth="1"/>
    <col min="5139" max="5140" width="10.7109375" style="556" customWidth="1"/>
    <col min="5141" max="5377" width="9.140625" style="556"/>
    <col min="5378" max="5378" width="22.7109375" style="556" customWidth="1"/>
    <col min="5379" max="5380" width="10.7109375" style="556" customWidth="1"/>
    <col min="5381" max="5381" width="3.7109375" style="556" customWidth="1"/>
    <col min="5382" max="5383" width="10.7109375" style="556" customWidth="1"/>
    <col min="5384" max="5384" width="2.7109375" style="556" customWidth="1"/>
    <col min="5385" max="5385" width="9.140625" style="556"/>
    <col min="5386" max="5387" width="10.7109375" style="556" customWidth="1"/>
    <col min="5388" max="5388" width="9.140625" style="556"/>
    <col min="5389" max="5389" width="1.7109375" style="556" customWidth="1"/>
    <col min="5390" max="5391" width="10.7109375" style="556" customWidth="1"/>
    <col min="5392" max="5392" width="9.140625" style="556"/>
    <col min="5393" max="5394" width="1.7109375" style="556" customWidth="1"/>
    <col min="5395" max="5396" width="10.7109375" style="556" customWidth="1"/>
    <col min="5397" max="5633" width="9.140625" style="556"/>
    <col min="5634" max="5634" width="22.7109375" style="556" customWidth="1"/>
    <col min="5635" max="5636" width="10.7109375" style="556" customWidth="1"/>
    <col min="5637" max="5637" width="3.7109375" style="556" customWidth="1"/>
    <col min="5638" max="5639" width="10.7109375" style="556" customWidth="1"/>
    <col min="5640" max="5640" width="2.7109375" style="556" customWidth="1"/>
    <col min="5641" max="5641" width="9.140625" style="556"/>
    <col min="5642" max="5643" width="10.7109375" style="556" customWidth="1"/>
    <col min="5644" max="5644" width="9.140625" style="556"/>
    <col min="5645" max="5645" width="1.7109375" style="556" customWidth="1"/>
    <col min="5646" max="5647" width="10.7109375" style="556" customWidth="1"/>
    <col min="5648" max="5648" width="9.140625" style="556"/>
    <col min="5649" max="5650" width="1.7109375" style="556" customWidth="1"/>
    <col min="5651" max="5652" width="10.7109375" style="556" customWidth="1"/>
    <col min="5653" max="5889" width="9.140625" style="556"/>
    <col min="5890" max="5890" width="22.7109375" style="556" customWidth="1"/>
    <col min="5891" max="5892" width="10.7109375" style="556" customWidth="1"/>
    <col min="5893" max="5893" width="3.7109375" style="556" customWidth="1"/>
    <col min="5894" max="5895" width="10.7109375" style="556" customWidth="1"/>
    <col min="5896" max="5896" width="2.7109375" style="556" customWidth="1"/>
    <col min="5897" max="5897" width="9.140625" style="556"/>
    <col min="5898" max="5899" width="10.7109375" style="556" customWidth="1"/>
    <col min="5900" max="5900" width="9.140625" style="556"/>
    <col min="5901" max="5901" width="1.7109375" style="556" customWidth="1"/>
    <col min="5902" max="5903" width="10.7109375" style="556" customWidth="1"/>
    <col min="5904" max="5904" width="9.140625" style="556"/>
    <col min="5905" max="5906" width="1.7109375" style="556" customWidth="1"/>
    <col min="5907" max="5908" width="10.7109375" style="556" customWidth="1"/>
    <col min="5909" max="6145" width="9.140625" style="556"/>
    <col min="6146" max="6146" width="22.7109375" style="556" customWidth="1"/>
    <col min="6147" max="6148" width="10.7109375" style="556" customWidth="1"/>
    <col min="6149" max="6149" width="3.7109375" style="556" customWidth="1"/>
    <col min="6150" max="6151" width="10.7109375" style="556" customWidth="1"/>
    <col min="6152" max="6152" width="2.7109375" style="556" customWidth="1"/>
    <col min="6153" max="6153" width="9.140625" style="556"/>
    <col min="6154" max="6155" width="10.7109375" style="556" customWidth="1"/>
    <col min="6156" max="6156" width="9.140625" style="556"/>
    <col min="6157" max="6157" width="1.7109375" style="556" customWidth="1"/>
    <col min="6158" max="6159" width="10.7109375" style="556" customWidth="1"/>
    <col min="6160" max="6160" width="9.140625" style="556"/>
    <col min="6161" max="6162" width="1.7109375" style="556" customWidth="1"/>
    <col min="6163" max="6164" width="10.7109375" style="556" customWidth="1"/>
    <col min="6165" max="6401" width="9.140625" style="556"/>
    <col min="6402" max="6402" width="22.7109375" style="556" customWidth="1"/>
    <col min="6403" max="6404" width="10.7109375" style="556" customWidth="1"/>
    <col min="6405" max="6405" width="3.7109375" style="556" customWidth="1"/>
    <col min="6406" max="6407" width="10.7109375" style="556" customWidth="1"/>
    <col min="6408" max="6408" width="2.7109375" style="556" customWidth="1"/>
    <col min="6409" max="6409" width="9.140625" style="556"/>
    <col min="6410" max="6411" width="10.7109375" style="556" customWidth="1"/>
    <col min="6412" max="6412" width="9.140625" style="556"/>
    <col min="6413" max="6413" width="1.7109375" style="556" customWidth="1"/>
    <col min="6414" max="6415" width="10.7109375" style="556" customWidth="1"/>
    <col min="6416" max="6416" width="9.140625" style="556"/>
    <col min="6417" max="6418" width="1.7109375" style="556" customWidth="1"/>
    <col min="6419" max="6420" width="10.7109375" style="556" customWidth="1"/>
    <col min="6421" max="6657" width="9.140625" style="556"/>
    <col min="6658" max="6658" width="22.7109375" style="556" customWidth="1"/>
    <col min="6659" max="6660" width="10.7109375" style="556" customWidth="1"/>
    <col min="6661" max="6661" width="3.7109375" style="556" customWidth="1"/>
    <col min="6662" max="6663" width="10.7109375" style="556" customWidth="1"/>
    <col min="6664" max="6664" width="2.7109375" style="556" customWidth="1"/>
    <col min="6665" max="6665" width="9.140625" style="556"/>
    <col min="6666" max="6667" width="10.7109375" style="556" customWidth="1"/>
    <col min="6668" max="6668" width="9.140625" style="556"/>
    <col min="6669" max="6669" width="1.7109375" style="556" customWidth="1"/>
    <col min="6670" max="6671" width="10.7109375" style="556" customWidth="1"/>
    <col min="6672" max="6672" width="9.140625" style="556"/>
    <col min="6673" max="6674" width="1.7109375" style="556" customWidth="1"/>
    <col min="6675" max="6676" width="10.7109375" style="556" customWidth="1"/>
    <col min="6677" max="6913" width="9.140625" style="556"/>
    <col min="6914" max="6914" width="22.7109375" style="556" customWidth="1"/>
    <col min="6915" max="6916" width="10.7109375" style="556" customWidth="1"/>
    <col min="6917" max="6917" width="3.7109375" style="556" customWidth="1"/>
    <col min="6918" max="6919" width="10.7109375" style="556" customWidth="1"/>
    <col min="6920" max="6920" width="2.7109375" style="556" customWidth="1"/>
    <col min="6921" max="6921" width="9.140625" style="556"/>
    <col min="6922" max="6923" width="10.7109375" style="556" customWidth="1"/>
    <col min="6924" max="6924" width="9.140625" style="556"/>
    <col min="6925" max="6925" width="1.7109375" style="556" customWidth="1"/>
    <col min="6926" max="6927" width="10.7109375" style="556" customWidth="1"/>
    <col min="6928" max="6928" width="9.140625" style="556"/>
    <col min="6929" max="6930" width="1.7109375" style="556" customWidth="1"/>
    <col min="6931" max="6932" width="10.7109375" style="556" customWidth="1"/>
    <col min="6933" max="7169" width="9.140625" style="556"/>
    <col min="7170" max="7170" width="22.7109375" style="556" customWidth="1"/>
    <col min="7171" max="7172" width="10.7109375" style="556" customWidth="1"/>
    <col min="7173" max="7173" width="3.7109375" style="556" customWidth="1"/>
    <col min="7174" max="7175" width="10.7109375" style="556" customWidth="1"/>
    <col min="7176" max="7176" width="2.7109375" style="556" customWidth="1"/>
    <col min="7177" max="7177" width="9.140625" style="556"/>
    <col min="7178" max="7179" width="10.7109375" style="556" customWidth="1"/>
    <col min="7180" max="7180" width="9.140625" style="556"/>
    <col min="7181" max="7181" width="1.7109375" style="556" customWidth="1"/>
    <col min="7182" max="7183" width="10.7109375" style="556" customWidth="1"/>
    <col min="7184" max="7184" width="9.140625" style="556"/>
    <col min="7185" max="7186" width="1.7109375" style="556" customWidth="1"/>
    <col min="7187" max="7188" width="10.7109375" style="556" customWidth="1"/>
    <col min="7189" max="7425" width="9.140625" style="556"/>
    <col min="7426" max="7426" width="22.7109375" style="556" customWidth="1"/>
    <col min="7427" max="7428" width="10.7109375" style="556" customWidth="1"/>
    <col min="7429" max="7429" width="3.7109375" style="556" customWidth="1"/>
    <col min="7430" max="7431" width="10.7109375" style="556" customWidth="1"/>
    <col min="7432" max="7432" width="2.7109375" style="556" customWidth="1"/>
    <col min="7433" max="7433" width="9.140625" style="556"/>
    <col min="7434" max="7435" width="10.7109375" style="556" customWidth="1"/>
    <col min="7436" max="7436" width="9.140625" style="556"/>
    <col min="7437" max="7437" width="1.7109375" style="556" customWidth="1"/>
    <col min="7438" max="7439" width="10.7109375" style="556" customWidth="1"/>
    <col min="7440" max="7440" width="9.140625" style="556"/>
    <col min="7441" max="7442" width="1.7109375" style="556" customWidth="1"/>
    <col min="7443" max="7444" width="10.7109375" style="556" customWidth="1"/>
    <col min="7445" max="7681" width="9.140625" style="556"/>
    <col min="7682" max="7682" width="22.7109375" style="556" customWidth="1"/>
    <col min="7683" max="7684" width="10.7109375" style="556" customWidth="1"/>
    <col min="7685" max="7685" width="3.7109375" style="556" customWidth="1"/>
    <col min="7686" max="7687" width="10.7109375" style="556" customWidth="1"/>
    <col min="7688" max="7688" width="2.7109375" style="556" customWidth="1"/>
    <col min="7689" max="7689" width="9.140625" style="556"/>
    <col min="7690" max="7691" width="10.7109375" style="556" customWidth="1"/>
    <col min="7692" max="7692" width="9.140625" style="556"/>
    <col min="7693" max="7693" width="1.7109375" style="556" customWidth="1"/>
    <col min="7694" max="7695" width="10.7109375" style="556" customWidth="1"/>
    <col min="7696" max="7696" width="9.140625" style="556"/>
    <col min="7697" max="7698" width="1.7109375" style="556" customWidth="1"/>
    <col min="7699" max="7700" width="10.7109375" style="556" customWidth="1"/>
    <col min="7701" max="7937" width="9.140625" style="556"/>
    <col min="7938" max="7938" width="22.7109375" style="556" customWidth="1"/>
    <col min="7939" max="7940" width="10.7109375" style="556" customWidth="1"/>
    <col min="7941" max="7941" width="3.7109375" style="556" customWidth="1"/>
    <col min="7942" max="7943" width="10.7109375" style="556" customWidth="1"/>
    <col min="7944" max="7944" width="2.7109375" style="556" customWidth="1"/>
    <col min="7945" max="7945" width="9.140625" style="556"/>
    <col min="7946" max="7947" width="10.7109375" style="556" customWidth="1"/>
    <col min="7948" max="7948" width="9.140625" style="556"/>
    <col min="7949" max="7949" width="1.7109375" style="556" customWidth="1"/>
    <col min="7950" max="7951" width="10.7109375" style="556" customWidth="1"/>
    <col min="7952" max="7952" width="9.140625" style="556"/>
    <col min="7953" max="7954" width="1.7109375" style="556" customWidth="1"/>
    <col min="7955" max="7956" width="10.7109375" style="556" customWidth="1"/>
    <col min="7957" max="8193" width="9.140625" style="556"/>
    <col min="8194" max="8194" width="22.7109375" style="556" customWidth="1"/>
    <col min="8195" max="8196" width="10.7109375" style="556" customWidth="1"/>
    <col min="8197" max="8197" width="3.7109375" style="556" customWidth="1"/>
    <col min="8198" max="8199" width="10.7109375" style="556" customWidth="1"/>
    <col min="8200" max="8200" width="2.7109375" style="556" customWidth="1"/>
    <col min="8201" max="8201" width="9.140625" style="556"/>
    <col min="8202" max="8203" width="10.7109375" style="556" customWidth="1"/>
    <col min="8204" max="8204" width="9.140625" style="556"/>
    <col min="8205" max="8205" width="1.7109375" style="556" customWidth="1"/>
    <col min="8206" max="8207" width="10.7109375" style="556" customWidth="1"/>
    <col min="8208" max="8208" width="9.140625" style="556"/>
    <col min="8209" max="8210" width="1.7109375" style="556" customWidth="1"/>
    <col min="8211" max="8212" width="10.7109375" style="556" customWidth="1"/>
    <col min="8213" max="8449" width="9.140625" style="556"/>
    <col min="8450" max="8450" width="22.7109375" style="556" customWidth="1"/>
    <col min="8451" max="8452" width="10.7109375" style="556" customWidth="1"/>
    <col min="8453" max="8453" width="3.7109375" style="556" customWidth="1"/>
    <col min="8454" max="8455" width="10.7109375" style="556" customWidth="1"/>
    <col min="8456" max="8456" width="2.7109375" style="556" customWidth="1"/>
    <col min="8457" max="8457" width="9.140625" style="556"/>
    <col min="8458" max="8459" width="10.7109375" style="556" customWidth="1"/>
    <col min="8460" max="8460" width="9.140625" style="556"/>
    <col min="8461" max="8461" width="1.7109375" style="556" customWidth="1"/>
    <col min="8462" max="8463" width="10.7109375" style="556" customWidth="1"/>
    <col min="8464" max="8464" width="9.140625" style="556"/>
    <col min="8465" max="8466" width="1.7109375" style="556" customWidth="1"/>
    <col min="8467" max="8468" width="10.7109375" style="556" customWidth="1"/>
    <col min="8469" max="8705" width="9.140625" style="556"/>
    <col min="8706" max="8706" width="22.7109375" style="556" customWidth="1"/>
    <col min="8707" max="8708" width="10.7109375" style="556" customWidth="1"/>
    <col min="8709" max="8709" width="3.7109375" style="556" customWidth="1"/>
    <col min="8710" max="8711" width="10.7109375" style="556" customWidth="1"/>
    <col min="8712" max="8712" width="2.7109375" style="556" customWidth="1"/>
    <col min="8713" max="8713" width="9.140625" style="556"/>
    <col min="8714" max="8715" width="10.7109375" style="556" customWidth="1"/>
    <col min="8716" max="8716" width="9.140625" style="556"/>
    <col min="8717" max="8717" width="1.7109375" style="556" customWidth="1"/>
    <col min="8718" max="8719" width="10.7109375" style="556" customWidth="1"/>
    <col min="8720" max="8720" width="9.140625" style="556"/>
    <col min="8721" max="8722" width="1.7109375" style="556" customWidth="1"/>
    <col min="8723" max="8724" width="10.7109375" style="556" customWidth="1"/>
    <col min="8725" max="8961" width="9.140625" style="556"/>
    <col min="8962" max="8962" width="22.7109375" style="556" customWidth="1"/>
    <col min="8963" max="8964" width="10.7109375" style="556" customWidth="1"/>
    <col min="8965" max="8965" width="3.7109375" style="556" customWidth="1"/>
    <col min="8966" max="8967" width="10.7109375" style="556" customWidth="1"/>
    <col min="8968" max="8968" width="2.7109375" style="556" customWidth="1"/>
    <col min="8969" max="8969" width="9.140625" style="556"/>
    <col min="8970" max="8971" width="10.7109375" style="556" customWidth="1"/>
    <col min="8972" max="8972" width="9.140625" style="556"/>
    <col min="8973" max="8973" width="1.7109375" style="556" customWidth="1"/>
    <col min="8974" max="8975" width="10.7109375" style="556" customWidth="1"/>
    <col min="8976" max="8976" width="9.140625" style="556"/>
    <col min="8977" max="8978" width="1.7109375" style="556" customWidth="1"/>
    <col min="8979" max="8980" width="10.7109375" style="556" customWidth="1"/>
    <col min="8981" max="9217" width="9.140625" style="556"/>
    <col min="9218" max="9218" width="22.7109375" style="556" customWidth="1"/>
    <col min="9219" max="9220" width="10.7109375" style="556" customWidth="1"/>
    <col min="9221" max="9221" width="3.7109375" style="556" customWidth="1"/>
    <col min="9222" max="9223" width="10.7109375" style="556" customWidth="1"/>
    <col min="9224" max="9224" width="2.7109375" style="556" customWidth="1"/>
    <col min="9225" max="9225" width="9.140625" style="556"/>
    <col min="9226" max="9227" width="10.7109375" style="556" customWidth="1"/>
    <col min="9228" max="9228" width="9.140625" style="556"/>
    <col min="9229" max="9229" width="1.7109375" style="556" customWidth="1"/>
    <col min="9230" max="9231" width="10.7109375" style="556" customWidth="1"/>
    <col min="9232" max="9232" width="9.140625" style="556"/>
    <col min="9233" max="9234" width="1.7109375" style="556" customWidth="1"/>
    <col min="9235" max="9236" width="10.7109375" style="556" customWidth="1"/>
    <col min="9237" max="9473" width="9.140625" style="556"/>
    <col min="9474" max="9474" width="22.7109375" style="556" customWidth="1"/>
    <col min="9475" max="9476" width="10.7109375" style="556" customWidth="1"/>
    <col min="9477" max="9477" width="3.7109375" style="556" customWidth="1"/>
    <col min="9478" max="9479" width="10.7109375" style="556" customWidth="1"/>
    <col min="9480" max="9480" width="2.7109375" style="556" customWidth="1"/>
    <col min="9481" max="9481" width="9.140625" style="556"/>
    <col min="9482" max="9483" width="10.7109375" style="556" customWidth="1"/>
    <col min="9484" max="9484" width="9.140625" style="556"/>
    <col min="9485" max="9485" width="1.7109375" style="556" customWidth="1"/>
    <col min="9486" max="9487" width="10.7109375" style="556" customWidth="1"/>
    <col min="9488" max="9488" width="9.140625" style="556"/>
    <col min="9489" max="9490" width="1.7109375" style="556" customWidth="1"/>
    <col min="9491" max="9492" width="10.7109375" style="556" customWidth="1"/>
    <col min="9493" max="9729" width="9.140625" style="556"/>
    <col min="9730" max="9730" width="22.7109375" style="556" customWidth="1"/>
    <col min="9731" max="9732" width="10.7109375" style="556" customWidth="1"/>
    <col min="9733" max="9733" width="3.7109375" style="556" customWidth="1"/>
    <col min="9734" max="9735" width="10.7109375" style="556" customWidth="1"/>
    <col min="9736" max="9736" width="2.7109375" style="556" customWidth="1"/>
    <col min="9737" max="9737" width="9.140625" style="556"/>
    <col min="9738" max="9739" width="10.7109375" style="556" customWidth="1"/>
    <col min="9740" max="9740" width="9.140625" style="556"/>
    <col min="9741" max="9741" width="1.7109375" style="556" customWidth="1"/>
    <col min="9742" max="9743" width="10.7109375" style="556" customWidth="1"/>
    <col min="9744" max="9744" width="9.140625" style="556"/>
    <col min="9745" max="9746" width="1.7109375" style="556" customWidth="1"/>
    <col min="9747" max="9748" width="10.7109375" style="556" customWidth="1"/>
    <col min="9749" max="9985" width="9.140625" style="556"/>
    <col min="9986" max="9986" width="22.7109375" style="556" customWidth="1"/>
    <col min="9987" max="9988" width="10.7109375" style="556" customWidth="1"/>
    <col min="9989" max="9989" width="3.7109375" style="556" customWidth="1"/>
    <col min="9990" max="9991" width="10.7109375" style="556" customWidth="1"/>
    <col min="9992" max="9992" width="2.7109375" style="556" customWidth="1"/>
    <col min="9993" max="9993" width="9.140625" style="556"/>
    <col min="9994" max="9995" width="10.7109375" style="556" customWidth="1"/>
    <col min="9996" max="9996" width="9.140625" style="556"/>
    <col min="9997" max="9997" width="1.7109375" style="556" customWidth="1"/>
    <col min="9998" max="9999" width="10.7109375" style="556" customWidth="1"/>
    <col min="10000" max="10000" width="9.140625" style="556"/>
    <col min="10001" max="10002" width="1.7109375" style="556" customWidth="1"/>
    <col min="10003" max="10004" width="10.7109375" style="556" customWidth="1"/>
    <col min="10005" max="10241" width="9.140625" style="556"/>
    <col min="10242" max="10242" width="22.7109375" style="556" customWidth="1"/>
    <col min="10243" max="10244" width="10.7109375" style="556" customWidth="1"/>
    <col min="10245" max="10245" width="3.7109375" style="556" customWidth="1"/>
    <col min="10246" max="10247" width="10.7109375" style="556" customWidth="1"/>
    <col min="10248" max="10248" width="2.7109375" style="556" customWidth="1"/>
    <col min="10249" max="10249" width="9.140625" style="556"/>
    <col min="10250" max="10251" width="10.7109375" style="556" customWidth="1"/>
    <col min="10252" max="10252" width="9.140625" style="556"/>
    <col min="10253" max="10253" width="1.7109375" style="556" customWidth="1"/>
    <col min="10254" max="10255" width="10.7109375" style="556" customWidth="1"/>
    <col min="10256" max="10256" width="9.140625" style="556"/>
    <col min="10257" max="10258" width="1.7109375" style="556" customWidth="1"/>
    <col min="10259" max="10260" width="10.7109375" style="556" customWidth="1"/>
    <col min="10261" max="10497" width="9.140625" style="556"/>
    <col min="10498" max="10498" width="22.7109375" style="556" customWidth="1"/>
    <col min="10499" max="10500" width="10.7109375" style="556" customWidth="1"/>
    <col min="10501" max="10501" width="3.7109375" style="556" customWidth="1"/>
    <col min="10502" max="10503" width="10.7109375" style="556" customWidth="1"/>
    <col min="10504" max="10504" width="2.7109375" style="556" customWidth="1"/>
    <col min="10505" max="10505" width="9.140625" style="556"/>
    <col min="10506" max="10507" width="10.7109375" style="556" customWidth="1"/>
    <col min="10508" max="10508" width="9.140625" style="556"/>
    <col min="10509" max="10509" width="1.7109375" style="556" customWidth="1"/>
    <col min="10510" max="10511" width="10.7109375" style="556" customWidth="1"/>
    <col min="10512" max="10512" width="9.140625" style="556"/>
    <col min="10513" max="10514" width="1.7109375" style="556" customWidth="1"/>
    <col min="10515" max="10516" width="10.7109375" style="556" customWidth="1"/>
    <col min="10517" max="10753" width="9.140625" style="556"/>
    <col min="10754" max="10754" width="22.7109375" style="556" customWidth="1"/>
    <col min="10755" max="10756" width="10.7109375" style="556" customWidth="1"/>
    <col min="10757" max="10757" width="3.7109375" style="556" customWidth="1"/>
    <col min="10758" max="10759" width="10.7109375" style="556" customWidth="1"/>
    <col min="10760" max="10760" width="2.7109375" style="556" customWidth="1"/>
    <col min="10761" max="10761" width="9.140625" style="556"/>
    <col min="10762" max="10763" width="10.7109375" style="556" customWidth="1"/>
    <col min="10764" max="10764" width="9.140625" style="556"/>
    <col min="10765" max="10765" width="1.7109375" style="556" customWidth="1"/>
    <col min="10766" max="10767" width="10.7109375" style="556" customWidth="1"/>
    <col min="10768" max="10768" width="9.140625" style="556"/>
    <col min="10769" max="10770" width="1.7109375" style="556" customWidth="1"/>
    <col min="10771" max="10772" width="10.7109375" style="556" customWidth="1"/>
    <col min="10773" max="11009" width="9.140625" style="556"/>
    <col min="11010" max="11010" width="22.7109375" style="556" customWidth="1"/>
    <col min="11011" max="11012" width="10.7109375" style="556" customWidth="1"/>
    <col min="11013" max="11013" width="3.7109375" style="556" customWidth="1"/>
    <col min="11014" max="11015" width="10.7109375" style="556" customWidth="1"/>
    <col min="11016" max="11016" width="2.7109375" style="556" customWidth="1"/>
    <col min="11017" max="11017" width="9.140625" style="556"/>
    <col min="11018" max="11019" width="10.7109375" style="556" customWidth="1"/>
    <col min="11020" max="11020" width="9.140625" style="556"/>
    <col min="11021" max="11021" width="1.7109375" style="556" customWidth="1"/>
    <col min="11022" max="11023" width="10.7109375" style="556" customWidth="1"/>
    <col min="11024" max="11024" width="9.140625" style="556"/>
    <col min="11025" max="11026" width="1.7109375" style="556" customWidth="1"/>
    <col min="11027" max="11028" width="10.7109375" style="556" customWidth="1"/>
    <col min="11029" max="11265" width="9.140625" style="556"/>
    <col min="11266" max="11266" width="22.7109375" style="556" customWidth="1"/>
    <col min="11267" max="11268" width="10.7109375" style="556" customWidth="1"/>
    <col min="11269" max="11269" width="3.7109375" style="556" customWidth="1"/>
    <col min="11270" max="11271" width="10.7109375" style="556" customWidth="1"/>
    <col min="11272" max="11272" width="2.7109375" style="556" customWidth="1"/>
    <col min="11273" max="11273" width="9.140625" style="556"/>
    <col min="11274" max="11275" width="10.7109375" style="556" customWidth="1"/>
    <col min="11276" max="11276" width="9.140625" style="556"/>
    <col min="11277" max="11277" width="1.7109375" style="556" customWidth="1"/>
    <col min="11278" max="11279" width="10.7109375" style="556" customWidth="1"/>
    <col min="11280" max="11280" width="9.140625" style="556"/>
    <col min="11281" max="11282" width="1.7109375" style="556" customWidth="1"/>
    <col min="11283" max="11284" width="10.7109375" style="556" customWidth="1"/>
    <col min="11285" max="11521" width="9.140625" style="556"/>
    <col min="11522" max="11522" width="22.7109375" style="556" customWidth="1"/>
    <col min="11523" max="11524" width="10.7109375" style="556" customWidth="1"/>
    <col min="11525" max="11525" width="3.7109375" style="556" customWidth="1"/>
    <col min="11526" max="11527" width="10.7109375" style="556" customWidth="1"/>
    <col min="11528" max="11528" width="2.7109375" style="556" customWidth="1"/>
    <col min="11529" max="11529" width="9.140625" style="556"/>
    <col min="11530" max="11531" width="10.7109375" style="556" customWidth="1"/>
    <col min="11532" max="11532" width="9.140625" style="556"/>
    <col min="11533" max="11533" width="1.7109375" style="556" customWidth="1"/>
    <col min="11534" max="11535" width="10.7109375" style="556" customWidth="1"/>
    <col min="11536" max="11536" width="9.140625" style="556"/>
    <col min="11537" max="11538" width="1.7109375" style="556" customWidth="1"/>
    <col min="11539" max="11540" width="10.7109375" style="556" customWidth="1"/>
    <col min="11541" max="11777" width="9.140625" style="556"/>
    <col min="11778" max="11778" width="22.7109375" style="556" customWidth="1"/>
    <col min="11779" max="11780" width="10.7109375" style="556" customWidth="1"/>
    <col min="11781" max="11781" width="3.7109375" style="556" customWidth="1"/>
    <col min="11782" max="11783" width="10.7109375" style="556" customWidth="1"/>
    <col min="11784" max="11784" width="2.7109375" style="556" customWidth="1"/>
    <col min="11785" max="11785" width="9.140625" style="556"/>
    <col min="11786" max="11787" width="10.7109375" style="556" customWidth="1"/>
    <col min="11788" max="11788" width="9.140625" style="556"/>
    <col min="11789" max="11789" width="1.7109375" style="556" customWidth="1"/>
    <col min="11790" max="11791" width="10.7109375" style="556" customWidth="1"/>
    <col min="11792" max="11792" width="9.140625" style="556"/>
    <col min="11793" max="11794" width="1.7109375" style="556" customWidth="1"/>
    <col min="11795" max="11796" width="10.7109375" style="556" customWidth="1"/>
    <col min="11797" max="12033" width="9.140625" style="556"/>
    <col min="12034" max="12034" width="22.7109375" style="556" customWidth="1"/>
    <col min="12035" max="12036" width="10.7109375" style="556" customWidth="1"/>
    <col min="12037" max="12037" width="3.7109375" style="556" customWidth="1"/>
    <col min="12038" max="12039" width="10.7109375" style="556" customWidth="1"/>
    <col min="12040" max="12040" width="2.7109375" style="556" customWidth="1"/>
    <col min="12041" max="12041" width="9.140625" style="556"/>
    <col min="12042" max="12043" width="10.7109375" style="556" customWidth="1"/>
    <col min="12044" max="12044" width="9.140625" style="556"/>
    <col min="12045" max="12045" width="1.7109375" style="556" customWidth="1"/>
    <col min="12046" max="12047" width="10.7109375" style="556" customWidth="1"/>
    <col min="12048" max="12048" width="9.140625" style="556"/>
    <col min="12049" max="12050" width="1.7109375" style="556" customWidth="1"/>
    <col min="12051" max="12052" width="10.7109375" style="556" customWidth="1"/>
    <col min="12053" max="12289" width="9.140625" style="556"/>
    <col min="12290" max="12290" width="22.7109375" style="556" customWidth="1"/>
    <col min="12291" max="12292" width="10.7109375" style="556" customWidth="1"/>
    <col min="12293" max="12293" width="3.7109375" style="556" customWidth="1"/>
    <col min="12294" max="12295" width="10.7109375" style="556" customWidth="1"/>
    <col min="12296" max="12296" width="2.7109375" style="556" customWidth="1"/>
    <col min="12297" max="12297" width="9.140625" style="556"/>
    <col min="12298" max="12299" width="10.7109375" style="556" customWidth="1"/>
    <col min="12300" max="12300" width="9.140625" style="556"/>
    <col min="12301" max="12301" width="1.7109375" style="556" customWidth="1"/>
    <col min="12302" max="12303" width="10.7109375" style="556" customWidth="1"/>
    <col min="12304" max="12304" width="9.140625" style="556"/>
    <col min="12305" max="12306" width="1.7109375" style="556" customWidth="1"/>
    <col min="12307" max="12308" width="10.7109375" style="556" customWidth="1"/>
    <col min="12309" max="12545" width="9.140625" style="556"/>
    <col min="12546" max="12546" width="22.7109375" style="556" customWidth="1"/>
    <col min="12547" max="12548" width="10.7109375" style="556" customWidth="1"/>
    <col min="12549" max="12549" width="3.7109375" style="556" customWidth="1"/>
    <col min="12550" max="12551" width="10.7109375" style="556" customWidth="1"/>
    <col min="12552" max="12552" width="2.7109375" style="556" customWidth="1"/>
    <col min="12553" max="12553" width="9.140625" style="556"/>
    <col min="12554" max="12555" width="10.7109375" style="556" customWidth="1"/>
    <col min="12556" max="12556" width="9.140625" style="556"/>
    <col min="12557" max="12557" width="1.7109375" style="556" customWidth="1"/>
    <col min="12558" max="12559" width="10.7109375" style="556" customWidth="1"/>
    <col min="12560" max="12560" width="9.140625" style="556"/>
    <col min="12561" max="12562" width="1.7109375" style="556" customWidth="1"/>
    <col min="12563" max="12564" width="10.7109375" style="556" customWidth="1"/>
    <col min="12565" max="12801" width="9.140625" style="556"/>
    <col min="12802" max="12802" width="22.7109375" style="556" customWidth="1"/>
    <col min="12803" max="12804" width="10.7109375" style="556" customWidth="1"/>
    <col min="12805" max="12805" width="3.7109375" style="556" customWidth="1"/>
    <col min="12806" max="12807" width="10.7109375" style="556" customWidth="1"/>
    <col min="12808" max="12808" width="2.7109375" style="556" customWidth="1"/>
    <col min="12809" max="12809" width="9.140625" style="556"/>
    <col min="12810" max="12811" width="10.7109375" style="556" customWidth="1"/>
    <col min="12812" max="12812" width="9.140625" style="556"/>
    <col min="12813" max="12813" width="1.7109375" style="556" customWidth="1"/>
    <col min="12814" max="12815" width="10.7109375" style="556" customWidth="1"/>
    <col min="12816" max="12816" width="9.140625" style="556"/>
    <col min="12817" max="12818" width="1.7109375" style="556" customWidth="1"/>
    <col min="12819" max="12820" width="10.7109375" style="556" customWidth="1"/>
    <col min="12821" max="13057" width="9.140625" style="556"/>
    <col min="13058" max="13058" width="22.7109375" style="556" customWidth="1"/>
    <col min="13059" max="13060" width="10.7109375" style="556" customWidth="1"/>
    <col min="13061" max="13061" width="3.7109375" style="556" customWidth="1"/>
    <col min="13062" max="13063" width="10.7109375" style="556" customWidth="1"/>
    <col min="13064" max="13064" width="2.7109375" style="556" customWidth="1"/>
    <col min="13065" max="13065" width="9.140625" style="556"/>
    <col min="13066" max="13067" width="10.7109375" style="556" customWidth="1"/>
    <col min="13068" max="13068" width="9.140625" style="556"/>
    <col min="13069" max="13069" width="1.7109375" style="556" customWidth="1"/>
    <col min="13070" max="13071" width="10.7109375" style="556" customWidth="1"/>
    <col min="13072" max="13072" width="9.140625" style="556"/>
    <col min="13073" max="13074" width="1.7109375" style="556" customWidth="1"/>
    <col min="13075" max="13076" width="10.7109375" style="556" customWidth="1"/>
    <col min="13077" max="13313" width="9.140625" style="556"/>
    <col min="13314" max="13314" width="22.7109375" style="556" customWidth="1"/>
    <col min="13315" max="13316" width="10.7109375" style="556" customWidth="1"/>
    <col min="13317" max="13317" width="3.7109375" style="556" customWidth="1"/>
    <col min="13318" max="13319" width="10.7109375" style="556" customWidth="1"/>
    <col min="13320" max="13320" width="2.7109375" style="556" customWidth="1"/>
    <col min="13321" max="13321" width="9.140625" style="556"/>
    <col min="13322" max="13323" width="10.7109375" style="556" customWidth="1"/>
    <col min="13324" max="13324" width="9.140625" style="556"/>
    <col min="13325" max="13325" width="1.7109375" style="556" customWidth="1"/>
    <col min="13326" max="13327" width="10.7109375" style="556" customWidth="1"/>
    <col min="13328" max="13328" width="9.140625" style="556"/>
    <col min="13329" max="13330" width="1.7109375" style="556" customWidth="1"/>
    <col min="13331" max="13332" width="10.7109375" style="556" customWidth="1"/>
    <col min="13333" max="13569" width="9.140625" style="556"/>
    <col min="13570" max="13570" width="22.7109375" style="556" customWidth="1"/>
    <col min="13571" max="13572" width="10.7109375" style="556" customWidth="1"/>
    <col min="13573" max="13573" width="3.7109375" style="556" customWidth="1"/>
    <col min="13574" max="13575" width="10.7109375" style="556" customWidth="1"/>
    <col min="13576" max="13576" width="2.7109375" style="556" customWidth="1"/>
    <col min="13577" max="13577" width="9.140625" style="556"/>
    <col min="13578" max="13579" width="10.7109375" style="556" customWidth="1"/>
    <col min="13580" max="13580" width="9.140625" style="556"/>
    <col min="13581" max="13581" width="1.7109375" style="556" customWidth="1"/>
    <col min="13582" max="13583" width="10.7109375" style="556" customWidth="1"/>
    <col min="13584" max="13584" width="9.140625" style="556"/>
    <col min="13585" max="13586" width="1.7109375" style="556" customWidth="1"/>
    <col min="13587" max="13588" width="10.7109375" style="556" customWidth="1"/>
    <col min="13589" max="13825" width="9.140625" style="556"/>
    <col min="13826" max="13826" width="22.7109375" style="556" customWidth="1"/>
    <col min="13827" max="13828" width="10.7109375" style="556" customWidth="1"/>
    <col min="13829" max="13829" width="3.7109375" style="556" customWidth="1"/>
    <col min="13830" max="13831" width="10.7109375" style="556" customWidth="1"/>
    <col min="13832" max="13832" width="2.7109375" style="556" customWidth="1"/>
    <col min="13833" max="13833" width="9.140625" style="556"/>
    <col min="13834" max="13835" width="10.7109375" style="556" customWidth="1"/>
    <col min="13836" max="13836" width="9.140625" style="556"/>
    <col min="13837" max="13837" width="1.7109375" style="556" customWidth="1"/>
    <col min="13838" max="13839" width="10.7109375" style="556" customWidth="1"/>
    <col min="13840" max="13840" width="9.140625" style="556"/>
    <col min="13841" max="13842" width="1.7109375" style="556" customWidth="1"/>
    <col min="13843" max="13844" width="10.7109375" style="556" customWidth="1"/>
    <col min="13845" max="14081" width="9.140625" style="556"/>
    <col min="14082" max="14082" width="22.7109375" style="556" customWidth="1"/>
    <col min="14083" max="14084" width="10.7109375" style="556" customWidth="1"/>
    <col min="14085" max="14085" width="3.7109375" style="556" customWidth="1"/>
    <col min="14086" max="14087" width="10.7109375" style="556" customWidth="1"/>
    <col min="14088" max="14088" width="2.7109375" style="556" customWidth="1"/>
    <col min="14089" max="14089" width="9.140625" style="556"/>
    <col min="14090" max="14091" width="10.7109375" style="556" customWidth="1"/>
    <col min="14092" max="14092" width="9.140625" style="556"/>
    <col min="14093" max="14093" width="1.7109375" style="556" customWidth="1"/>
    <col min="14094" max="14095" width="10.7109375" style="556" customWidth="1"/>
    <col min="14096" max="14096" width="9.140625" style="556"/>
    <col min="14097" max="14098" width="1.7109375" style="556" customWidth="1"/>
    <col min="14099" max="14100" width="10.7109375" style="556" customWidth="1"/>
    <col min="14101" max="14337" width="9.140625" style="556"/>
    <col min="14338" max="14338" width="22.7109375" style="556" customWidth="1"/>
    <col min="14339" max="14340" width="10.7109375" style="556" customWidth="1"/>
    <col min="14341" max="14341" width="3.7109375" style="556" customWidth="1"/>
    <col min="14342" max="14343" width="10.7109375" style="556" customWidth="1"/>
    <col min="14344" max="14344" width="2.7109375" style="556" customWidth="1"/>
    <col min="14345" max="14345" width="9.140625" style="556"/>
    <col min="14346" max="14347" width="10.7109375" style="556" customWidth="1"/>
    <col min="14348" max="14348" width="9.140625" style="556"/>
    <col min="14349" max="14349" width="1.7109375" style="556" customWidth="1"/>
    <col min="14350" max="14351" width="10.7109375" style="556" customWidth="1"/>
    <col min="14352" max="14352" width="9.140625" style="556"/>
    <col min="14353" max="14354" width="1.7109375" style="556" customWidth="1"/>
    <col min="14355" max="14356" width="10.7109375" style="556" customWidth="1"/>
    <col min="14357" max="14593" width="9.140625" style="556"/>
    <col min="14594" max="14594" width="22.7109375" style="556" customWidth="1"/>
    <col min="14595" max="14596" width="10.7109375" style="556" customWidth="1"/>
    <col min="14597" max="14597" width="3.7109375" style="556" customWidth="1"/>
    <col min="14598" max="14599" width="10.7109375" style="556" customWidth="1"/>
    <col min="14600" max="14600" width="2.7109375" style="556" customWidth="1"/>
    <col min="14601" max="14601" width="9.140625" style="556"/>
    <col min="14602" max="14603" width="10.7109375" style="556" customWidth="1"/>
    <col min="14604" max="14604" width="9.140625" style="556"/>
    <col min="14605" max="14605" width="1.7109375" style="556" customWidth="1"/>
    <col min="14606" max="14607" width="10.7109375" style="556" customWidth="1"/>
    <col min="14608" max="14608" width="9.140625" style="556"/>
    <col min="14609" max="14610" width="1.7109375" style="556" customWidth="1"/>
    <col min="14611" max="14612" width="10.7109375" style="556" customWidth="1"/>
    <col min="14613" max="14849" width="9.140625" style="556"/>
    <col min="14850" max="14850" width="22.7109375" style="556" customWidth="1"/>
    <col min="14851" max="14852" width="10.7109375" style="556" customWidth="1"/>
    <col min="14853" max="14853" width="3.7109375" style="556" customWidth="1"/>
    <col min="14854" max="14855" width="10.7109375" style="556" customWidth="1"/>
    <col min="14856" max="14856" width="2.7109375" style="556" customWidth="1"/>
    <col min="14857" max="14857" width="9.140625" style="556"/>
    <col min="14858" max="14859" width="10.7109375" style="556" customWidth="1"/>
    <col min="14860" max="14860" width="9.140625" style="556"/>
    <col min="14861" max="14861" width="1.7109375" style="556" customWidth="1"/>
    <col min="14862" max="14863" width="10.7109375" style="556" customWidth="1"/>
    <col min="14864" max="14864" width="9.140625" style="556"/>
    <col min="14865" max="14866" width="1.7109375" style="556" customWidth="1"/>
    <col min="14867" max="14868" width="10.7109375" style="556" customWidth="1"/>
    <col min="14869" max="15105" width="9.140625" style="556"/>
    <col min="15106" max="15106" width="22.7109375" style="556" customWidth="1"/>
    <col min="15107" max="15108" width="10.7109375" style="556" customWidth="1"/>
    <col min="15109" max="15109" width="3.7109375" style="556" customWidth="1"/>
    <col min="15110" max="15111" width="10.7109375" style="556" customWidth="1"/>
    <col min="15112" max="15112" width="2.7109375" style="556" customWidth="1"/>
    <col min="15113" max="15113" width="9.140625" style="556"/>
    <col min="15114" max="15115" width="10.7109375" style="556" customWidth="1"/>
    <col min="15116" max="15116" width="9.140625" style="556"/>
    <col min="15117" max="15117" width="1.7109375" style="556" customWidth="1"/>
    <col min="15118" max="15119" width="10.7109375" style="556" customWidth="1"/>
    <col min="15120" max="15120" width="9.140625" style="556"/>
    <col min="15121" max="15122" width="1.7109375" style="556" customWidth="1"/>
    <col min="15123" max="15124" width="10.7109375" style="556" customWidth="1"/>
    <col min="15125" max="15361" width="9.140625" style="556"/>
    <col min="15362" max="15362" width="22.7109375" style="556" customWidth="1"/>
    <col min="15363" max="15364" width="10.7109375" style="556" customWidth="1"/>
    <col min="15365" max="15365" width="3.7109375" style="556" customWidth="1"/>
    <col min="15366" max="15367" width="10.7109375" style="556" customWidth="1"/>
    <col min="15368" max="15368" width="2.7109375" style="556" customWidth="1"/>
    <col min="15369" max="15369" width="9.140625" style="556"/>
    <col min="15370" max="15371" width="10.7109375" style="556" customWidth="1"/>
    <col min="15372" max="15372" width="9.140625" style="556"/>
    <col min="15373" max="15373" width="1.7109375" style="556" customWidth="1"/>
    <col min="15374" max="15375" width="10.7109375" style="556" customWidth="1"/>
    <col min="15376" max="15376" width="9.140625" style="556"/>
    <col min="15377" max="15378" width="1.7109375" style="556" customWidth="1"/>
    <col min="15379" max="15380" width="10.7109375" style="556" customWidth="1"/>
    <col min="15381" max="15617" width="9.140625" style="556"/>
    <col min="15618" max="15618" width="22.7109375" style="556" customWidth="1"/>
    <col min="15619" max="15620" width="10.7109375" style="556" customWidth="1"/>
    <col min="15621" max="15621" width="3.7109375" style="556" customWidth="1"/>
    <col min="15622" max="15623" width="10.7109375" style="556" customWidth="1"/>
    <col min="15624" max="15624" width="2.7109375" style="556" customWidth="1"/>
    <col min="15625" max="15625" width="9.140625" style="556"/>
    <col min="15626" max="15627" width="10.7109375" style="556" customWidth="1"/>
    <col min="15628" max="15628" width="9.140625" style="556"/>
    <col min="15629" max="15629" width="1.7109375" style="556" customWidth="1"/>
    <col min="15630" max="15631" width="10.7109375" style="556" customWidth="1"/>
    <col min="15632" max="15632" width="9.140625" style="556"/>
    <col min="15633" max="15634" width="1.7109375" style="556" customWidth="1"/>
    <col min="15635" max="15636" width="10.7109375" style="556" customWidth="1"/>
    <col min="15637" max="15873" width="9.140625" style="556"/>
    <col min="15874" max="15874" width="22.7109375" style="556" customWidth="1"/>
    <col min="15875" max="15876" width="10.7109375" style="556" customWidth="1"/>
    <col min="15877" max="15877" width="3.7109375" style="556" customWidth="1"/>
    <col min="15878" max="15879" width="10.7109375" style="556" customWidth="1"/>
    <col min="15880" max="15880" width="2.7109375" style="556" customWidth="1"/>
    <col min="15881" max="15881" width="9.140625" style="556"/>
    <col min="15882" max="15883" width="10.7109375" style="556" customWidth="1"/>
    <col min="15884" max="15884" width="9.140625" style="556"/>
    <col min="15885" max="15885" width="1.7109375" style="556" customWidth="1"/>
    <col min="15886" max="15887" width="10.7109375" style="556" customWidth="1"/>
    <col min="15888" max="15888" width="9.140625" style="556"/>
    <col min="15889" max="15890" width="1.7109375" style="556" customWidth="1"/>
    <col min="15891" max="15892" width="10.7109375" style="556" customWidth="1"/>
    <col min="15893" max="16129" width="9.140625" style="556"/>
    <col min="16130" max="16130" width="22.7109375" style="556" customWidth="1"/>
    <col min="16131" max="16132" width="10.7109375" style="556" customWidth="1"/>
    <col min="16133" max="16133" width="3.7109375" style="556" customWidth="1"/>
    <col min="16134" max="16135" width="10.7109375" style="556" customWidth="1"/>
    <col min="16136" max="16136" width="2.7109375" style="556" customWidth="1"/>
    <col min="16137" max="16137" width="9.140625" style="556"/>
    <col min="16138" max="16139" width="10.7109375" style="556" customWidth="1"/>
    <col min="16140" max="16140" width="9.140625" style="556"/>
    <col min="16141" max="16141" width="1.7109375" style="556" customWidth="1"/>
    <col min="16142" max="16143" width="10.7109375" style="556" customWidth="1"/>
    <col min="16144" max="16144" width="9.140625" style="556"/>
    <col min="16145" max="16146" width="1.7109375" style="556" customWidth="1"/>
    <col min="16147" max="16148" width="10.7109375" style="556" customWidth="1"/>
    <col min="16149" max="16384" width="9.140625" style="556"/>
  </cols>
  <sheetData>
    <row r="2" spans="2:20" ht="20.25" x14ac:dyDescent="0.3">
      <c r="B2" s="555" t="s">
        <v>656</v>
      </c>
    </row>
    <row r="4" spans="2:20" ht="13.5" thickBot="1" x14ac:dyDescent="0.25"/>
    <row r="5" spans="2:20" ht="15.75" x14ac:dyDescent="0.25">
      <c r="B5" s="557" t="s">
        <v>602</v>
      </c>
      <c r="C5" s="558" t="s">
        <v>1</v>
      </c>
      <c r="D5" s="558" t="s">
        <v>15</v>
      </c>
      <c r="E5" s="559"/>
      <c r="F5" s="560" t="s">
        <v>473</v>
      </c>
      <c r="G5" s="561" t="s">
        <v>15</v>
      </c>
      <c r="J5" s="562" t="s">
        <v>498</v>
      </c>
      <c r="K5" s="563"/>
      <c r="N5" s="564" t="s">
        <v>1</v>
      </c>
      <c r="O5" s="565" t="s">
        <v>15</v>
      </c>
      <c r="P5" s="566" t="s">
        <v>504</v>
      </c>
      <c r="S5" s="562" t="s">
        <v>600</v>
      </c>
      <c r="T5" s="563"/>
    </row>
    <row r="6" spans="2:20" x14ac:dyDescent="0.2">
      <c r="B6" s="567"/>
      <c r="C6" s="568" t="s">
        <v>328</v>
      </c>
      <c r="D6" s="568" t="s">
        <v>328</v>
      </c>
      <c r="E6" s="569"/>
      <c r="F6" s="570" t="s">
        <v>3</v>
      </c>
      <c r="G6" s="571" t="s">
        <v>3</v>
      </c>
      <c r="J6" s="572"/>
      <c r="K6" s="573"/>
      <c r="N6" s="574" t="s">
        <v>3</v>
      </c>
      <c r="O6" s="575" t="s">
        <v>3</v>
      </c>
      <c r="P6" s="576" t="s">
        <v>506</v>
      </c>
      <c r="S6" s="572"/>
      <c r="T6" s="573"/>
    </row>
    <row r="7" spans="2:20" x14ac:dyDescent="0.2">
      <c r="B7" s="577" t="s">
        <v>0</v>
      </c>
      <c r="C7" s="578" t="s">
        <v>0</v>
      </c>
      <c r="D7" s="578" t="s">
        <v>0</v>
      </c>
      <c r="E7" s="579"/>
      <c r="F7" s="580" t="s">
        <v>0</v>
      </c>
      <c r="G7" s="581" t="s">
        <v>0</v>
      </c>
      <c r="J7" s="584" t="s">
        <v>476</v>
      </c>
      <c r="K7" s="585" t="s">
        <v>477</v>
      </c>
      <c r="N7" s="574" t="s">
        <v>223</v>
      </c>
      <c r="O7" s="575" t="s">
        <v>223</v>
      </c>
      <c r="P7" s="576" t="s">
        <v>3</v>
      </c>
      <c r="S7" s="582" t="s">
        <v>476</v>
      </c>
      <c r="T7" s="583" t="s">
        <v>477</v>
      </c>
    </row>
    <row r="8" spans="2:20" x14ac:dyDescent="0.2">
      <c r="B8" s="567"/>
      <c r="C8" s="569"/>
      <c r="D8" s="569"/>
      <c r="E8" s="569"/>
      <c r="F8" s="586"/>
      <c r="G8" s="587"/>
      <c r="J8" s="572"/>
      <c r="K8" s="573"/>
      <c r="N8" s="593"/>
      <c r="O8" s="594"/>
      <c r="P8" s="576"/>
      <c r="S8" s="572"/>
      <c r="T8" s="573"/>
    </row>
    <row r="9" spans="2:20" x14ac:dyDescent="0.2">
      <c r="B9" s="567"/>
      <c r="C9" s="569"/>
      <c r="D9" s="569"/>
      <c r="E9" s="569"/>
      <c r="F9" s="586"/>
      <c r="G9" s="587"/>
      <c r="J9" s="572"/>
      <c r="K9" s="573"/>
      <c r="N9" s="593"/>
      <c r="O9" s="594"/>
      <c r="P9" s="576"/>
      <c r="S9" s="572"/>
      <c r="T9" s="573"/>
    </row>
    <row r="10" spans="2:20" x14ac:dyDescent="0.2">
      <c r="B10" s="567" t="s">
        <v>602</v>
      </c>
      <c r="C10" s="588">
        <v>0.5</v>
      </c>
      <c r="D10" s="588">
        <v>0.4</v>
      </c>
      <c r="E10" s="569"/>
      <c r="F10" s="616">
        <v>2.08</v>
      </c>
      <c r="G10" s="617">
        <v>2</v>
      </c>
      <c r="J10" s="591">
        <f>+(C10-D10)*(G10-G$15)/100</f>
        <v>1.1399999999999995E-3</v>
      </c>
      <c r="K10" s="592">
        <f>+C10*(F10-G10)/100</f>
        <v>4.0000000000000034E-4</v>
      </c>
      <c r="N10" s="593">
        <f>+C10*F10</f>
        <v>1.04</v>
      </c>
      <c r="O10" s="594">
        <f>+D10*G10</f>
        <v>0.8</v>
      </c>
      <c r="P10" s="576">
        <f>+C10*G10</f>
        <v>1</v>
      </c>
      <c r="S10" s="591">
        <f>(C10-D10)*((1+G10/100)/(1+G$15/100)-1)</f>
        <v>1.1302795954788889E-3</v>
      </c>
      <c r="T10" s="592">
        <f>C10*((1+F10/100)/(1+G10/100)-1)*(1+G10/100)/(1+P$15/100)</f>
        <v>3.9584364176148044E-4</v>
      </c>
    </row>
    <row r="11" spans="2:20" x14ac:dyDescent="0.2">
      <c r="B11" s="567"/>
      <c r="C11" s="588"/>
      <c r="D11" s="588"/>
      <c r="E11" s="569"/>
      <c r="F11" s="616"/>
      <c r="G11" s="617"/>
      <c r="J11" s="572"/>
      <c r="K11" s="573"/>
      <c r="N11" s="593"/>
      <c r="O11" s="594"/>
      <c r="P11" s="576"/>
      <c r="S11" s="572"/>
      <c r="T11" s="573"/>
    </row>
    <row r="12" spans="2:20" x14ac:dyDescent="0.2">
      <c r="B12" s="567" t="s">
        <v>116</v>
      </c>
      <c r="C12" s="588">
        <v>0.5</v>
      </c>
      <c r="D12" s="588">
        <v>0.6</v>
      </c>
      <c r="E12" s="569"/>
      <c r="F12" s="616">
        <v>0.1</v>
      </c>
      <c r="G12" s="617">
        <v>0.1</v>
      </c>
      <c r="J12" s="591">
        <f>+(C12-D12)*(G12-G$15)/100</f>
        <v>7.5999999999999993E-4</v>
      </c>
      <c r="K12" s="592">
        <f>+C12*(F12-G12)/100</f>
        <v>0</v>
      </c>
      <c r="N12" s="593">
        <f>+C12*F12</f>
        <v>0.05</v>
      </c>
      <c r="O12" s="594">
        <f>+D12*G12</f>
        <v>0.06</v>
      </c>
      <c r="P12" s="576">
        <f>+C12*G12</f>
        <v>0.05</v>
      </c>
      <c r="S12" s="591">
        <f>(C12-D12)*((1+G12/100)/(1+G$15/100)-1)</f>
        <v>7.5351973031926298E-4</v>
      </c>
      <c r="T12" s="592">
        <f>C12*((1+F12/100)/(1+G12/100)-1)*(1+G12/100)/(1+P$15/100)</f>
        <v>0</v>
      </c>
    </row>
    <row r="13" spans="2:20" x14ac:dyDescent="0.2">
      <c r="B13" s="567"/>
      <c r="C13" s="588"/>
      <c r="D13" s="588"/>
      <c r="E13" s="569"/>
      <c r="F13" s="586"/>
      <c r="G13" s="587"/>
      <c r="J13" s="572"/>
      <c r="K13" s="573"/>
      <c r="N13" s="593" t="s">
        <v>0</v>
      </c>
      <c r="O13" s="594"/>
      <c r="P13" s="576"/>
      <c r="S13" s="572"/>
      <c r="T13" s="573"/>
    </row>
    <row r="14" spans="2:20" x14ac:dyDescent="0.2">
      <c r="B14" s="567"/>
      <c r="C14" s="588"/>
      <c r="D14" s="588"/>
      <c r="E14" s="569"/>
      <c r="F14" s="586"/>
      <c r="G14" s="587"/>
      <c r="J14" s="572"/>
      <c r="K14" s="573"/>
      <c r="N14" s="593"/>
      <c r="O14" s="594"/>
      <c r="P14" s="576"/>
      <c r="S14" s="572"/>
      <c r="T14" s="573"/>
    </row>
    <row r="15" spans="2:20" ht="13.5" thickBot="1" x14ac:dyDescent="0.25">
      <c r="B15" s="595" t="s">
        <v>16</v>
      </c>
      <c r="C15" s="596">
        <f>SUM(C10:C12)</f>
        <v>1</v>
      </c>
      <c r="D15" s="596">
        <f>SUM(D10:D12)</f>
        <v>1</v>
      </c>
      <c r="E15" s="597"/>
      <c r="F15" s="598">
        <f>+N15</f>
        <v>1.0900000000000001</v>
      </c>
      <c r="G15" s="599">
        <f>+O15</f>
        <v>0.8600000000000001</v>
      </c>
      <c r="H15" s="600"/>
      <c r="I15" s="600"/>
      <c r="J15" s="601">
        <f>SUM(J10:J12)</f>
        <v>1.8999999999999993E-3</v>
      </c>
      <c r="K15" s="602">
        <f>SUM(K10:K12)</f>
        <v>4.0000000000000034E-4</v>
      </c>
      <c r="L15" s="600"/>
      <c r="N15" s="603">
        <f>SUM(N10:N12)</f>
        <v>1.0900000000000001</v>
      </c>
      <c r="O15" s="604">
        <f>SUM(O10:O12)</f>
        <v>0.8600000000000001</v>
      </c>
      <c r="P15" s="618">
        <f>SUM(P10:P12)</f>
        <v>1.05</v>
      </c>
      <c r="S15" s="601">
        <f>SUM(S10:S12)</f>
        <v>1.8837993257981519E-3</v>
      </c>
      <c r="T15" s="602">
        <f>SUM(T10:T12)</f>
        <v>3.9584364176148044E-4</v>
      </c>
    </row>
    <row r="18" spans="10:23" ht="13.5" thickBot="1" x14ac:dyDescent="0.25"/>
    <row r="19" spans="10:23" ht="15.75" x14ac:dyDescent="0.25">
      <c r="J19" s="606" t="s">
        <v>488</v>
      </c>
      <c r="K19" s="607"/>
      <c r="L19" s="608">
        <f>+(F15-G15)/100</f>
        <v>2.3E-3</v>
      </c>
      <c r="S19" s="606" t="s">
        <v>601</v>
      </c>
      <c r="T19" s="607"/>
      <c r="U19" s="608">
        <f>(1+F15/100)/(1+G15/100)-1</f>
        <v>2.280388657545096E-3</v>
      </c>
    </row>
    <row r="20" spans="10:23" ht="13.5" thickBot="1" x14ac:dyDescent="0.25">
      <c r="J20" s="572"/>
      <c r="K20" s="609"/>
      <c r="L20" s="573"/>
      <c r="S20" s="572"/>
      <c r="T20" s="609"/>
      <c r="U20" s="573"/>
      <c r="W20" s="556" t="s">
        <v>223</v>
      </c>
    </row>
    <row r="21" spans="10:23" x14ac:dyDescent="0.2">
      <c r="J21" s="572" t="s">
        <v>476</v>
      </c>
      <c r="K21" s="609"/>
      <c r="L21" s="610">
        <f>+J15</f>
        <v>1.8999999999999993E-3</v>
      </c>
      <c r="S21" s="572" t="s">
        <v>476</v>
      </c>
      <c r="T21" s="609"/>
      <c r="U21" s="610">
        <f>+S15</f>
        <v>1.8837993257981519E-3</v>
      </c>
      <c r="W21" s="611">
        <f>+(1+P15/100)/(1+G15/100)-1</f>
        <v>1.8837993257980745E-3</v>
      </c>
    </row>
    <row r="22" spans="10:23" ht="13.5" thickBot="1" x14ac:dyDescent="0.25">
      <c r="J22" s="572" t="s">
        <v>477</v>
      </c>
      <c r="K22" s="609"/>
      <c r="L22" s="610">
        <f>+K15</f>
        <v>4.0000000000000034E-4</v>
      </c>
      <c r="S22" s="572" t="s">
        <v>477</v>
      </c>
      <c r="T22" s="609"/>
      <c r="U22" s="610">
        <f>+T15</f>
        <v>3.9584364176148044E-4</v>
      </c>
      <c r="W22" s="612">
        <f>+(1+F15/100)/(1+P15/100)-1</f>
        <v>3.9584364176148412E-4</v>
      </c>
    </row>
    <row r="23" spans="10:23" x14ac:dyDescent="0.2">
      <c r="J23" s="572" t="s">
        <v>0</v>
      </c>
      <c r="K23" s="609"/>
      <c r="L23" s="610" t="s">
        <v>0</v>
      </c>
      <c r="S23" s="572" t="s">
        <v>0</v>
      </c>
      <c r="T23" s="609"/>
      <c r="U23" s="610" t="s">
        <v>0</v>
      </c>
    </row>
    <row r="24" spans="10:23" ht="13.5" thickBot="1" x14ac:dyDescent="0.25">
      <c r="J24" s="613" t="s">
        <v>524</v>
      </c>
      <c r="K24" s="614"/>
      <c r="L24" s="615">
        <f>+L19-L21-L22</f>
        <v>0</v>
      </c>
      <c r="S24" s="613" t="s">
        <v>524</v>
      </c>
      <c r="T24" s="614"/>
      <c r="U24" s="615">
        <f>(1+U19)/((1+U21)*(1+U22))-1</f>
        <v>0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1A89-41EC-4D13-9104-71800B1E8EA4}">
  <dimension ref="B2:U37"/>
  <sheetViews>
    <sheetView workbookViewId="0">
      <selection activeCell="O34" sqref="O34"/>
    </sheetView>
  </sheetViews>
  <sheetFormatPr defaultRowHeight="12.75" x14ac:dyDescent="0.2"/>
  <cols>
    <col min="1" max="1" width="9.140625" style="556"/>
    <col min="2" max="2" width="15.7109375" style="556" customWidth="1"/>
    <col min="3" max="9" width="10.7109375" style="556" customWidth="1"/>
    <col min="10" max="10" width="9.140625" style="556"/>
    <col min="11" max="15" width="10.7109375" style="556" customWidth="1"/>
    <col min="16" max="16" width="9.140625" style="556"/>
    <col min="17" max="18" width="10.7109375" style="556" customWidth="1"/>
    <col min="19" max="20" width="9.140625" style="556"/>
    <col min="21" max="21" width="10.7109375" style="556" customWidth="1"/>
    <col min="22" max="257" width="9.140625" style="556"/>
    <col min="258" max="258" width="15.7109375" style="556" customWidth="1"/>
    <col min="259" max="265" width="10.7109375" style="556" customWidth="1"/>
    <col min="266" max="266" width="9.140625" style="556"/>
    <col min="267" max="271" width="10.7109375" style="556" customWidth="1"/>
    <col min="272" max="272" width="9.140625" style="556"/>
    <col min="273" max="274" width="10.7109375" style="556" customWidth="1"/>
    <col min="275" max="276" width="9.140625" style="556"/>
    <col min="277" max="277" width="10.7109375" style="556" customWidth="1"/>
    <col min="278" max="513" width="9.140625" style="556"/>
    <col min="514" max="514" width="15.7109375" style="556" customWidth="1"/>
    <col min="515" max="521" width="10.7109375" style="556" customWidth="1"/>
    <col min="522" max="522" width="9.140625" style="556"/>
    <col min="523" max="527" width="10.7109375" style="556" customWidth="1"/>
    <col min="528" max="528" width="9.140625" style="556"/>
    <col min="529" max="530" width="10.7109375" style="556" customWidth="1"/>
    <col min="531" max="532" width="9.140625" style="556"/>
    <col min="533" max="533" width="10.7109375" style="556" customWidth="1"/>
    <col min="534" max="769" width="9.140625" style="556"/>
    <col min="770" max="770" width="15.7109375" style="556" customWidth="1"/>
    <col min="771" max="777" width="10.7109375" style="556" customWidth="1"/>
    <col min="778" max="778" width="9.140625" style="556"/>
    <col min="779" max="783" width="10.7109375" style="556" customWidth="1"/>
    <col min="784" max="784" width="9.140625" style="556"/>
    <col min="785" max="786" width="10.7109375" style="556" customWidth="1"/>
    <col min="787" max="788" width="9.140625" style="556"/>
    <col min="789" max="789" width="10.7109375" style="556" customWidth="1"/>
    <col min="790" max="1025" width="9.140625" style="556"/>
    <col min="1026" max="1026" width="15.7109375" style="556" customWidth="1"/>
    <col min="1027" max="1033" width="10.7109375" style="556" customWidth="1"/>
    <col min="1034" max="1034" width="9.140625" style="556"/>
    <col min="1035" max="1039" width="10.7109375" style="556" customWidth="1"/>
    <col min="1040" max="1040" width="9.140625" style="556"/>
    <col min="1041" max="1042" width="10.7109375" style="556" customWidth="1"/>
    <col min="1043" max="1044" width="9.140625" style="556"/>
    <col min="1045" max="1045" width="10.7109375" style="556" customWidth="1"/>
    <col min="1046" max="1281" width="9.140625" style="556"/>
    <col min="1282" max="1282" width="15.7109375" style="556" customWidth="1"/>
    <col min="1283" max="1289" width="10.7109375" style="556" customWidth="1"/>
    <col min="1290" max="1290" width="9.140625" style="556"/>
    <col min="1291" max="1295" width="10.7109375" style="556" customWidth="1"/>
    <col min="1296" max="1296" width="9.140625" style="556"/>
    <col min="1297" max="1298" width="10.7109375" style="556" customWidth="1"/>
    <col min="1299" max="1300" width="9.140625" style="556"/>
    <col min="1301" max="1301" width="10.7109375" style="556" customWidth="1"/>
    <col min="1302" max="1537" width="9.140625" style="556"/>
    <col min="1538" max="1538" width="15.7109375" style="556" customWidth="1"/>
    <col min="1539" max="1545" width="10.7109375" style="556" customWidth="1"/>
    <col min="1546" max="1546" width="9.140625" style="556"/>
    <col min="1547" max="1551" width="10.7109375" style="556" customWidth="1"/>
    <col min="1552" max="1552" width="9.140625" style="556"/>
    <col min="1553" max="1554" width="10.7109375" style="556" customWidth="1"/>
    <col min="1555" max="1556" width="9.140625" style="556"/>
    <col min="1557" max="1557" width="10.7109375" style="556" customWidth="1"/>
    <col min="1558" max="1793" width="9.140625" style="556"/>
    <col min="1794" max="1794" width="15.7109375" style="556" customWidth="1"/>
    <col min="1795" max="1801" width="10.7109375" style="556" customWidth="1"/>
    <col min="1802" max="1802" width="9.140625" style="556"/>
    <col min="1803" max="1807" width="10.7109375" style="556" customWidth="1"/>
    <col min="1808" max="1808" width="9.140625" style="556"/>
    <col min="1809" max="1810" width="10.7109375" style="556" customWidth="1"/>
    <col min="1811" max="1812" width="9.140625" style="556"/>
    <col min="1813" max="1813" width="10.7109375" style="556" customWidth="1"/>
    <col min="1814" max="2049" width="9.140625" style="556"/>
    <col min="2050" max="2050" width="15.7109375" style="556" customWidth="1"/>
    <col min="2051" max="2057" width="10.7109375" style="556" customWidth="1"/>
    <col min="2058" max="2058" width="9.140625" style="556"/>
    <col min="2059" max="2063" width="10.7109375" style="556" customWidth="1"/>
    <col min="2064" max="2064" width="9.140625" style="556"/>
    <col min="2065" max="2066" width="10.7109375" style="556" customWidth="1"/>
    <col min="2067" max="2068" width="9.140625" style="556"/>
    <col min="2069" max="2069" width="10.7109375" style="556" customWidth="1"/>
    <col min="2070" max="2305" width="9.140625" style="556"/>
    <col min="2306" max="2306" width="15.7109375" style="556" customWidth="1"/>
    <col min="2307" max="2313" width="10.7109375" style="556" customWidth="1"/>
    <col min="2314" max="2314" width="9.140625" style="556"/>
    <col min="2315" max="2319" width="10.7109375" style="556" customWidth="1"/>
    <col min="2320" max="2320" width="9.140625" style="556"/>
    <col min="2321" max="2322" width="10.7109375" style="556" customWidth="1"/>
    <col min="2323" max="2324" width="9.140625" style="556"/>
    <col min="2325" max="2325" width="10.7109375" style="556" customWidth="1"/>
    <col min="2326" max="2561" width="9.140625" style="556"/>
    <col min="2562" max="2562" width="15.7109375" style="556" customWidth="1"/>
    <col min="2563" max="2569" width="10.7109375" style="556" customWidth="1"/>
    <col min="2570" max="2570" width="9.140625" style="556"/>
    <col min="2571" max="2575" width="10.7109375" style="556" customWidth="1"/>
    <col min="2576" max="2576" width="9.140625" style="556"/>
    <col min="2577" max="2578" width="10.7109375" style="556" customWidth="1"/>
    <col min="2579" max="2580" width="9.140625" style="556"/>
    <col min="2581" max="2581" width="10.7109375" style="556" customWidth="1"/>
    <col min="2582" max="2817" width="9.140625" style="556"/>
    <col min="2818" max="2818" width="15.7109375" style="556" customWidth="1"/>
    <col min="2819" max="2825" width="10.7109375" style="556" customWidth="1"/>
    <col min="2826" max="2826" width="9.140625" style="556"/>
    <col min="2827" max="2831" width="10.7109375" style="556" customWidth="1"/>
    <col min="2832" max="2832" width="9.140625" style="556"/>
    <col min="2833" max="2834" width="10.7109375" style="556" customWidth="1"/>
    <col min="2835" max="2836" width="9.140625" style="556"/>
    <col min="2837" max="2837" width="10.7109375" style="556" customWidth="1"/>
    <col min="2838" max="3073" width="9.140625" style="556"/>
    <col min="3074" max="3074" width="15.7109375" style="556" customWidth="1"/>
    <col min="3075" max="3081" width="10.7109375" style="556" customWidth="1"/>
    <col min="3082" max="3082" width="9.140625" style="556"/>
    <col min="3083" max="3087" width="10.7109375" style="556" customWidth="1"/>
    <col min="3088" max="3088" width="9.140625" style="556"/>
    <col min="3089" max="3090" width="10.7109375" style="556" customWidth="1"/>
    <col min="3091" max="3092" width="9.140625" style="556"/>
    <col min="3093" max="3093" width="10.7109375" style="556" customWidth="1"/>
    <col min="3094" max="3329" width="9.140625" style="556"/>
    <col min="3330" max="3330" width="15.7109375" style="556" customWidth="1"/>
    <col min="3331" max="3337" width="10.7109375" style="556" customWidth="1"/>
    <col min="3338" max="3338" width="9.140625" style="556"/>
    <col min="3339" max="3343" width="10.7109375" style="556" customWidth="1"/>
    <col min="3344" max="3344" width="9.140625" style="556"/>
    <col min="3345" max="3346" width="10.7109375" style="556" customWidth="1"/>
    <col min="3347" max="3348" width="9.140625" style="556"/>
    <col min="3349" max="3349" width="10.7109375" style="556" customWidth="1"/>
    <col min="3350" max="3585" width="9.140625" style="556"/>
    <col min="3586" max="3586" width="15.7109375" style="556" customWidth="1"/>
    <col min="3587" max="3593" width="10.7109375" style="556" customWidth="1"/>
    <col min="3594" max="3594" width="9.140625" style="556"/>
    <col min="3595" max="3599" width="10.7109375" style="556" customWidth="1"/>
    <col min="3600" max="3600" width="9.140625" style="556"/>
    <col min="3601" max="3602" width="10.7109375" style="556" customWidth="1"/>
    <col min="3603" max="3604" width="9.140625" style="556"/>
    <col min="3605" max="3605" width="10.7109375" style="556" customWidth="1"/>
    <col min="3606" max="3841" width="9.140625" style="556"/>
    <col min="3842" max="3842" width="15.7109375" style="556" customWidth="1"/>
    <col min="3843" max="3849" width="10.7109375" style="556" customWidth="1"/>
    <col min="3850" max="3850" width="9.140625" style="556"/>
    <col min="3851" max="3855" width="10.7109375" style="556" customWidth="1"/>
    <col min="3856" max="3856" width="9.140625" style="556"/>
    <col min="3857" max="3858" width="10.7109375" style="556" customWidth="1"/>
    <col min="3859" max="3860" width="9.140625" style="556"/>
    <col min="3861" max="3861" width="10.7109375" style="556" customWidth="1"/>
    <col min="3862" max="4097" width="9.140625" style="556"/>
    <col min="4098" max="4098" width="15.7109375" style="556" customWidth="1"/>
    <col min="4099" max="4105" width="10.7109375" style="556" customWidth="1"/>
    <col min="4106" max="4106" width="9.140625" style="556"/>
    <col min="4107" max="4111" width="10.7109375" style="556" customWidth="1"/>
    <col min="4112" max="4112" width="9.140625" style="556"/>
    <col min="4113" max="4114" width="10.7109375" style="556" customWidth="1"/>
    <col min="4115" max="4116" width="9.140625" style="556"/>
    <col min="4117" max="4117" width="10.7109375" style="556" customWidth="1"/>
    <col min="4118" max="4353" width="9.140625" style="556"/>
    <col min="4354" max="4354" width="15.7109375" style="556" customWidth="1"/>
    <col min="4355" max="4361" width="10.7109375" style="556" customWidth="1"/>
    <col min="4362" max="4362" width="9.140625" style="556"/>
    <col min="4363" max="4367" width="10.7109375" style="556" customWidth="1"/>
    <col min="4368" max="4368" width="9.140625" style="556"/>
    <col min="4369" max="4370" width="10.7109375" style="556" customWidth="1"/>
    <col min="4371" max="4372" width="9.140625" style="556"/>
    <col min="4373" max="4373" width="10.7109375" style="556" customWidth="1"/>
    <col min="4374" max="4609" width="9.140625" style="556"/>
    <col min="4610" max="4610" width="15.7109375" style="556" customWidth="1"/>
    <col min="4611" max="4617" width="10.7109375" style="556" customWidth="1"/>
    <col min="4618" max="4618" width="9.140625" style="556"/>
    <col min="4619" max="4623" width="10.7109375" style="556" customWidth="1"/>
    <col min="4624" max="4624" width="9.140625" style="556"/>
    <col min="4625" max="4626" width="10.7109375" style="556" customWidth="1"/>
    <col min="4627" max="4628" width="9.140625" style="556"/>
    <col min="4629" max="4629" width="10.7109375" style="556" customWidth="1"/>
    <col min="4630" max="4865" width="9.140625" style="556"/>
    <col min="4866" max="4866" width="15.7109375" style="556" customWidth="1"/>
    <col min="4867" max="4873" width="10.7109375" style="556" customWidth="1"/>
    <col min="4874" max="4874" width="9.140625" style="556"/>
    <col min="4875" max="4879" width="10.7109375" style="556" customWidth="1"/>
    <col min="4880" max="4880" width="9.140625" style="556"/>
    <col min="4881" max="4882" width="10.7109375" style="556" customWidth="1"/>
    <col min="4883" max="4884" width="9.140625" style="556"/>
    <col min="4885" max="4885" width="10.7109375" style="556" customWidth="1"/>
    <col min="4886" max="5121" width="9.140625" style="556"/>
    <col min="5122" max="5122" width="15.7109375" style="556" customWidth="1"/>
    <col min="5123" max="5129" width="10.7109375" style="556" customWidth="1"/>
    <col min="5130" max="5130" width="9.140625" style="556"/>
    <col min="5131" max="5135" width="10.7109375" style="556" customWidth="1"/>
    <col min="5136" max="5136" width="9.140625" style="556"/>
    <col min="5137" max="5138" width="10.7109375" style="556" customWidth="1"/>
    <col min="5139" max="5140" width="9.140625" style="556"/>
    <col min="5141" max="5141" width="10.7109375" style="556" customWidth="1"/>
    <col min="5142" max="5377" width="9.140625" style="556"/>
    <col min="5378" max="5378" width="15.7109375" style="556" customWidth="1"/>
    <col min="5379" max="5385" width="10.7109375" style="556" customWidth="1"/>
    <col min="5386" max="5386" width="9.140625" style="556"/>
    <col min="5387" max="5391" width="10.7109375" style="556" customWidth="1"/>
    <col min="5392" max="5392" width="9.140625" style="556"/>
    <col min="5393" max="5394" width="10.7109375" style="556" customWidth="1"/>
    <col min="5395" max="5396" width="9.140625" style="556"/>
    <col min="5397" max="5397" width="10.7109375" style="556" customWidth="1"/>
    <col min="5398" max="5633" width="9.140625" style="556"/>
    <col min="5634" max="5634" width="15.7109375" style="556" customWidth="1"/>
    <col min="5635" max="5641" width="10.7109375" style="556" customWidth="1"/>
    <col min="5642" max="5642" width="9.140625" style="556"/>
    <col min="5643" max="5647" width="10.7109375" style="556" customWidth="1"/>
    <col min="5648" max="5648" width="9.140625" style="556"/>
    <col min="5649" max="5650" width="10.7109375" style="556" customWidth="1"/>
    <col min="5651" max="5652" width="9.140625" style="556"/>
    <col min="5653" max="5653" width="10.7109375" style="556" customWidth="1"/>
    <col min="5654" max="5889" width="9.140625" style="556"/>
    <col min="5890" max="5890" width="15.7109375" style="556" customWidth="1"/>
    <col min="5891" max="5897" width="10.7109375" style="556" customWidth="1"/>
    <col min="5898" max="5898" width="9.140625" style="556"/>
    <col min="5899" max="5903" width="10.7109375" style="556" customWidth="1"/>
    <col min="5904" max="5904" width="9.140625" style="556"/>
    <col min="5905" max="5906" width="10.7109375" style="556" customWidth="1"/>
    <col min="5907" max="5908" width="9.140625" style="556"/>
    <col min="5909" max="5909" width="10.7109375" style="556" customWidth="1"/>
    <col min="5910" max="6145" width="9.140625" style="556"/>
    <col min="6146" max="6146" width="15.7109375" style="556" customWidth="1"/>
    <col min="6147" max="6153" width="10.7109375" style="556" customWidth="1"/>
    <col min="6154" max="6154" width="9.140625" style="556"/>
    <col min="6155" max="6159" width="10.7109375" style="556" customWidth="1"/>
    <col min="6160" max="6160" width="9.140625" style="556"/>
    <col min="6161" max="6162" width="10.7109375" style="556" customWidth="1"/>
    <col min="6163" max="6164" width="9.140625" style="556"/>
    <col min="6165" max="6165" width="10.7109375" style="556" customWidth="1"/>
    <col min="6166" max="6401" width="9.140625" style="556"/>
    <col min="6402" max="6402" width="15.7109375" style="556" customWidth="1"/>
    <col min="6403" max="6409" width="10.7109375" style="556" customWidth="1"/>
    <col min="6410" max="6410" width="9.140625" style="556"/>
    <col min="6411" max="6415" width="10.7109375" style="556" customWidth="1"/>
    <col min="6416" max="6416" width="9.140625" style="556"/>
    <col min="6417" max="6418" width="10.7109375" style="556" customWidth="1"/>
    <col min="6419" max="6420" width="9.140625" style="556"/>
    <col min="6421" max="6421" width="10.7109375" style="556" customWidth="1"/>
    <col min="6422" max="6657" width="9.140625" style="556"/>
    <col min="6658" max="6658" width="15.7109375" style="556" customWidth="1"/>
    <col min="6659" max="6665" width="10.7109375" style="556" customWidth="1"/>
    <col min="6666" max="6666" width="9.140625" style="556"/>
    <col min="6667" max="6671" width="10.7109375" style="556" customWidth="1"/>
    <col min="6672" max="6672" width="9.140625" style="556"/>
    <col min="6673" max="6674" width="10.7109375" style="556" customWidth="1"/>
    <col min="6675" max="6676" width="9.140625" style="556"/>
    <col min="6677" max="6677" width="10.7109375" style="556" customWidth="1"/>
    <col min="6678" max="6913" width="9.140625" style="556"/>
    <col min="6914" max="6914" width="15.7109375" style="556" customWidth="1"/>
    <col min="6915" max="6921" width="10.7109375" style="556" customWidth="1"/>
    <col min="6922" max="6922" width="9.140625" style="556"/>
    <col min="6923" max="6927" width="10.7109375" style="556" customWidth="1"/>
    <col min="6928" max="6928" width="9.140625" style="556"/>
    <col min="6929" max="6930" width="10.7109375" style="556" customWidth="1"/>
    <col min="6931" max="6932" width="9.140625" style="556"/>
    <col min="6933" max="6933" width="10.7109375" style="556" customWidth="1"/>
    <col min="6934" max="7169" width="9.140625" style="556"/>
    <col min="7170" max="7170" width="15.7109375" style="556" customWidth="1"/>
    <col min="7171" max="7177" width="10.7109375" style="556" customWidth="1"/>
    <col min="7178" max="7178" width="9.140625" style="556"/>
    <col min="7179" max="7183" width="10.7109375" style="556" customWidth="1"/>
    <col min="7184" max="7184" width="9.140625" style="556"/>
    <col min="7185" max="7186" width="10.7109375" style="556" customWidth="1"/>
    <col min="7187" max="7188" width="9.140625" style="556"/>
    <col min="7189" max="7189" width="10.7109375" style="556" customWidth="1"/>
    <col min="7190" max="7425" width="9.140625" style="556"/>
    <col min="7426" max="7426" width="15.7109375" style="556" customWidth="1"/>
    <col min="7427" max="7433" width="10.7109375" style="556" customWidth="1"/>
    <col min="7434" max="7434" width="9.140625" style="556"/>
    <col min="7435" max="7439" width="10.7109375" style="556" customWidth="1"/>
    <col min="7440" max="7440" width="9.140625" style="556"/>
    <col min="7441" max="7442" width="10.7109375" style="556" customWidth="1"/>
    <col min="7443" max="7444" width="9.140625" style="556"/>
    <col min="7445" max="7445" width="10.7109375" style="556" customWidth="1"/>
    <col min="7446" max="7681" width="9.140625" style="556"/>
    <col min="7682" max="7682" width="15.7109375" style="556" customWidth="1"/>
    <col min="7683" max="7689" width="10.7109375" style="556" customWidth="1"/>
    <col min="7690" max="7690" width="9.140625" style="556"/>
    <col min="7691" max="7695" width="10.7109375" style="556" customWidth="1"/>
    <col min="7696" max="7696" width="9.140625" style="556"/>
    <col min="7697" max="7698" width="10.7109375" style="556" customWidth="1"/>
    <col min="7699" max="7700" width="9.140625" style="556"/>
    <col min="7701" max="7701" width="10.7109375" style="556" customWidth="1"/>
    <col min="7702" max="7937" width="9.140625" style="556"/>
    <col min="7938" max="7938" width="15.7109375" style="556" customWidth="1"/>
    <col min="7939" max="7945" width="10.7109375" style="556" customWidth="1"/>
    <col min="7946" max="7946" width="9.140625" style="556"/>
    <col min="7947" max="7951" width="10.7109375" style="556" customWidth="1"/>
    <col min="7952" max="7952" width="9.140625" style="556"/>
    <col min="7953" max="7954" width="10.7109375" style="556" customWidth="1"/>
    <col min="7955" max="7956" width="9.140625" style="556"/>
    <col min="7957" max="7957" width="10.7109375" style="556" customWidth="1"/>
    <col min="7958" max="8193" width="9.140625" style="556"/>
    <col min="8194" max="8194" width="15.7109375" style="556" customWidth="1"/>
    <col min="8195" max="8201" width="10.7109375" style="556" customWidth="1"/>
    <col min="8202" max="8202" width="9.140625" style="556"/>
    <col min="8203" max="8207" width="10.7109375" style="556" customWidth="1"/>
    <col min="8208" max="8208" width="9.140625" style="556"/>
    <col min="8209" max="8210" width="10.7109375" style="556" customWidth="1"/>
    <col min="8211" max="8212" width="9.140625" style="556"/>
    <col min="8213" max="8213" width="10.7109375" style="556" customWidth="1"/>
    <col min="8214" max="8449" width="9.140625" style="556"/>
    <col min="8450" max="8450" width="15.7109375" style="556" customWidth="1"/>
    <col min="8451" max="8457" width="10.7109375" style="556" customWidth="1"/>
    <col min="8458" max="8458" width="9.140625" style="556"/>
    <col min="8459" max="8463" width="10.7109375" style="556" customWidth="1"/>
    <col min="8464" max="8464" width="9.140625" style="556"/>
    <col min="8465" max="8466" width="10.7109375" style="556" customWidth="1"/>
    <col min="8467" max="8468" width="9.140625" style="556"/>
    <col min="8469" max="8469" width="10.7109375" style="556" customWidth="1"/>
    <col min="8470" max="8705" width="9.140625" style="556"/>
    <col min="8706" max="8706" width="15.7109375" style="556" customWidth="1"/>
    <col min="8707" max="8713" width="10.7109375" style="556" customWidth="1"/>
    <col min="8714" max="8714" width="9.140625" style="556"/>
    <col min="8715" max="8719" width="10.7109375" style="556" customWidth="1"/>
    <col min="8720" max="8720" width="9.140625" style="556"/>
    <col min="8721" max="8722" width="10.7109375" style="556" customWidth="1"/>
    <col min="8723" max="8724" width="9.140625" style="556"/>
    <col min="8725" max="8725" width="10.7109375" style="556" customWidth="1"/>
    <col min="8726" max="8961" width="9.140625" style="556"/>
    <col min="8962" max="8962" width="15.7109375" style="556" customWidth="1"/>
    <col min="8963" max="8969" width="10.7109375" style="556" customWidth="1"/>
    <col min="8970" max="8970" width="9.140625" style="556"/>
    <col min="8971" max="8975" width="10.7109375" style="556" customWidth="1"/>
    <col min="8976" max="8976" width="9.140625" style="556"/>
    <col min="8977" max="8978" width="10.7109375" style="556" customWidth="1"/>
    <col min="8979" max="8980" width="9.140625" style="556"/>
    <col min="8981" max="8981" width="10.7109375" style="556" customWidth="1"/>
    <col min="8982" max="9217" width="9.140625" style="556"/>
    <col min="9218" max="9218" width="15.7109375" style="556" customWidth="1"/>
    <col min="9219" max="9225" width="10.7109375" style="556" customWidth="1"/>
    <col min="9226" max="9226" width="9.140625" style="556"/>
    <col min="9227" max="9231" width="10.7109375" style="556" customWidth="1"/>
    <col min="9232" max="9232" width="9.140625" style="556"/>
    <col min="9233" max="9234" width="10.7109375" style="556" customWidth="1"/>
    <col min="9235" max="9236" width="9.140625" style="556"/>
    <col min="9237" max="9237" width="10.7109375" style="556" customWidth="1"/>
    <col min="9238" max="9473" width="9.140625" style="556"/>
    <col min="9474" max="9474" width="15.7109375" style="556" customWidth="1"/>
    <col min="9475" max="9481" width="10.7109375" style="556" customWidth="1"/>
    <col min="9482" max="9482" width="9.140625" style="556"/>
    <col min="9483" max="9487" width="10.7109375" style="556" customWidth="1"/>
    <col min="9488" max="9488" width="9.140625" style="556"/>
    <col min="9489" max="9490" width="10.7109375" style="556" customWidth="1"/>
    <col min="9491" max="9492" width="9.140625" style="556"/>
    <col min="9493" max="9493" width="10.7109375" style="556" customWidth="1"/>
    <col min="9494" max="9729" width="9.140625" style="556"/>
    <col min="9730" max="9730" width="15.7109375" style="556" customWidth="1"/>
    <col min="9731" max="9737" width="10.7109375" style="556" customWidth="1"/>
    <col min="9738" max="9738" width="9.140625" style="556"/>
    <col min="9739" max="9743" width="10.7109375" style="556" customWidth="1"/>
    <col min="9744" max="9744" width="9.140625" style="556"/>
    <col min="9745" max="9746" width="10.7109375" style="556" customWidth="1"/>
    <col min="9747" max="9748" width="9.140625" style="556"/>
    <col min="9749" max="9749" width="10.7109375" style="556" customWidth="1"/>
    <col min="9750" max="9985" width="9.140625" style="556"/>
    <col min="9986" max="9986" width="15.7109375" style="556" customWidth="1"/>
    <col min="9987" max="9993" width="10.7109375" style="556" customWidth="1"/>
    <col min="9994" max="9994" width="9.140625" style="556"/>
    <col min="9995" max="9999" width="10.7109375" style="556" customWidth="1"/>
    <col min="10000" max="10000" width="9.140625" style="556"/>
    <col min="10001" max="10002" width="10.7109375" style="556" customWidth="1"/>
    <col min="10003" max="10004" width="9.140625" style="556"/>
    <col min="10005" max="10005" width="10.7109375" style="556" customWidth="1"/>
    <col min="10006" max="10241" width="9.140625" style="556"/>
    <col min="10242" max="10242" width="15.7109375" style="556" customWidth="1"/>
    <col min="10243" max="10249" width="10.7109375" style="556" customWidth="1"/>
    <col min="10250" max="10250" width="9.140625" style="556"/>
    <col min="10251" max="10255" width="10.7109375" style="556" customWidth="1"/>
    <col min="10256" max="10256" width="9.140625" style="556"/>
    <col min="10257" max="10258" width="10.7109375" style="556" customWidth="1"/>
    <col min="10259" max="10260" width="9.140625" style="556"/>
    <col min="10261" max="10261" width="10.7109375" style="556" customWidth="1"/>
    <col min="10262" max="10497" width="9.140625" style="556"/>
    <col min="10498" max="10498" width="15.7109375" style="556" customWidth="1"/>
    <col min="10499" max="10505" width="10.7109375" style="556" customWidth="1"/>
    <col min="10506" max="10506" width="9.140625" style="556"/>
    <col min="10507" max="10511" width="10.7109375" style="556" customWidth="1"/>
    <col min="10512" max="10512" width="9.140625" style="556"/>
    <col min="10513" max="10514" width="10.7109375" style="556" customWidth="1"/>
    <col min="10515" max="10516" width="9.140625" style="556"/>
    <col min="10517" max="10517" width="10.7109375" style="556" customWidth="1"/>
    <col min="10518" max="10753" width="9.140625" style="556"/>
    <col min="10754" max="10754" width="15.7109375" style="556" customWidth="1"/>
    <col min="10755" max="10761" width="10.7109375" style="556" customWidth="1"/>
    <col min="10762" max="10762" width="9.140625" style="556"/>
    <col min="10763" max="10767" width="10.7109375" style="556" customWidth="1"/>
    <col min="10768" max="10768" width="9.140625" style="556"/>
    <col min="10769" max="10770" width="10.7109375" style="556" customWidth="1"/>
    <col min="10771" max="10772" width="9.140625" style="556"/>
    <col min="10773" max="10773" width="10.7109375" style="556" customWidth="1"/>
    <col min="10774" max="11009" width="9.140625" style="556"/>
    <col min="11010" max="11010" width="15.7109375" style="556" customWidth="1"/>
    <col min="11011" max="11017" width="10.7109375" style="556" customWidth="1"/>
    <col min="11018" max="11018" width="9.140625" style="556"/>
    <col min="11019" max="11023" width="10.7109375" style="556" customWidth="1"/>
    <col min="11024" max="11024" width="9.140625" style="556"/>
    <col min="11025" max="11026" width="10.7109375" style="556" customWidth="1"/>
    <col min="11027" max="11028" width="9.140625" style="556"/>
    <col min="11029" max="11029" width="10.7109375" style="556" customWidth="1"/>
    <col min="11030" max="11265" width="9.140625" style="556"/>
    <col min="11266" max="11266" width="15.7109375" style="556" customWidth="1"/>
    <col min="11267" max="11273" width="10.7109375" style="556" customWidth="1"/>
    <col min="11274" max="11274" width="9.140625" style="556"/>
    <col min="11275" max="11279" width="10.7109375" style="556" customWidth="1"/>
    <col min="11280" max="11280" width="9.140625" style="556"/>
    <col min="11281" max="11282" width="10.7109375" style="556" customWidth="1"/>
    <col min="11283" max="11284" width="9.140625" style="556"/>
    <col min="11285" max="11285" width="10.7109375" style="556" customWidth="1"/>
    <col min="11286" max="11521" width="9.140625" style="556"/>
    <col min="11522" max="11522" width="15.7109375" style="556" customWidth="1"/>
    <col min="11523" max="11529" width="10.7109375" style="556" customWidth="1"/>
    <col min="11530" max="11530" width="9.140625" style="556"/>
    <col min="11531" max="11535" width="10.7109375" style="556" customWidth="1"/>
    <col min="11536" max="11536" width="9.140625" style="556"/>
    <col min="11537" max="11538" width="10.7109375" style="556" customWidth="1"/>
    <col min="11539" max="11540" width="9.140625" style="556"/>
    <col min="11541" max="11541" width="10.7109375" style="556" customWidth="1"/>
    <col min="11542" max="11777" width="9.140625" style="556"/>
    <col min="11778" max="11778" width="15.7109375" style="556" customWidth="1"/>
    <col min="11779" max="11785" width="10.7109375" style="556" customWidth="1"/>
    <col min="11786" max="11786" width="9.140625" style="556"/>
    <col min="11787" max="11791" width="10.7109375" style="556" customWidth="1"/>
    <col min="11792" max="11792" width="9.140625" style="556"/>
    <col min="11793" max="11794" width="10.7109375" style="556" customWidth="1"/>
    <col min="11795" max="11796" width="9.140625" style="556"/>
    <col min="11797" max="11797" width="10.7109375" style="556" customWidth="1"/>
    <col min="11798" max="12033" width="9.140625" style="556"/>
    <col min="12034" max="12034" width="15.7109375" style="556" customWidth="1"/>
    <col min="12035" max="12041" width="10.7109375" style="556" customWidth="1"/>
    <col min="12042" max="12042" width="9.140625" style="556"/>
    <col min="12043" max="12047" width="10.7109375" style="556" customWidth="1"/>
    <col min="12048" max="12048" width="9.140625" style="556"/>
    <col min="12049" max="12050" width="10.7109375" style="556" customWidth="1"/>
    <col min="12051" max="12052" width="9.140625" style="556"/>
    <col min="12053" max="12053" width="10.7109375" style="556" customWidth="1"/>
    <col min="12054" max="12289" width="9.140625" style="556"/>
    <col min="12290" max="12290" width="15.7109375" style="556" customWidth="1"/>
    <col min="12291" max="12297" width="10.7109375" style="556" customWidth="1"/>
    <col min="12298" max="12298" width="9.140625" style="556"/>
    <col min="12299" max="12303" width="10.7109375" style="556" customWidth="1"/>
    <col min="12304" max="12304" width="9.140625" style="556"/>
    <col min="12305" max="12306" width="10.7109375" style="556" customWidth="1"/>
    <col min="12307" max="12308" width="9.140625" style="556"/>
    <col min="12309" max="12309" width="10.7109375" style="556" customWidth="1"/>
    <col min="12310" max="12545" width="9.140625" style="556"/>
    <col min="12546" max="12546" width="15.7109375" style="556" customWidth="1"/>
    <col min="12547" max="12553" width="10.7109375" style="556" customWidth="1"/>
    <col min="12554" max="12554" width="9.140625" style="556"/>
    <col min="12555" max="12559" width="10.7109375" style="556" customWidth="1"/>
    <col min="12560" max="12560" width="9.140625" style="556"/>
    <col min="12561" max="12562" width="10.7109375" style="556" customWidth="1"/>
    <col min="12563" max="12564" width="9.140625" style="556"/>
    <col min="12565" max="12565" width="10.7109375" style="556" customWidth="1"/>
    <col min="12566" max="12801" width="9.140625" style="556"/>
    <col min="12802" max="12802" width="15.7109375" style="556" customWidth="1"/>
    <col min="12803" max="12809" width="10.7109375" style="556" customWidth="1"/>
    <col min="12810" max="12810" width="9.140625" style="556"/>
    <col min="12811" max="12815" width="10.7109375" style="556" customWidth="1"/>
    <col min="12816" max="12816" width="9.140625" style="556"/>
    <col min="12817" max="12818" width="10.7109375" style="556" customWidth="1"/>
    <col min="12819" max="12820" width="9.140625" style="556"/>
    <col min="12821" max="12821" width="10.7109375" style="556" customWidth="1"/>
    <col min="12822" max="13057" width="9.140625" style="556"/>
    <col min="13058" max="13058" width="15.7109375" style="556" customWidth="1"/>
    <col min="13059" max="13065" width="10.7109375" style="556" customWidth="1"/>
    <col min="13066" max="13066" width="9.140625" style="556"/>
    <col min="13067" max="13071" width="10.7109375" style="556" customWidth="1"/>
    <col min="13072" max="13072" width="9.140625" style="556"/>
    <col min="13073" max="13074" width="10.7109375" style="556" customWidth="1"/>
    <col min="13075" max="13076" width="9.140625" style="556"/>
    <col min="13077" max="13077" width="10.7109375" style="556" customWidth="1"/>
    <col min="13078" max="13313" width="9.140625" style="556"/>
    <col min="13314" max="13314" width="15.7109375" style="556" customWidth="1"/>
    <col min="13315" max="13321" width="10.7109375" style="556" customWidth="1"/>
    <col min="13322" max="13322" width="9.140625" style="556"/>
    <col min="13323" max="13327" width="10.7109375" style="556" customWidth="1"/>
    <col min="13328" max="13328" width="9.140625" style="556"/>
    <col min="13329" max="13330" width="10.7109375" style="556" customWidth="1"/>
    <col min="13331" max="13332" width="9.140625" style="556"/>
    <col min="13333" max="13333" width="10.7109375" style="556" customWidth="1"/>
    <col min="13334" max="13569" width="9.140625" style="556"/>
    <col min="13570" max="13570" width="15.7109375" style="556" customWidth="1"/>
    <col min="13571" max="13577" width="10.7109375" style="556" customWidth="1"/>
    <col min="13578" max="13578" width="9.140625" style="556"/>
    <col min="13579" max="13583" width="10.7109375" style="556" customWidth="1"/>
    <col min="13584" max="13584" width="9.140625" style="556"/>
    <col min="13585" max="13586" width="10.7109375" style="556" customWidth="1"/>
    <col min="13587" max="13588" width="9.140625" style="556"/>
    <col min="13589" max="13589" width="10.7109375" style="556" customWidth="1"/>
    <col min="13590" max="13825" width="9.140625" style="556"/>
    <col min="13826" max="13826" width="15.7109375" style="556" customWidth="1"/>
    <col min="13827" max="13833" width="10.7109375" style="556" customWidth="1"/>
    <col min="13834" max="13834" width="9.140625" style="556"/>
    <col min="13835" max="13839" width="10.7109375" style="556" customWidth="1"/>
    <col min="13840" max="13840" width="9.140625" style="556"/>
    <col min="13841" max="13842" width="10.7109375" style="556" customWidth="1"/>
    <col min="13843" max="13844" width="9.140625" style="556"/>
    <col min="13845" max="13845" width="10.7109375" style="556" customWidth="1"/>
    <col min="13846" max="14081" width="9.140625" style="556"/>
    <col min="14082" max="14082" width="15.7109375" style="556" customWidth="1"/>
    <col min="14083" max="14089" width="10.7109375" style="556" customWidth="1"/>
    <col min="14090" max="14090" width="9.140625" style="556"/>
    <col min="14091" max="14095" width="10.7109375" style="556" customWidth="1"/>
    <col min="14096" max="14096" width="9.140625" style="556"/>
    <col min="14097" max="14098" width="10.7109375" style="556" customWidth="1"/>
    <col min="14099" max="14100" width="9.140625" style="556"/>
    <col min="14101" max="14101" width="10.7109375" style="556" customWidth="1"/>
    <col min="14102" max="14337" width="9.140625" style="556"/>
    <col min="14338" max="14338" width="15.7109375" style="556" customWidth="1"/>
    <col min="14339" max="14345" width="10.7109375" style="556" customWidth="1"/>
    <col min="14346" max="14346" width="9.140625" style="556"/>
    <col min="14347" max="14351" width="10.7109375" style="556" customWidth="1"/>
    <col min="14352" max="14352" width="9.140625" style="556"/>
    <col min="14353" max="14354" width="10.7109375" style="556" customWidth="1"/>
    <col min="14355" max="14356" width="9.140625" style="556"/>
    <col min="14357" max="14357" width="10.7109375" style="556" customWidth="1"/>
    <col min="14358" max="14593" width="9.140625" style="556"/>
    <col min="14594" max="14594" width="15.7109375" style="556" customWidth="1"/>
    <col min="14595" max="14601" width="10.7109375" style="556" customWidth="1"/>
    <col min="14602" max="14602" width="9.140625" style="556"/>
    <col min="14603" max="14607" width="10.7109375" style="556" customWidth="1"/>
    <col min="14608" max="14608" width="9.140625" style="556"/>
    <col min="14609" max="14610" width="10.7109375" style="556" customWidth="1"/>
    <col min="14611" max="14612" width="9.140625" style="556"/>
    <col min="14613" max="14613" width="10.7109375" style="556" customWidth="1"/>
    <col min="14614" max="14849" width="9.140625" style="556"/>
    <col min="14850" max="14850" width="15.7109375" style="556" customWidth="1"/>
    <col min="14851" max="14857" width="10.7109375" style="556" customWidth="1"/>
    <col min="14858" max="14858" width="9.140625" style="556"/>
    <col min="14859" max="14863" width="10.7109375" style="556" customWidth="1"/>
    <col min="14864" max="14864" width="9.140625" style="556"/>
    <col min="14865" max="14866" width="10.7109375" style="556" customWidth="1"/>
    <col min="14867" max="14868" width="9.140625" style="556"/>
    <col min="14869" max="14869" width="10.7109375" style="556" customWidth="1"/>
    <col min="14870" max="15105" width="9.140625" style="556"/>
    <col min="15106" max="15106" width="15.7109375" style="556" customWidth="1"/>
    <col min="15107" max="15113" width="10.7109375" style="556" customWidth="1"/>
    <col min="15114" max="15114" width="9.140625" style="556"/>
    <col min="15115" max="15119" width="10.7109375" style="556" customWidth="1"/>
    <col min="15120" max="15120" width="9.140625" style="556"/>
    <col min="15121" max="15122" width="10.7109375" style="556" customWidth="1"/>
    <col min="15123" max="15124" width="9.140625" style="556"/>
    <col min="15125" max="15125" width="10.7109375" style="556" customWidth="1"/>
    <col min="15126" max="15361" width="9.140625" style="556"/>
    <col min="15362" max="15362" width="15.7109375" style="556" customWidth="1"/>
    <col min="15363" max="15369" width="10.7109375" style="556" customWidth="1"/>
    <col min="15370" max="15370" width="9.140625" style="556"/>
    <col min="15371" max="15375" width="10.7109375" style="556" customWidth="1"/>
    <col min="15376" max="15376" width="9.140625" style="556"/>
    <col min="15377" max="15378" width="10.7109375" style="556" customWidth="1"/>
    <col min="15379" max="15380" width="9.140625" style="556"/>
    <col min="15381" max="15381" width="10.7109375" style="556" customWidth="1"/>
    <col min="15382" max="15617" width="9.140625" style="556"/>
    <col min="15618" max="15618" width="15.7109375" style="556" customWidth="1"/>
    <col min="15619" max="15625" width="10.7109375" style="556" customWidth="1"/>
    <col min="15626" max="15626" width="9.140625" style="556"/>
    <col min="15627" max="15631" width="10.7109375" style="556" customWidth="1"/>
    <col min="15632" max="15632" width="9.140625" style="556"/>
    <col min="15633" max="15634" width="10.7109375" style="556" customWidth="1"/>
    <col min="15635" max="15636" width="9.140625" style="556"/>
    <col min="15637" max="15637" width="10.7109375" style="556" customWidth="1"/>
    <col min="15638" max="15873" width="9.140625" style="556"/>
    <col min="15874" max="15874" width="15.7109375" style="556" customWidth="1"/>
    <col min="15875" max="15881" width="10.7109375" style="556" customWidth="1"/>
    <col min="15882" max="15882" width="9.140625" style="556"/>
    <col min="15883" max="15887" width="10.7109375" style="556" customWidth="1"/>
    <col min="15888" max="15888" width="9.140625" style="556"/>
    <col min="15889" max="15890" width="10.7109375" style="556" customWidth="1"/>
    <col min="15891" max="15892" width="9.140625" style="556"/>
    <col min="15893" max="15893" width="10.7109375" style="556" customWidth="1"/>
    <col min="15894" max="16129" width="9.140625" style="556"/>
    <col min="16130" max="16130" width="15.7109375" style="556" customWidth="1"/>
    <col min="16131" max="16137" width="10.7109375" style="556" customWidth="1"/>
    <col min="16138" max="16138" width="9.140625" style="556"/>
    <col min="16139" max="16143" width="10.7109375" style="556" customWidth="1"/>
    <col min="16144" max="16144" width="9.140625" style="556"/>
    <col min="16145" max="16146" width="10.7109375" style="556" customWidth="1"/>
    <col min="16147" max="16148" width="9.140625" style="556"/>
    <col min="16149" max="16149" width="10.7109375" style="556" customWidth="1"/>
    <col min="16150" max="16384" width="9.140625" style="556"/>
  </cols>
  <sheetData>
    <row r="2" spans="2:21" ht="20.25" x14ac:dyDescent="0.3">
      <c r="B2" s="555" t="s">
        <v>682</v>
      </c>
    </row>
    <row r="4" spans="2:21" ht="13.5" thickBot="1" x14ac:dyDescent="0.25"/>
    <row r="5" spans="2:21" ht="15.75" x14ac:dyDescent="0.25">
      <c r="B5" s="628" t="s">
        <v>660</v>
      </c>
      <c r="C5" s="560" t="s">
        <v>1</v>
      </c>
      <c r="D5" s="629" t="s">
        <v>15</v>
      </c>
      <c r="E5" s="560" t="s">
        <v>661</v>
      </c>
      <c r="F5" s="561"/>
      <c r="G5" s="558" t="s">
        <v>359</v>
      </c>
      <c r="H5" s="558" t="s">
        <v>359</v>
      </c>
      <c r="I5" s="561" t="s">
        <v>662</v>
      </c>
      <c r="K5" s="562" t="s">
        <v>0</v>
      </c>
      <c r="L5" s="607" t="s">
        <v>663</v>
      </c>
      <c r="M5" s="630"/>
      <c r="N5" s="630"/>
      <c r="O5" s="563"/>
      <c r="Q5" s="564" t="s">
        <v>1</v>
      </c>
      <c r="R5" s="565" t="s">
        <v>15</v>
      </c>
      <c r="S5" s="631" t="s">
        <v>359</v>
      </c>
      <c r="T5" s="631" t="s">
        <v>662</v>
      </c>
      <c r="U5" s="632" t="s">
        <v>15</v>
      </c>
    </row>
    <row r="6" spans="2:21" ht="15.75" x14ac:dyDescent="0.25">
      <c r="B6" s="633" t="s">
        <v>664</v>
      </c>
      <c r="C6" s="570" t="s">
        <v>328</v>
      </c>
      <c r="D6" s="634" t="s">
        <v>328</v>
      </c>
      <c r="E6" s="570" t="s">
        <v>1</v>
      </c>
      <c r="F6" s="571" t="s">
        <v>15</v>
      </c>
      <c r="G6" s="568" t="s">
        <v>3</v>
      </c>
      <c r="H6" s="568" t="s">
        <v>665</v>
      </c>
      <c r="I6" s="571" t="s">
        <v>666</v>
      </c>
      <c r="K6" s="635"/>
      <c r="L6" s="636"/>
      <c r="M6" s="636" t="s">
        <v>667</v>
      </c>
      <c r="N6" s="636" t="s">
        <v>359</v>
      </c>
      <c r="O6" s="637" t="s">
        <v>478</v>
      </c>
      <c r="Q6" s="574" t="s">
        <v>3</v>
      </c>
      <c r="R6" s="575" t="s">
        <v>3</v>
      </c>
      <c r="S6" s="594" t="s">
        <v>665</v>
      </c>
      <c r="T6" s="594" t="s">
        <v>666</v>
      </c>
      <c r="U6" s="638" t="s">
        <v>666</v>
      </c>
    </row>
    <row r="7" spans="2:21" ht="16.5" thickBot="1" x14ac:dyDescent="0.35">
      <c r="B7" s="639" t="s">
        <v>668</v>
      </c>
      <c r="C7" s="640" t="s">
        <v>479</v>
      </c>
      <c r="D7" s="641" t="s">
        <v>480</v>
      </c>
      <c r="E7" s="640" t="s">
        <v>481</v>
      </c>
      <c r="F7" s="642" t="s">
        <v>482</v>
      </c>
      <c r="G7" s="640" t="s">
        <v>669</v>
      </c>
      <c r="H7" s="643" t="s">
        <v>670</v>
      </c>
      <c r="I7" s="642" t="s">
        <v>671</v>
      </c>
      <c r="K7" s="644" t="s">
        <v>476</v>
      </c>
      <c r="L7" s="645" t="s">
        <v>477</v>
      </c>
      <c r="M7" s="645" t="s">
        <v>666</v>
      </c>
      <c r="N7" s="645" t="s">
        <v>672</v>
      </c>
      <c r="O7" s="646"/>
      <c r="Q7" s="647" t="s">
        <v>673</v>
      </c>
      <c r="R7" s="648" t="s">
        <v>674</v>
      </c>
      <c r="S7" s="648" t="s">
        <v>675</v>
      </c>
      <c r="T7" s="648" t="s">
        <v>676</v>
      </c>
      <c r="U7" s="649" t="s">
        <v>677</v>
      </c>
    </row>
    <row r="8" spans="2:21" x14ac:dyDescent="0.2">
      <c r="B8" s="567"/>
      <c r="C8" s="569"/>
      <c r="D8" s="569"/>
      <c r="E8" s="586"/>
      <c r="F8" s="587"/>
      <c r="G8" s="569"/>
      <c r="H8" s="569"/>
      <c r="I8" s="587"/>
      <c r="K8" s="572"/>
      <c r="L8" s="609"/>
      <c r="M8" s="609"/>
      <c r="N8" s="609"/>
      <c r="O8" s="573"/>
      <c r="Q8" s="593"/>
      <c r="R8" s="594"/>
      <c r="S8" s="594"/>
      <c r="T8" s="594"/>
      <c r="U8" s="638"/>
    </row>
    <row r="9" spans="2:21" x14ac:dyDescent="0.2">
      <c r="B9" s="567"/>
      <c r="C9" s="569"/>
      <c r="D9" s="569"/>
      <c r="E9" s="586"/>
      <c r="F9" s="587"/>
      <c r="G9" s="569"/>
      <c r="H9" s="569"/>
      <c r="I9" s="587"/>
      <c r="K9" s="572"/>
      <c r="L9" s="609"/>
      <c r="M9" s="609"/>
      <c r="N9" s="609"/>
      <c r="O9" s="573"/>
      <c r="Q9" s="593"/>
      <c r="R9" s="594"/>
      <c r="S9" s="594"/>
      <c r="T9" s="594"/>
      <c r="U9" s="638"/>
    </row>
    <row r="10" spans="2:21" x14ac:dyDescent="0.2">
      <c r="B10" s="567" t="s">
        <v>485</v>
      </c>
      <c r="C10" s="588">
        <v>0.4</v>
      </c>
      <c r="D10" s="588">
        <v>0.4</v>
      </c>
      <c r="E10" s="589">
        <v>20</v>
      </c>
      <c r="F10" s="590">
        <v>10</v>
      </c>
      <c r="G10" s="650">
        <v>0</v>
      </c>
      <c r="H10" s="650">
        <v>0</v>
      </c>
      <c r="I10" s="590">
        <v>0</v>
      </c>
      <c r="K10" s="651">
        <f>(C10-D10)*(F10-H10-U$25)</f>
        <v>0</v>
      </c>
      <c r="L10" s="652">
        <f>+D10*(E10-G10-F10+G10)</f>
        <v>4</v>
      </c>
      <c r="M10" s="652">
        <f>+(C10-D10)*(I10-T$25)</f>
        <v>0</v>
      </c>
      <c r="N10" s="652">
        <f>(C10-D10)*(H10-S$25)</f>
        <v>0</v>
      </c>
      <c r="O10" s="653">
        <f>(C10-D10)*(E10-G10-F10+G10)</f>
        <v>0</v>
      </c>
      <c r="Q10" s="654">
        <f>+C10*E10</f>
        <v>8</v>
      </c>
      <c r="R10" s="655">
        <f>+D10*F10</f>
        <v>4</v>
      </c>
      <c r="S10" s="655">
        <f>D10*H10</f>
        <v>0</v>
      </c>
      <c r="T10" s="655">
        <f>D10*I10</f>
        <v>0</v>
      </c>
      <c r="U10" s="656">
        <f>D10*(F10-G10)</f>
        <v>4</v>
      </c>
    </row>
    <row r="11" spans="2:21" x14ac:dyDescent="0.2">
      <c r="B11" s="567"/>
      <c r="C11" s="588"/>
      <c r="D11" s="588"/>
      <c r="E11" s="589"/>
      <c r="F11" s="590"/>
      <c r="G11" s="650"/>
      <c r="H11" s="650"/>
      <c r="I11" s="590"/>
      <c r="K11" s="651"/>
      <c r="L11" s="652"/>
      <c r="M11" s="652"/>
      <c r="N11" s="652"/>
      <c r="O11" s="653"/>
      <c r="Q11" s="654"/>
      <c r="R11" s="655"/>
      <c r="S11" s="655"/>
      <c r="T11" s="655"/>
      <c r="U11" s="656"/>
    </row>
    <row r="12" spans="2:21" x14ac:dyDescent="0.2">
      <c r="B12" s="567" t="s">
        <v>486</v>
      </c>
      <c r="C12" s="588">
        <v>0.3</v>
      </c>
      <c r="D12" s="588">
        <v>0.2</v>
      </c>
      <c r="E12" s="589">
        <v>4.5</v>
      </c>
      <c r="F12" s="590">
        <v>5.6</v>
      </c>
      <c r="G12" s="650">
        <v>10</v>
      </c>
      <c r="H12" s="650">
        <v>9</v>
      </c>
      <c r="I12" s="590">
        <v>1</v>
      </c>
      <c r="K12" s="651">
        <f>(C12-D12)*(F12-G12-U$25)</f>
        <v>-1.1359999999999999</v>
      </c>
      <c r="L12" s="652">
        <f>+D12*(E12-G12-F12+G12)</f>
        <v>-0.21999999999999995</v>
      </c>
      <c r="M12" s="652">
        <f>+(C12-D12)*(I12-T$25)</f>
        <v>0</v>
      </c>
      <c r="N12" s="652">
        <f>(C12-D12)*(H12-S$25)</f>
        <v>0</v>
      </c>
      <c r="O12" s="653">
        <f>(C12-D12)*(E12-G12-F12+G12)</f>
        <v>-0.10999999999999995</v>
      </c>
      <c r="Q12" s="654">
        <f>+C12*E12</f>
        <v>1.3499999999999999</v>
      </c>
      <c r="R12" s="655">
        <f>+D12*F12</f>
        <v>1.1199999999999999</v>
      </c>
      <c r="S12" s="655">
        <f>D12*H12</f>
        <v>1.8</v>
      </c>
      <c r="T12" s="655">
        <f>D12*I12</f>
        <v>0.2</v>
      </c>
      <c r="U12" s="656">
        <f>D12*(F12-G12)</f>
        <v>-0.88000000000000012</v>
      </c>
    </row>
    <row r="13" spans="2:21" x14ac:dyDescent="0.2">
      <c r="B13" s="567"/>
      <c r="C13" s="588"/>
      <c r="D13" s="588"/>
      <c r="E13" s="589"/>
      <c r="F13" s="590"/>
      <c r="G13" s="650"/>
      <c r="H13" s="650"/>
      <c r="I13" s="590"/>
      <c r="K13" s="651"/>
      <c r="L13" s="652" t="s">
        <v>0</v>
      </c>
      <c r="M13" s="652" t="s">
        <v>0</v>
      </c>
      <c r="N13" s="652"/>
      <c r="O13" s="653"/>
      <c r="Q13" s="654"/>
      <c r="R13" s="655"/>
      <c r="S13" s="655"/>
      <c r="T13" s="655"/>
      <c r="U13" s="656"/>
    </row>
    <row r="14" spans="2:21" x14ac:dyDescent="0.2">
      <c r="B14" s="567" t="s">
        <v>487</v>
      </c>
      <c r="C14" s="588">
        <v>0.3</v>
      </c>
      <c r="D14" s="588">
        <v>0.4</v>
      </c>
      <c r="E14" s="589">
        <v>27.2</v>
      </c>
      <c r="F14" s="590">
        <v>29.6</v>
      </c>
      <c r="G14" s="650">
        <v>20</v>
      </c>
      <c r="H14" s="650">
        <v>18</v>
      </c>
      <c r="I14" s="590">
        <v>2</v>
      </c>
      <c r="K14" s="651">
        <f>(C14-D14)*(F14-G14-U$25)</f>
        <v>-0.26400000000000012</v>
      </c>
      <c r="L14" s="652">
        <f>+D14*(E14-G14-F14+G14)</f>
        <v>-0.96000000000000085</v>
      </c>
      <c r="M14" s="652">
        <f>+(C14-D14)*(I14-T$25)</f>
        <v>-0.10000000000000003</v>
      </c>
      <c r="N14" s="652">
        <f>(C14-D14)*(H14-S$25)</f>
        <v>-0.90000000000000036</v>
      </c>
      <c r="O14" s="653">
        <f>(C14-D14)*(E14-G14-F14+G14)</f>
        <v>0.2400000000000003</v>
      </c>
      <c r="Q14" s="654">
        <f>+C14*E14</f>
        <v>8.16</v>
      </c>
      <c r="R14" s="655">
        <f>+D14*F14</f>
        <v>11.840000000000002</v>
      </c>
      <c r="S14" s="655">
        <f>D14*H14</f>
        <v>7.2</v>
      </c>
      <c r="T14" s="655">
        <f>D14*I14</f>
        <v>0.8</v>
      </c>
      <c r="U14" s="656">
        <f>D14*(F14-G14)</f>
        <v>3.8400000000000007</v>
      </c>
    </row>
    <row r="15" spans="2:21" ht="13.5" thickBot="1" x14ac:dyDescent="0.25">
      <c r="B15" s="657"/>
      <c r="C15" s="658"/>
      <c r="D15" s="658"/>
      <c r="E15" s="659"/>
      <c r="F15" s="660"/>
      <c r="G15" s="661"/>
      <c r="H15" s="661"/>
      <c r="I15" s="662"/>
      <c r="K15" s="591"/>
      <c r="L15" s="663"/>
      <c r="M15" s="663"/>
      <c r="N15" s="652"/>
      <c r="O15" s="653"/>
      <c r="Q15" s="654"/>
      <c r="R15" s="655"/>
      <c r="S15" s="655"/>
      <c r="T15" s="655"/>
      <c r="U15" s="656"/>
    </row>
    <row r="16" spans="2:21" x14ac:dyDescent="0.2">
      <c r="B16" s="567"/>
      <c r="C16" s="569"/>
      <c r="D16" s="569"/>
      <c r="E16" s="589"/>
      <c r="F16" s="590"/>
      <c r="K16" s="591"/>
      <c r="L16" s="663"/>
      <c r="M16" s="663"/>
      <c r="N16" s="652"/>
      <c r="O16" s="653"/>
      <c r="Q16" s="654"/>
      <c r="R16" s="655"/>
      <c r="S16" s="655"/>
      <c r="T16" s="655"/>
      <c r="U16" s="656"/>
    </row>
    <row r="17" spans="2:21" x14ac:dyDescent="0.2">
      <c r="B17" s="567"/>
      <c r="C17" s="588" t="s">
        <v>0</v>
      </c>
      <c r="D17" s="588"/>
      <c r="E17" s="586"/>
      <c r="F17" s="587"/>
      <c r="K17" s="572"/>
      <c r="L17" s="663"/>
      <c r="M17" s="609"/>
      <c r="N17" s="652"/>
      <c r="O17" s="653"/>
      <c r="Q17" s="654"/>
      <c r="R17" s="655"/>
      <c r="S17" s="655"/>
      <c r="T17" s="655"/>
      <c r="U17" s="656"/>
    </row>
    <row r="18" spans="2:21" x14ac:dyDescent="0.2">
      <c r="B18" s="567" t="s">
        <v>678</v>
      </c>
      <c r="C18" s="588">
        <v>0.2</v>
      </c>
      <c r="D18" s="588">
        <v>0.3</v>
      </c>
      <c r="E18" s="586" t="s">
        <v>0</v>
      </c>
      <c r="F18" s="617">
        <f>+Z18</f>
        <v>0</v>
      </c>
      <c r="K18" s="572"/>
      <c r="L18" s="663"/>
      <c r="M18" s="663" t="s">
        <v>0</v>
      </c>
      <c r="N18" s="652">
        <f>(C18-D18)*(F18-S$25)</f>
        <v>0.8999999999999998</v>
      </c>
      <c r="O18" s="653"/>
      <c r="Q18" s="654">
        <f>C18*F18</f>
        <v>0</v>
      </c>
      <c r="R18" s="655">
        <f>D18*F18</f>
        <v>0</v>
      </c>
      <c r="S18" s="655"/>
      <c r="T18" s="655"/>
      <c r="U18" s="656"/>
    </row>
    <row r="19" spans="2:21" x14ac:dyDescent="0.2">
      <c r="B19" s="567"/>
      <c r="C19" s="588"/>
      <c r="D19" s="588"/>
      <c r="E19" s="586"/>
      <c r="F19" s="617"/>
      <c r="K19" s="572"/>
      <c r="L19" s="663"/>
      <c r="M19" s="609"/>
      <c r="N19" s="652"/>
      <c r="O19" s="653"/>
      <c r="Q19" s="654"/>
      <c r="R19" s="655"/>
      <c r="S19" s="655"/>
      <c r="T19" s="655"/>
      <c r="U19" s="656"/>
    </row>
    <row r="20" spans="2:21" x14ac:dyDescent="0.2">
      <c r="B20" s="567" t="s">
        <v>679</v>
      </c>
      <c r="C20" s="588">
        <v>-0.15</v>
      </c>
      <c r="D20" s="588">
        <v>-0.1</v>
      </c>
      <c r="E20" s="589" t="s">
        <v>0</v>
      </c>
      <c r="F20" s="617">
        <v>8.91</v>
      </c>
      <c r="K20" s="572"/>
      <c r="L20" s="663"/>
      <c r="M20" s="663" t="s">
        <v>0</v>
      </c>
      <c r="N20" s="652">
        <f>(C20-D20)*(F20-S$25)</f>
        <v>4.4999999999999919E-3</v>
      </c>
      <c r="O20" s="653"/>
      <c r="Q20" s="654">
        <f>C20*F20</f>
        <v>-1.3365</v>
      </c>
      <c r="R20" s="655">
        <f>D20*F20</f>
        <v>-0.89100000000000001</v>
      </c>
      <c r="S20" s="655"/>
      <c r="T20" s="655"/>
      <c r="U20" s="656"/>
    </row>
    <row r="21" spans="2:21" x14ac:dyDescent="0.2">
      <c r="B21" s="567"/>
      <c r="C21" s="588"/>
      <c r="D21" s="588"/>
      <c r="E21" s="586"/>
      <c r="F21" s="617"/>
      <c r="K21" s="572"/>
      <c r="L21" s="663"/>
      <c r="M21" s="609"/>
      <c r="N21" s="652"/>
      <c r="O21" s="653"/>
      <c r="Q21" s="654"/>
      <c r="R21" s="655"/>
      <c r="S21" s="655"/>
      <c r="T21" s="655"/>
      <c r="U21" s="656"/>
    </row>
    <row r="22" spans="2:21" x14ac:dyDescent="0.2">
      <c r="B22" s="567" t="s">
        <v>680</v>
      </c>
      <c r="C22" s="588">
        <v>-0.05</v>
      </c>
      <c r="D22" s="588">
        <v>-0.2</v>
      </c>
      <c r="E22" s="589" t="s">
        <v>0</v>
      </c>
      <c r="F22" s="617">
        <v>17.649999999999999</v>
      </c>
      <c r="K22" s="572"/>
      <c r="L22" s="663"/>
      <c r="M22" s="663" t="s">
        <v>0</v>
      </c>
      <c r="N22" s="652">
        <f>(C22-D22)*(F22-S$25)</f>
        <v>1.2974999999999999</v>
      </c>
      <c r="O22" s="653"/>
      <c r="Q22" s="654">
        <f>C22*F22</f>
        <v>-0.88249999999999995</v>
      </c>
      <c r="R22" s="655">
        <f>D22*F22</f>
        <v>-3.53</v>
      </c>
      <c r="S22" s="655"/>
      <c r="T22" s="655"/>
      <c r="U22" s="656"/>
    </row>
    <row r="23" spans="2:21" ht="13.5" thickBot="1" x14ac:dyDescent="0.25">
      <c r="B23" s="567"/>
      <c r="C23" s="588"/>
      <c r="D23" s="588"/>
      <c r="E23" s="589"/>
      <c r="F23" s="590"/>
      <c r="K23" s="572"/>
      <c r="L23" s="663"/>
      <c r="M23" s="663"/>
      <c r="N23" s="609"/>
      <c r="O23" s="573"/>
      <c r="Q23" s="654"/>
      <c r="R23" s="655"/>
      <c r="S23" s="655"/>
      <c r="T23" s="655"/>
      <c r="U23" s="656"/>
    </row>
    <row r="24" spans="2:21" x14ac:dyDescent="0.2">
      <c r="B24" s="664"/>
      <c r="C24" s="665"/>
      <c r="D24" s="665"/>
      <c r="E24" s="666"/>
      <c r="F24" s="667"/>
      <c r="K24" s="651"/>
      <c r="L24" s="652"/>
      <c r="M24" s="652"/>
      <c r="N24" s="609"/>
      <c r="O24" s="573"/>
      <c r="Q24" s="654"/>
      <c r="R24" s="655"/>
      <c r="S24" s="655"/>
      <c r="T24" s="655"/>
      <c r="U24" s="656"/>
    </row>
    <row r="25" spans="2:21" ht="16.5" thickBot="1" x14ac:dyDescent="0.3">
      <c r="B25" s="595" t="s">
        <v>16</v>
      </c>
      <c r="C25" s="596">
        <f>SUM(C10:C22)</f>
        <v>1</v>
      </c>
      <c r="D25" s="596">
        <v>1</v>
      </c>
      <c r="E25" s="668">
        <f>+Q25</f>
        <v>15.290999999999997</v>
      </c>
      <c r="F25" s="669">
        <f>+R25</f>
        <v>12.539000000000003</v>
      </c>
      <c r="J25" s="600"/>
      <c r="K25" s="670">
        <f>SUM(K10:K14)</f>
        <v>-1.4</v>
      </c>
      <c r="L25" s="671">
        <f>SUM(L10:L23)</f>
        <v>2.8199999999999994</v>
      </c>
      <c r="M25" s="671">
        <f>SUM(M10:M14)</f>
        <v>-0.10000000000000003</v>
      </c>
      <c r="N25" s="671">
        <f>SUM(N10:N23)</f>
        <v>1.3019999999999994</v>
      </c>
      <c r="O25" s="672">
        <f>SUM(O10:O23)</f>
        <v>0.13000000000000034</v>
      </c>
      <c r="Q25" s="673">
        <f>SUM(Q10:Q22)</f>
        <v>15.290999999999997</v>
      </c>
      <c r="R25" s="674">
        <f>SUM(R10:R22)</f>
        <v>12.539000000000003</v>
      </c>
      <c r="S25" s="674">
        <f>SUM(S10:S24)</f>
        <v>9</v>
      </c>
      <c r="T25" s="674">
        <f>SUM(T10:T24)</f>
        <v>1</v>
      </c>
      <c r="U25" s="675">
        <f>SUM(U10:U24)</f>
        <v>6.9600000000000009</v>
      </c>
    </row>
    <row r="28" spans="2:21" ht="13.5" thickBot="1" x14ac:dyDescent="0.25"/>
    <row r="29" spans="2:21" ht="15.75" x14ac:dyDescent="0.25">
      <c r="K29" s="606" t="s">
        <v>507</v>
      </c>
      <c r="L29" s="676"/>
      <c r="M29" s="677">
        <f>+E25-F25</f>
        <v>2.7519999999999936</v>
      </c>
    </row>
    <row r="30" spans="2:21" x14ac:dyDescent="0.2">
      <c r="K30" s="572"/>
      <c r="L30" s="609"/>
      <c r="M30" s="678"/>
    </row>
    <row r="31" spans="2:21" x14ac:dyDescent="0.2">
      <c r="K31" s="572" t="s">
        <v>476</v>
      </c>
      <c r="L31" s="609"/>
      <c r="M31" s="678">
        <f>+K25</f>
        <v>-1.4</v>
      </c>
    </row>
    <row r="32" spans="2:21" x14ac:dyDescent="0.2">
      <c r="K32" s="572" t="s">
        <v>484</v>
      </c>
      <c r="L32" s="609"/>
      <c r="M32" s="678">
        <f>+L25</f>
        <v>2.8199999999999994</v>
      </c>
    </row>
    <row r="33" spans="11:13" x14ac:dyDescent="0.2">
      <c r="K33" s="572" t="s">
        <v>657</v>
      </c>
      <c r="L33" s="609"/>
      <c r="M33" s="678">
        <f>+M25</f>
        <v>-0.10000000000000003</v>
      </c>
    </row>
    <row r="34" spans="11:13" x14ac:dyDescent="0.2">
      <c r="K34" s="572" t="s">
        <v>681</v>
      </c>
      <c r="L34" s="609"/>
      <c r="M34" s="678">
        <f>+N25</f>
        <v>1.3019999999999994</v>
      </c>
    </row>
    <row r="35" spans="11:13" x14ac:dyDescent="0.2">
      <c r="K35" s="572" t="s">
        <v>478</v>
      </c>
      <c r="L35" s="609"/>
      <c r="M35" s="678">
        <f>+O25</f>
        <v>0.13000000000000034</v>
      </c>
    </row>
    <row r="36" spans="11:13" x14ac:dyDescent="0.2">
      <c r="K36" s="572"/>
      <c r="L36" s="609"/>
      <c r="M36" s="678"/>
    </row>
    <row r="37" spans="11:13" ht="13.5" thickBot="1" x14ac:dyDescent="0.25">
      <c r="K37" s="613" t="s">
        <v>524</v>
      </c>
      <c r="L37" s="614"/>
      <c r="M37" s="679">
        <f>M29-SUM(M31:M35)</f>
        <v>-5.773159728050814E-15</v>
      </c>
    </row>
  </sheetData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9697" r:id="rId4">
          <objectPr defaultSize="0" autoPict="0" r:id="rId5">
            <anchor moveWithCells="1" sizeWithCells="1">
              <from>
                <xdr:col>2</xdr:col>
                <xdr:colOff>371475</xdr:colOff>
                <xdr:row>15</xdr:row>
                <xdr:rowOff>38100</xdr:rowOff>
              </from>
              <to>
                <xdr:col>2</xdr:col>
                <xdr:colOff>552450</xdr:colOff>
                <xdr:row>16</xdr:row>
                <xdr:rowOff>104775</xdr:rowOff>
              </to>
            </anchor>
          </objectPr>
        </oleObject>
      </mc:Choice>
      <mc:Fallback>
        <oleObject progId="Equation.3" shapeId="29697" r:id="rId4"/>
      </mc:Fallback>
    </mc:AlternateContent>
    <mc:AlternateContent xmlns:mc="http://schemas.openxmlformats.org/markup-compatibility/2006">
      <mc:Choice Requires="x14">
        <oleObject progId="Equation.3" shapeId="29698" r:id="rId6">
          <objectPr defaultSize="0" autoPict="0" r:id="rId7">
            <anchor moveWithCells="1" sizeWithCells="1">
              <from>
                <xdr:col>3</xdr:col>
                <xdr:colOff>333375</xdr:colOff>
                <xdr:row>15</xdr:row>
                <xdr:rowOff>38100</xdr:rowOff>
              </from>
              <to>
                <xdr:col>3</xdr:col>
                <xdr:colOff>523875</xdr:colOff>
                <xdr:row>16</xdr:row>
                <xdr:rowOff>133350</xdr:rowOff>
              </to>
            </anchor>
          </objectPr>
        </oleObject>
      </mc:Choice>
      <mc:Fallback>
        <oleObject progId="Equation.3" shapeId="29698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30E8-4CDC-41A1-88A2-76B5E5C6165F}">
  <dimension ref="B2:S36"/>
  <sheetViews>
    <sheetView workbookViewId="0">
      <selection activeCell="P33" sqref="P33"/>
    </sheetView>
  </sheetViews>
  <sheetFormatPr defaultRowHeight="12.75" x14ac:dyDescent="0.2"/>
  <cols>
    <col min="1" max="1" width="9.140625" style="556"/>
    <col min="2" max="2" width="15.7109375" style="556" customWidth="1"/>
    <col min="3" max="8" width="10.7109375" style="556" customWidth="1"/>
    <col min="9" max="9" width="9.140625" style="556"/>
    <col min="10" max="11" width="10.7109375" style="556" customWidth="1"/>
    <col min="12" max="12" width="12.7109375" style="556" customWidth="1"/>
    <col min="13" max="14" width="9.140625" style="556"/>
    <col min="15" max="16" width="10.7109375" style="556" customWidth="1"/>
    <col min="17" max="17" width="9.140625" style="556"/>
    <col min="18" max="19" width="10.7109375" style="556" customWidth="1"/>
    <col min="20" max="257" width="9.140625" style="556"/>
    <col min="258" max="258" width="15.7109375" style="556" customWidth="1"/>
    <col min="259" max="264" width="10.7109375" style="556" customWidth="1"/>
    <col min="265" max="265" width="9.140625" style="556"/>
    <col min="266" max="267" width="10.7109375" style="556" customWidth="1"/>
    <col min="268" max="268" width="12.7109375" style="556" customWidth="1"/>
    <col min="269" max="270" width="9.140625" style="556"/>
    <col min="271" max="272" width="10.7109375" style="556" customWidth="1"/>
    <col min="273" max="273" width="9.140625" style="556"/>
    <col min="274" max="275" width="10.7109375" style="556" customWidth="1"/>
    <col min="276" max="513" width="9.140625" style="556"/>
    <col min="514" max="514" width="15.7109375" style="556" customWidth="1"/>
    <col min="515" max="520" width="10.7109375" style="556" customWidth="1"/>
    <col min="521" max="521" width="9.140625" style="556"/>
    <col min="522" max="523" width="10.7109375" style="556" customWidth="1"/>
    <col min="524" max="524" width="12.7109375" style="556" customWidth="1"/>
    <col min="525" max="526" width="9.140625" style="556"/>
    <col min="527" max="528" width="10.7109375" style="556" customWidth="1"/>
    <col min="529" max="529" width="9.140625" style="556"/>
    <col min="530" max="531" width="10.7109375" style="556" customWidth="1"/>
    <col min="532" max="769" width="9.140625" style="556"/>
    <col min="770" max="770" width="15.7109375" style="556" customWidth="1"/>
    <col min="771" max="776" width="10.7109375" style="556" customWidth="1"/>
    <col min="777" max="777" width="9.140625" style="556"/>
    <col min="778" max="779" width="10.7109375" style="556" customWidth="1"/>
    <col min="780" max="780" width="12.7109375" style="556" customWidth="1"/>
    <col min="781" max="782" width="9.140625" style="556"/>
    <col min="783" max="784" width="10.7109375" style="556" customWidth="1"/>
    <col min="785" max="785" width="9.140625" style="556"/>
    <col min="786" max="787" width="10.7109375" style="556" customWidth="1"/>
    <col min="788" max="1025" width="9.140625" style="556"/>
    <col min="1026" max="1026" width="15.7109375" style="556" customWidth="1"/>
    <col min="1027" max="1032" width="10.7109375" style="556" customWidth="1"/>
    <col min="1033" max="1033" width="9.140625" style="556"/>
    <col min="1034" max="1035" width="10.7109375" style="556" customWidth="1"/>
    <col min="1036" max="1036" width="12.7109375" style="556" customWidth="1"/>
    <col min="1037" max="1038" width="9.140625" style="556"/>
    <col min="1039" max="1040" width="10.7109375" style="556" customWidth="1"/>
    <col min="1041" max="1041" width="9.140625" style="556"/>
    <col min="1042" max="1043" width="10.7109375" style="556" customWidth="1"/>
    <col min="1044" max="1281" width="9.140625" style="556"/>
    <col min="1282" max="1282" width="15.7109375" style="556" customWidth="1"/>
    <col min="1283" max="1288" width="10.7109375" style="556" customWidth="1"/>
    <col min="1289" max="1289" width="9.140625" style="556"/>
    <col min="1290" max="1291" width="10.7109375" style="556" customWidth="1"/>
    <col min="1292" max="1292" width="12.7109375" style="556" customWidth="1"/>
    <col min="1293" max="1294" width="9.140625" style="556"/>
    <col min="1295" max="1296" width="10.7109375" style="556" customWidth="1"/>
    <col min="1297" max="1297" width="9.140625" style="556"/>
    <col min="1298" max="1299" width="10.7109375" style="556" customWidth="1"/>
    <col min="1300" max="1537" width="9.140625" style="556"/>
    <col min="1538" max="1538" width="15.7109375" style="556" customWidth="1"/>
    <col min="1539" max="1544" width="10.7109375" style="556" customWidth="1"/>
    <col min="1545" max="1545" width="9.140625" style="556"/>
    <col min="1546" max="1547" width="10.7109375" style="556" customWidth="1"/>
    <col min="1548" max="1548" width="12.7109375" style="556" customWidth="1"/>
    <col min="1549" max="1550" width="9.140625" style="556"/>
    <col min="1551" max="1552" width="10.7109375" style="556" customWidth="1"/>
    <col min="1553" max="1553" width="9.140625" style="556"/>
    <col min="1554" max="1555" width="10.7109375" style="556" customWidth="1"/>
    <col min="1556" max="1793" width="9.140625" style="556"/>
    <col min="1794" max="1794" width="15.7109375" style="556" customWidth="1"/>
    <col min="1795" max="1800" width="10.7109375" style="556" customWidth="1"/>
    <col min="1801" max="1801" width="9.140625" style="556"/>
    <col min="1802" max="1803" width="10.7109375" style="556" customWidth="1"/>
    <col min="1804" max="1804" width="12.7109375" style="556" customWidth="1"/>
    <col min="1805" max="1806" width="9.140625" style="556"/>
    <col min="1807" max="1808" width="10.7109375" style="556" customWidth="1"/>
    <col min="1809" max="1809" width="9.140625" style="556"/>
    <col min="1810" max="1811" width="10.7109375" style="556" customWidth="1"/>
    <col min="1812" max="2049" width="9.140625" style="556"/>
    <col min="2050" max="2050" width="15.7109375" style="556" customWidth="1"/>
    <col min="2051" max="2056" width="10.7109375" style="556" customWidth="1"/>
    <col min="2057" max="2057" width="9.140625" style="556"/>
    <col min="2058" max="2059" width="10.7109375" style="556" customWidth="1"/>
    <col min="2060" max="2060" width="12.7109375" style="556" customWidth="1"/>
    <col min="2061" max="2062" width="9.140625" style="556"/>
    <col min="2063" max="2064" width="10.7109375" style="556" customWidth="1"/>
    <col min="2065" max="2065" width="9.140625" style="556"/>
    <col min="2066" max="2067" width="10.7109375" style="556" customWidth="1"/>
    <col min="2068" max="2305" width="9.140625" style="556"/>
    <col min="2306" max="2306" width="15.7109375" style="556" customWidth="1"/>
    <col min="2307" max="2312" width="10.7109375" style="556" customWidth="1"/>
    <col min="2313" max="2313" width="9.140625" style="556"/>
    <col min="2314" max="2315" width="10.7109375" style="556" customWidth="1"/>
    <col min="2316" max="2316" width="12.7109375" style="556" customWidth="1"/>
    <col min="2317" max="2318" width="9.140625" style="556"/>
    <col min="2319" max="2320" width="10.7109375" style="556" customWidth="1"/>
    <col min="2321" max="2321" width="9.140625" style="556"/>
    <col min="2322" max="2323" width="10.7109375" style="556" customWidth="1"/>
    <col min="2324" max="2561" width="9.140625" style="556"/>
    <col min="2562" max="2562" width="15.7109375" style="556" customWidth="1"/>
    <col min="2563" max="2568" width="10.7109375" style="556" customWidth="1"/>
    <col min="2569" max="2569" width="9.140625" style="556"/>
    <col min="2570" max="2571" width="10.7109375" style="556" customWidth="1"/>
    <col min="2572" max="2572" width="12.7109375" style="556" customWidth="1"/>
    <col min="2573" max="2574" width="9.140625" style="556"/>
    <col min="2575" max="2576" width="10.7109375" style="556" customWidth="1"/>
    <col min="2577" max="2577" width="9.140625" style="556"/>
    <col min="2578" max="2579" width="10.7109375" style="556" customWidth="1"/>
    <col min="2580" max="2817" width="9.140625" style="556"/>
    <col min="2818" max="2818" width="15.7109375" style="556" customWidth="1"/>
    <col min="2819" max="2824" width="10.7109375" style="556" customWidth="1"/>
    <col min="2825" max="2825" width="9.140625" style="556"/>
    <col min="2826" max="2827" width="10.7109375" style="556" customWidth="1"/>
    <col min="2828" max="2828" width="12.7109375" style="556" customWidth="1"/>
    <col min="2829" max="2830" width="9.140625" style="556"/>
    <col min="2831" max="2832" width="10.7109375" style="556" customWidth="1"/>
    <col min="2833" max="2833" width="9.140625" style="556"/>
    <col min="2834" max="2835" width="10.7109375" style="556" customWidth="1"/>
    <col min="2836" max="3073" width="9.140625" style="556"/>
    <col min="3074" max="3074" width="15.7109375" style="556" customWidth="1"/>
    <col min="3075" max="3080" width="10.7109375" style="556" customWidth="1"/>
    <col min="3081" max="3081" width="9.140625" style="556"/>
    <col min="3082" max="3083" width="10.7109375" style="556" customWidth="1"/>
    <col min="3084" max="3084" width="12.7109375" style="556" customWidth="1"/>
    <col min="3085" max="3086" width="9.140625" style="556"/>
    <col min="3087" max="3088" width="10.7109375" style="556" customWidth="1"/>
    <col min="3089" max="3089" width="9.140625" style="556"/>
    <col min="3090" max="3091" width="10.7109375" style="556" customWidth="1"/>
    <col min="3092" max="3329" width="9.140625" style="556"/>
    <col min="3330" max="3330" width="15.7109375" style="556" customWidth="1"/>
    <col min="3331" max="3336" width="10.7109375" style="556" customWidth="1"/>
    <col min="3337" max="3337" width="9.140625" style="556"/>
    <col min="3338" max="3339" width="10.7109375" style="556" customWidth="1"/>
    <col min="3340" max="3340" width="12.7109375" style="556" customWidth="1"/>
    <col min="3341" max="3342" width="9.140625" style="556"/>
    <col min="3343" max="3344" width="10.7109375" style="556" customWidth="1"/>
    <col min="3345" max="3345" width="9.140625" style="556"/>
    <col min="3346" max="3347" width="10.7109375" style="556" customWidth="1"/>
    <col min="3348" max="3585" width="9.140625" style="556"/>
    <col min="3586" max="3586" width="15.7109375" style="556" customWidth="1"/>
    <col min="3587" max="3592" width="10.7109375" style="556" customWidth="1"/>
    <col min="3593" max="3593" width="9.140625" style="556"/>
    <col min="3594" max="3595" width="10.7109375" style="556" customWidth="1"/>
    <col min="3596" max="3596" width="12.7109375" style="556" customWidth="1"/>
    <col min="3597" max="3598" width="9.140625" style="556"/>
    <col min="3599" max="3600" width="10.7109375" style="556" customWidth="1"/>
    <col min="3601" max="3601" width="9.140625" style="556"/>
    <col min="3602" max="3603" width="10.7109375" style="556" customWidth="1"/>
    <col min="3604" max="3841" width="9.140625" style="556"/>
    <col min="3842" max="3842" width="15.7109375" style="556" customWidth="1"/>
    <col min="3843" max="3848" width="10.7109375" style="556" customWidth="1"/>
    <col min="3849" max="3849" width="9.140625" style="556"/>
    <col min="3850" max="3851" width="10.7109375" style="556" customWidth="1"/>
    <col min="3852" max="3852" width="12.7109375" style="556" customWidth="1"/>
    <col min="3853" max="3854" width="9.140625" style="556"/>
    <col min="3855" max="3856" width="10.7109375" style="556" customWidth="1"/>
    <col min="3857" max="3857" width="9.140625" style="556"/>
    <col min="3858" max="3859" width="10.7109375" style="556" customWidth="1"/>
    <col min="3860" max="4097" width="9.140625" style="556"/>
    <col min="4098" max="4098" width="15.7109375" style="556" customWidth="1"/>
    <col min="4099" max="4104" width="10.7109375" style="556" customWidth="1"/>
    <col min="4105" max="4105" width="9.140625" style="556"/>
    <col min="4106" max="4107" width="10.7109375" style="556" customWidth="1"/>
    <col min="4108" max="4108" width="12.7109375" style="556" customWidth="1"/>
    <col min="4109" max="4110" width="9.140625" style="556"/>
    <col min="4111" max="4112" width="10.7109375" style="556" customWidth="1"/>
    <col min="4113" max="4113" width="9.140625" style="556"/>
    <col min="4114" max="4115" width="10.7109375" style="556" customWidth="1"/>
    <col min="4116" max="4353" width="9.140625" style="556"/>
    <col min="4354" max="4354" width="15.7109375" style="556" customWidth="1"/>
    <col min="4355" max="4360" width="10.7109375" style="556" customWidth="1"/>
    <col min="4361" max="4361" width="9.140625" style="556"/>
    <col min="4362" max="4363" width="10.7109375" style="556" customWidth="1"/>
    <col min="4364" max="4364" width="12.7109375" style="556" customWidth="1"/>
    <col min="4365" max="4366" width="9.140625" style="556"/>
    <col min="4367" max="4368" width="10.7109375" style="556" customWidth="1"/>
    <col min="4369" max="4369" width="9.140625" style="556"/>
    <col min="4370" max="4371" width="10.7109375" style="556" customWidth="1"/>
    <col min="4372" max="4609" width="9.140625" style="556"/>
    <col min="4610" max="4610" width="15.7109375" style="556" customWidth="1"/>
    <col min="4611" max="4616" width="10.7109375" style="556" customWidth="1"/>
    <col min="4617" max="4617" width="9.140625" style="556"/>
    <col min="4618" max="4619" width="10.7109375" style="556" customWidth="1"/>
    <col min="4620" max="4620" width="12.7109375" style="556" customWidth="1"/>
    <col min="4621" max="4622" width="9.140625" style="556"/>
    <col min="4623" max="4624" width="10.7109375" style="556" customWidth="1"/>
    <col min="4625" max="4625" width="9.140625" style="556"/>
    <col min="4626" max="4627" width="10.7109375" style="556" customWidth="1"/>
    <col min="4628" max="4865" width="9.140625" style="556"/>
    <col min="4866" max="4866" width="15.7109375" style="556" customWidth="1"/>
    <col min="4867" max="4872" width="10.7109375" style="556" customWidth="1"/>
    <col min="4873" max="4873" width="9.140625" style="556"/>
    <col min="4874" max="4875" width="10.7109375" style="556" customWidth="1"/>
    <col min="4876" max="4876" width="12.7109375" style="556" customWidth="1"/>
    <col min="4877" max="4878" width="9.140625" style="556"/>
    <col min="4879" max="4880" width="10.7109375" style="556" customWidth="1"/>
    <col min="4881" max="4881" width="9.140625" style="556"/>
    <col min="4882" max="4883" width="10.7109375" style="556" customWidth="1"/>
    <col min="4884" max="5121" width="9.140625" style="556"/>
    <col min="5122" max="5122" width="15.7109375" style="556" customWidth="1"/>
    <col min="5123" max="5128" width="10.7109375" style="556" customWidth="1"/>
    <col min="5129" max="5129" width="9.140625" style="556"/>
    <col min="5130" max="5131" width="10.7109375" style="556" customWidth="1"/>
    <col min="5132" max="5132" width="12.7109375" style="556" customWidth="1"/>
    <col min="5133" max="5134" width="9.140625" style="556"/>
    <col min="5135" max="5136" width="10.7109375" style="556" customWidth="1"/>
    <col min="5137" max="5137" width="9.140625" style="556"/>
    <col min="5138" max="5139" width="10.7109375" style="556" customWidth="1"/>
    <col min="5140" max="5377" width="9.140625" style="556"/>
    <col min="5378" max="5378" width="15.7109375" style="556" customWidth="1"/>
    <col min="5379" max="5384" width="10.7109375" style="556" customWidth="1"/>
    <col min="5385" max="5385" width="9.140625" style="556"/>
    <col min="5386" max="5387" width="10.7109375" style="556" customWidth="1"/>
    <col min="5388" max="5388" width="12.7109375" style="556" customWidth="1"/>
    <col min="5389" max="5390" width="9.140625" style="556"/>
    <col min="5391" max="5392" width="10.7109375" style="556" customWidth="1"/>
    <col min="5393" max="5393" width="9.140625" style="556"/>
    <col min="5394" max="5395" width="10.7109375" style="556" customWidth="1"/>
    <col min="5396" max="5633" width="9.140625" style="556"/>
    <col min="5634" max="5634" width="15.7109375" style="556" customWidth="1"/>
    <col min="5635" max="5640" width="10.7109375" style="556" customWidth="1"/>
    <col min="5641" max="5641" width="9.140625" style="556"/>
    <col min="5642" max="5643" width="10.7109375" style="556" customWidth="1"/>
    <col min="5644" max="5644" width="12.7109375" style="556" customWidth="1"/>
    <col min="5645" max="5646" width="9.140625" style="556"/>
    <col min="5647" max="5648" width="10.7109375" style="556" customWidth="1"/>
    <col min="5649" max="5649" width="9.140625" style="556"/>
    <col min="5650" max="5651" width="10.7109375" style="556" customWidth="1"/>
    <col min="5652" max="5889" width="9.140625" style="556"/>
    <col min="5890" max="5890" width="15.7109375" style="556" customWidth="1"/>
    <col min="5891" max="5896" width="10.7109375" style="556" customWidth="1"/>
    <col min="5897" max="5897" width="9.140625" style="556"/>
    <col min="5898" max="5899" width="10.7109375" style="556" customWidth="1"/>
    <col min="5900" max="5900" width="12.7109375" style="556" customWidth="1"/>
    <col min="5901" max="5902" width="9.140625" style="556"/>
    <col min="5903" max="5904" width="10.7109375" style="556" customWidth="1"/>
    <col min="5905" max="5905" width="9.140625" style="556"/>
    <col min="5906" max="5907" width="10.7109375" style="556" customWidth="1"/>
    <col min="5908" max="6145" width="9.140625" style="556"/>
    <col min="6146" max="6146" width="15.7109375" style="556" customWidth="1"/>
    <col min="6147" max="6152" width="10.7109375" style="556" customWidth="1"/>
    <col min="6153" max="6153" width="9.140625" style="556"/>
    <col min="6154" max="6155" width="10.7109375" style="556" customWidth="1"/>
    <col min="6156" max="6156" width="12.7109375" style="556" customWidth="1"/>
    <col min="6157" max="6158" width="9.140625" style="556"/>
    <col min="6159" max="6160" width="10.7109375" style="556" customWidth="1"/>
    <col min="6161" max="6161" width="9.140625" style="556"/>
    <col min="6162" max="6163" width="10.7109375" style="556" customWidth="1"/>
    <col min="6164" max="6401" width="9.140625" style="556"/>
    <col min="6402" max="6402" width="15.7109375" style="556" customWidth="1"/>
    <col min="6403" max="6408" width="10.7109375" style="556" customWidth="1"/>
    <col min="6409" max="6409" width="9.140625" style="556"/>
    <col min="6410" max="6411" width="10.7109375" style="556" customWidth="1"/>
    <col min="6412" max="6412" width="12.7109375" style="556" customWidth="1"/>
    <col min="6413" max="6414" width="9.140625" style="556"/>
    <col min="6415" max="6416" width="10.7109375" style="556" customWidth="1"/>
    <col min="6417" max="6417" width="9.140625" style="556"/>
    <col min="6418" max="6419" width="10.7109375" style="556" customWidth="1"/>
    <col min="6420" max="6657" width="9.140625" style="556"/>
    <col min="6658" max="6658" width="15.7109375" style="556" customWidth="1"/>
    <col min="6659" max="6664" width="10.7109375" style="556" customWidth="1"/>
    <col min="6665" max="6665" width="9.140625" style="556"/>
    <col min="6666" max="6667" width="10.7109375" style="556" customWidth="1"/>
    <col min="6668" max="6668" width="12.7109375" style="556" customWidth="1"/>
    <col min="6669" max="6670" width="9.140625" style="556"/>
    <col min="6671" max="6672" width="10.7109375" style="556" customWidth="1"/>
    <col min="6673" max="6673" width="9.140625" style="556"/>
    <col min="6674" max="6675" width="10.7109375" style="556" customWidth="1"/>
    <col min="6676" max="6913" width="9.140625" style="556"/>
    <col min="6914" max="6914" width="15.7109375" style="556" customWidth="1"/>
    <col min="6915" max="6920" width="10.7109375" style="556" customWidth="1"/>
    <col min="6921" max="6921" width="9.140625" style="556"/>
    <col min="6922" max="6923" width="10.7109375" style="556" customWidth="1"/>
    <col min="6924" max="6924" width="12.7109375" style="556" customWidth="1"/>
    <col min="6925" max="6926" width="9.140625" style="556"/>
    <col min="6927" max="6928" width="10.7109375" style="556" customWidth="1"/>
    <col min="6929" max="6929" width="9.140625" style="556"/>
    <col min="6930" max="6931" width="10.7109375" style="556" customWidth="1"/>
    <col min="6932" max="7169" width="9.140625" style="556"/>
    <col min="7170" max="7170" width="15.7109375" style="556" customWidth="1"/>
    <col min="7171" max="7176" width="10.7109375" style="556" customWidth="1"/>
    <col min="7177" max="7177" width="9.140625" style="556"/>
    <col min="7178" max="7179" width="10.7109375" style="556" customWidth="1"/>
    <col min="7180" max="7180" width="12.7109375" style="556" customWidth="1"/>
    <col min="7181" max="7182" width="9.140625" style="556"/>
    <col min="7183" max="7184" width="10.7109375" style="556" customWidth="1"/>
    <col min="7185" max="7185" width="9.140625" style="556"/>
    <col min="7186" max="7187" width="10.7109375" style="556" customWidth="1"/>
    <col min="7188" max="7425" width="9.140625" style="556"/>
    <col min="7426" max="7426" width="15.7109375" style="556" customWidth="1"/>
    <col min="7427" max="7432" width="10.7109375" style="556" customWidth="1"/>
    <col min="7433" max="7433" width="9.140625" style="556"/>
    <col min="7434" max="7435" width="10.7109375" style="556" customWidth="1"/>
    <col min="7436" max="7436" width="12.7109375" style="556" customWidth="1"/>
    <col min="7437" max="7438" width="9.140625" style="556"/>
    <col min="7439" max="7440" width="10.7109375" style="556" customWidth="1"/>
    <col min="7441" max="7441" width="9.140625" style="556"/>
    <col min="7442" max="7443" width="10.7109375" style="556" customWidth="1"/>
    <col min="7444" max="7681" width="9.140625" style="556"/>
    <col min="7682" max="7682" width="15.7109375" style="556" customWidth="1"/>
    <col min="7683" max="7688" width="10.7109375" style="556" customWidth="1"/>
    <col min="7689" max="7689" width="9.140625" style="556"/>
    <col min="7690" max="7691" width="10.7109375" style="556" customWidth="1"/>
    <col min="7692" max="7692" width="12.7109375" style="556" customWidth="1"/>
    <col min="7693" max="7694" width="9.140625" style="556"/>
    <col min="7695" max="7696" width="10.7109375" style="556" customWidth="1"/>
    <col min="7697" max="7697" width="9.140625" style="556"/>
    <col min="7698" max="7699" width="10.7109375" style="556" customWidth="1"/>
    <col min="7700" max="7937" width="9.140625" style="556"/>
    <col min="7938" max="7938" width="15.7109375" style="556" customWidth="1"/>
    <col min="7939" max="7944" width="10.7109375" style="556" customWidth="1"/>
    <col min="7945" max="7945" width="9.140625" style="556"/>
    <col min="7946" max="7947" width="10.7109375" style="556" customWidth="1"/>
    <col min="7948" max="7948" width="12.7109375" style="556" customWidth="1"/>
    <col min="7949" max="7950" width="9.140625" style="556"/>
    <col min="7951" max="7952" width="10.7109375" style="556" customWidth="1"/>
    <col min="7953" max="7953" width="9.140625" style="556"/>
    <col min="7954" max="7955" width="10.7109375" style="556" customWidth="1"/>
    <col min="7956" max="8193" width="9.140625" style="556"/>
    <col min="8194" max="8194" width="15.7109375" style="556" customWidth="1"/>
    <col min="8195" max="8200" width="10.7109375" style="556" customWidth="1"/>
    <col min="8201" max="8201" width="9.140625" style="556"/>
    <col min="8202" max="8203" width="10.7109375" style="556" customWidth="1"/>
    <col min="8204" max="8204" width="12.7109375" style="556" customWidth="1"/>
    <col min="8205" max="8206" width="9.140625" style="556"/>
    <col min="8207" max="8208" width="10.7109375" style="556" customWidth="1"/>
    <col min="8209" max="8209" width="9.140625" style="556"/>
    <col min="8210" max="8211" width="10.7109375" style="556" customWidth="1"/>
    <col min="8212" max="8449" width="9.140625" style="556"/>
    <col min="8450" max="8450" width="15.7109375" style="556" customWidth="1"/>
    <col min="8451" max="8456" width="10.7109375" style="556" customWidth="1"/>
    <col min="8457" max="8457" width="9.140625" style="556"/>
    <col min="8458" max="8459" width="10.7109375" style="556" customWidth="1"/>
    <col min="8460" max="8460" width="12.7109375" style="556" customWidth="1"/>
    <col min="8461" max="8462" width="9.140625" style="556"/>
    <col min="8463" max="8464" width="10.7109375" style="556" customWidth="1"/>
    <col min="8465" max="8465" width="9.140625" style="556"/>
    <col min="8466" max="8467" width="10.7109375" style="556" customWidth="1"/>
    <col min="8468" max="8705" width="9.140625" style="556"/>
    <col min="8706" max="8706" width="15.7109375" style="556" customWidth="1"/>
    <col min="8707" max="8712" width="10.7109375" style="556" customWidth="1"/>
    <col min="8713" max="8713" width="9.140625" style="556"/>
    <col min="8714" max="8715" width="10.7109375" style="556" customWidth="1"/>
    <col min="8716" max="8716" width="12.7109375" style="556" customWidth="1"/>
    <col min="8717" max="8718" width="9.140625" style="556"/>
    <col min="8719" max="8720" width="10.7109375" style="556" customWidth="1"/>
    <col min="8721" max="8721" width="9.140625" style="556"/>
    <col min="8722" max="8723" width="10.7109375" style="556" customWidth="1"/>
    <col min="8724" max="8961" width="9.140625" style="556"/>
    <col min="8962" max="8962" width="15.7109375" style="556" customWidth="1"/>
    <col min="8963" max="8968" width="10.7109375" style="556" customWidth="1"/>
    <col min="8969" max="8969" width="9.140625" style="556"/>
    <col min="8970" max="8971" width="10.7109375" style="556" customWidth="1"/>
    <col min="8972" max="8972" width="12.7109375" style="556" customWidth="1"/>
    <col min="8973" max="8974" width="9.140625" style="556"/>
    <col min="8975" max="8976" width="10.7109375" style="556" customWidth="1"/>
    <col min="8977" max="8977" width="9.140625" style="556"/>
    <col min="8978" max="8979" width="10.7109375" style="556" customWidth="1"/>
    <col min="8980" max="9217" width="9.140625" style="556"/>
    <col min="9218" max="9218" width="15.7109375" style="556" customWidth="1"/>
    <col min="9219" max="9224" width="10.7109375" style="556" customWidth="1"/>
    <col min="9225" max="9225" width="9.140625" style="556"/>
    <col min="9226" max="9227" width="10.7109375" style="556" customWidth="1"/>
    <col min="9228" max="9228" width="12.7109375" style="556" customWidth="1"/>
    <col min="9229" max="9230" width="9.140625" style="556"/>
    <col min="9231" max="9232" width="10.7109375" style="556" customWidth="1"/>
    <col min="9233" max="9233" width="9.140625" style="556"/>
    <col min="9234" max="9235" width="10.7109375" style="556" customWidth="1"/>
    <col min="9236" max="9473" width="9.140625" style="556"/>
    <col min="9474" max="9474" width="15.7109375" style="556" customWidth="1"/>
    <col min="9475" max="9480" width="10.7109375" style="556" customWidth="1"/>
    <col min="9481" max="9481" width="9.140625" style="556"/>
    <col min="9482" max="9483" width="10.7109375" style="556" customWidth="1"/>
    <col min="9484" max="9484" width="12.7109375" style="556" customWidth="1"/>
    <col min="9485" max="9486" width="9.140625" style="556"/>
    <col min="9487" max="9488" width="10.7109375" style="556" customWidth="1"/>
    <col min="9489" max="9489" width="9.140625" style="556"/>
    <col min="9490" max="9491" width="10.7109375" style="556" customWidth="1"/>
    <col min="9492" max="9729" width="9.140625" style="556"/>
    <col min="9730" max="9730" width="15.7109375" style="556" customWidth="1"/>
    <col min="9731" max="9736" width="10.7109375" style="556" customWidth="1"/>
    <col min="9737" max="9737" width="9.140625" style="556"/>
    <col min="9738" max="9739" width="10.7109375" style="556" customWidth="1"/>
    <col min="9740" max="9740" width="12.7109375" style="556" customWidth="1"/>
    <col min="9741" max="9742" width="9.140625" style="556"/>
    <col min="9743" max="9744" width="10.7109375" style="556" customWidth="1"/>
    <col min="9745" max="9745" width="9.140625" style="556"/>
    <col min="9746" max="9747" width="10.7109375" style="556" customWidth="1"/>
    <col min="9748" max="9985" width="9.140625" style="556"/>
    <col min="9986" max="9986" width="15.7109375" style="556" customWidth="1"/>
    <col min="9987" max="9992" width="10.7109375" style="556" customWidth="1"/>
    <col min="9993" max="9993" width="9.140625" style="556"/>
    <col min="9994" max="9995" width="10.7109375" style="556" customWidth="1"/>
    <col min="9996" max="9996" width="12.7109375" style="556" customWidth="1"/>
    <col min="9997" max="9998" width="9.140625" style="556"/>
    <col min="9999" max="10000" width="10.7109375" style="556" customWidth="1"/>
    <col min="10001" max="10001" width="9.140625" style="556"/>
    <col min="10002" max="10003" width="10.7109375" style="556" customWidth="1"/>
    <col min="10004" max="10241" width="9.140625" style="556"/>
    <col min="10242" max="10242" width="15.7109375" style="556" customWidth="1"/>
    <col min="10243" max="10248" width="10.7109375" style="556" customWidth="1"/>
    <col min="10249" max="10249" width="9.140625" style="556"/>
    <col min="10250" max="10251" width="10.7109375" style="556" customWidth="1"/>
    <col min="10252" max="10252" width="12.7109375" style="556" customWidth="1"/>
    <col min="10253" max="10254" width="9.140625" style="556"/>
    <col min="10255" max="10256" width="10.7109375" style="556" customWidth="1"/>
    <col min="10257" max="10257" width="9.140625" style="556"/>
    <col min="10258" max="10259" width="10.7109375" style="556" customWidth="1"/>
    <col min="10260" max="10497" width="9.140625" style="556"/>
    <col min="10498" max="10498" width="15.7109375" style="556" customWidth="1"/>
    <col min="10499" max="10504" width="10.7109375" style="556" customWidth="1"/>
    <col min="10505" max="10505" width="9.140625" style="556"/>
    <col min="10506" max="10507" width="10.7109375" style="556" customWidth="1"/>
    <col min="10508" max="10508" width="12.7109375" style="556" customWidth="1"/>
    <col min="10509" max="10510" width="9.140625" style="556"/>
    <col min="10511" max="10512" width="10.7109375" style="556" customWidth="1"/>
    <col min="10513" max="10513" width="9.140625" style="556"/>
    <col min="10514" max="10515" width="10.7109375" style="556" customWidth="1"/>
    <col min="10516" max="10753" width="9.140625" style="556"/>
    <col min="10754" max="10754" width="15.7109375" style="556" customWidth="1"/>
    <col min="10755" max="10760" width="10.7109375" style="556" customWidth="1"/>
    <col min="10761" max="10761" width="9.140625" style="556"/>
    <col min="10762" max="10763" width="10.7109375" style="556" customWidth="1"/>
    <col min="10764" max="10764" width="12.7109375" style="556" customWidth="1"/>
    <col min="10765" max="10766" width="9.140625" style="556"/>
    <col min="10767" max="10768" width="10.7109375" style="556" customWidth="1"/>
    <col min="10769" max="10769" width="9.140625" style="556"/>
    <col min="10770" max="10771" width="10.7109375" style="556" customWidth="1"/>
    <col min="10772" max="11009" width="9.140625" style="556"/>
    <col min="11010" max="11010" width="15.7109375" style="556" customWidth="1"/>
    <col min="11011" max="11016" width="10.7109375" style="556" customWidth="1"/>
    <col min="11017" max="11017" width="9.140625" style="556"/>
    <col min="11018" max="11019" width="10.7109375" style="556" customWidth="1"/>
    <col min="11020" max="11020" width="12.7109375" style="556" customWidth="1"/>
    <col min="11021" max="11022" width="9.140625" style="556"/>
    <col min="11023" max="11024" width="10.7109375" style="556" customWidth="1"/>
    <col min="11025" max="11025" width="9.140625" style="556"/>
    <col min="11026" max="11027" width="10.7109375" style="556" customWidth="1"/>
    <col min="11028" max="11265" width="9.140625" style="556"/>
    <col min="11266" max="11266" width="15.7109375" style="556" customWidth="1"/>
    <col min="11267" max="11272" width="10.7109375" style="556" customWidth="1"/>
    <col min="11273" max="11273" width="9.140625" style="556"/>
    <col min="11274" max="11275" width="10.7109375" style="556" customWidth="1"/>
    <col min="11276" max="11276" width="12.7109375" style="556" customWidth="1"/>
    <col min="11277" max="11278" width="9.140625" style="556"/>
    <col min="11279" max="11280" width="10.7109375" style="556" customWidth="1"/>
    <col min="11281" max="11281" width="9.140625" style="556"/>
    <col min="11282" max="11283" width="10.7109375" style="556" customWidth="1"/>
    <col min="11284" max="11521" width="9.140625" style="556"/>
    <col min="11522" max="11522" width="15.7109375" style="556" customWidth="1"/>
    <col min="11523" max="11528" width="10.7109375" style="556" customWidth="1"/>
    <col min="11529" max="11529" width="9.140625" style="556"/>
    <col min="11530" max="11531" width="10.7109375" style="556" customWidth="1"/>
    <col min="11532" max="11532" width="12.7109375" style="556" customWidth="1"/>
    <col min="11533" max="11534" width="9.140625" style="556"/>
    <col min="11535" max="11536" width="10.7109375" style="556" customWidth="1"/>
    <col min="11537" max="11537" width="9.140625" style="556"/>
    <col min="11538" max="11539" width="10.7109375" style="556" customWidth="1"/>
    <col min="11540" max="11777" width="9.140625" style="556"/>
    <col min="11778" max="11778" width="15.7109375" style="556" customWidth="1"/>
    <col min="11779" max="11784" width="10.7109375" style="556" customWidth="1"/>
    <col min="11785" max="11785" width="9.140625" style="556"/>
    <col min="11786" max="11787" width="10.7109375" style="556" customWidth="1"/>
    <col min="11788" max="11788" width="12.7109375" style="556" customWidth="1"/>
    <col min="11789" max="11790" width="9.140625" style="556"/>
    <col min="11791" max="11792" width="10.7109375" style="556" customWidth="1"/>
    <col min="11793" max="11793" width="9.140625" style="556"/>
    <col min="11794" max="11795" width="10.7109375" style="556" customWidth="1"/>
    <col min="11796" max="12033" width="9.140625" style="556"/>
    <col min="12034" max="12034" width="15.7109375" style="556" customWidth="1"/>
    <col min="12035" max="12040" width="10.7109375" style="556" customWidth="1"/>
    <col min="12041" max="12041" width="9.140625" style="556"/>
    <col min="12042" max="12043" width="10.7109375" style="556" customWidth="1"/>
    <col min="12044" max="12044" width="12.7109375" style="556" customWidth="1"/>
    <col min="12045" max="12046" width="9.140625" style="556"/>
    <col min="12047" max="12048" width="10.7109375" style="556" customWidth="1"/>
    <col min="12049" max="12049" width="9.140625" style="556"/>
    <col min="12050" max="12051" width="10.7109375" style="556" customWidth="1"/>
    <col min="12052" max="12289" width="9.140625" style="556"/>
    <col min="12290" max="12290" width="15.7109375" style="556" customWidth="1"/>
    <col min="12291" max="12296" width="10.7109375" style="556" customWidth="1"/>
    <col min="12297" max="12297" width="9.140625" style="556"/>
    <col min="12298" max="12299" width="10.7109375" style="556" customWidth="1"/>
    <col min="12300" max="12300" width="12.7109375" style="556" customWidth="1"/>
    <col min="12301" max="12302" width="9.140625" style="556"/>
    <col min="12303" max="12304" width="10.7109375" style="556" customWidth="1"/>
    <col min="12305" max="12305" width="9.140625" style="556"/>
    <col min="12306" max="12307" width="10.7109375" style="556" customWidth="1"/>
    <col min="12308" max="12545" width="9.140625" style="556"/>
    <col min="12546" max="12546" width="15.7109375" style="556" customWidth="1"/>
    <col min="12547" max="12552" width="10.7109375" style="556" customWidth="1"/>
    <col min="12553" max="12553" width="9.140625" style="556"/>
    <col min="12554" max="12555" width="10.7109375" style="556" customWidth="1"/>
    <col min="12556" max="12556" width="12.7109375" style="556" customWidth="1"/>
    <col min="12557" max="12558" width="9.140625" style="556"/>
    <col min="12559" max="12560" width="10.7109375" style="556" customWidth="1"/>
    <col min="12561" max="12561" width="9.140625" style="556"/>
    <col min="12562" max="12563" width="10.7109375" style="556" customWidth="1"/>
    <col min="12564" max="12801" width="9.140625" style="556"/>
    <col min="12802" max="12802" width="15.7109375" style="556" customWidth="1"/>
    <col min="12803" max="12808" width="10.7109375" style="556" customWidth="1"/>
    <col min="12809" max="12809" width="9.140625" style="556"/>
    <col min="12810" max="12811" width="10.7109375" style="556" customWidth="1"/>
    <col min="12812" max="12812" width="12.7109375" style="556" customWidth="1"/>
    <col min="12813" max="12814" width="9.140625" style="556"/>
    <col min="12815" max="12816" width="10.7109375" style="556" customWidth="1"/>
    <col min="12817" max="12817" width="9.140625" style="556"/>
    <col min="12818" max="12819" width="10.7109375" style="556" customWidth="1"/>
    <col min="12820" max="13057" width="9.140625" style="556"/>
    <col min="13058" max="13058" width="15.7109375" style="556" customWidth="1"/>
    <col min="13059" max="13064" width="10.7109375" style="556" customWidth="1"/>
    <col min="13065" max="13065" width="9.140625" style="556"/>
    <col min="13066" max="13067" width="10.7109375" style="556" customWidth="1"/>
    <col min="13068" max="13068" width="12.7109375" style="556" customWidth="1"/>
    <col min="13069" max="13070" width="9.140625" style="556"/>
    <col min="13071" max="13072" width="10.7109375" style="556" customWidth="1"/>
    <col min="13073" max="13073" width="9.140625" style="556"/>
    <col min="13074" max="13075" width="10.7109375" style="556" customWidth="1"/>
    <col min="13076" max="13313" width="9.140625" style="556"/>
    <col min="13314" max="13314" width="15.7109375" style="556" customWidth="1"/>
    <col min="13315" max="13320" width="10.7109375" style="556" customWidth="1"/>
    <col min="13321" max="13321" width="9.140625" style="556"/>
    <col min="13322" max="13323" width="10.7109375" style="556" customWidth="1"/>
    <col min="13324" max="13324" width="12.7109375" style="556" customWidth="1"/>
    <col min="13325" max="13326" width="9.140625" style="556"/>
    <col min="13327" max="13328" width="10.7109375" style="556" customWidth="1"/>
    <col min="13329" max="13329" width="9.140625" style="556"/>
    <col min="13330" max="13331" width="10.7109375" style="556" customWidth="1"/>
    <col min="13332" max="13569" width="9.140625" style="556"/>
    <col min="13570" max="13570" width="15.7109375" style="556" customWidth="1"/>
    <col min="13571" max="13576" width="10.7109375" style="556" customWidth="1"/>
    <col min="13577" max="13577" width="9.140625" style="556"/>
    <col min="13578" max="13579" width="10.7109375" style="556" customWidth="1"/>
    <col min="13580" max="13580" width="12.7109375" style="556" customWidth="1"/>
    <col min="13581" max="13582" width="9.140625" style="556"/>
    <col min="13583" max="13584" width="10.7109375" style="556" customWidth="1"/>
    <col min="13585" max="13585" width="9.140625" style="556"/>
    <col min="13586" max="13587" width="10.7109375" style="556" customWidth="1"/>
    <col min="13588" max="13825" width="9.140625" style="556"/>
    <col min="13826" max="13826" width="15.7109375" style="556" customWidth="1"/>
    <col min="13827" max="13832" width="10.7109375" style="556" customWidth="1"/>
    <col min="13833" max="13833" width="9.140625" style="556"/>
    <col min="13834" max="13835" width="10.7109375" style="556" customWidth="1"/>
    <col min="13836" max="13836" width="12.7109375" style="556" customWidth="1"/>
    <col min="13837" max="13838" width="9.140625" style="556"/>
    <col min="13839" max="13840" width="10.7109375" style="556" customWidth="1"/>
    <col min="13841" max="13841" width="9.140625" style="556"/>
    <col min="13842" max="13843" width="10.7109375" style="556" customWidth="1"/>
    <col min="13844" max="14081" width="9.140625" style="556"/>
    <col min="14082" max="14082" width="15.7109375" style="556" customWidth="1"/>
    <col min="14083" max="14088" width="10.7109375" style="556" customWidth="1"/>
    <col min="14089" max="14089" width="9.140625" style="556"/>
    <col min="14090" max="14091" width="10.7109375" style="556" customWidth="1"/>
    <col min="14092" max="14092" width="12.7109375" style="556" customWidth="1"/>
    <col min="14093" max="14094" width="9.140625" style="556"/>
    <col min="14095" max="14096" width="10.7109375" style="556" customWidth="1"/>
    <col min="14097" max="14097" width="9.140625" style="556"/>
    <col min="14098" max="14099" width="10.7109375" style="556" customWidth="1"/>
    <col min="14100" max="14337" width="9.140625" style="556"/>
    <col min="14338" max="14338" width="15.7109375" style="556" customWidth="1"/>
    <col min="14339" max="14344" width="10.7109375" style="556" customWidth="1"/>
    <col min="14345" max="14345" width="9.140625" style="556"/>
    <col min="14346" max="14347" width="10.7109375" style="556" customWidth="1"/>
    <col min="14348" max="14348" width="12.7109375" style="556" customWidth="1"/>
    <col min="14349" max="14350" width="9.140625" style="556"/>
    <col min="14351" max="14352" width="10.7109375" style="556" customWidth="1"/>
    <col min="14353" max="14353" width="9.140625" style="556"/>
    <col min="14354" max="14355" width="10.7109375" style="556" customWidth="1"/>
    <col min="14356" max="14593" width="9.140625" style="556"/>
    <col min="14594" max="14594" width="15.7109375" style="556" customWidth="1"/>
    <col min="14595" max="14600" width="10.7109375" style="556" customWidth="1"/>
    <col min="14601" max="14601" width="9.140625" style="556"/>
    <col min="14602" max="14603" width="10.7109375" style="556" customWidth="1"/>
    <col min="14604" max="14604" width="12.7109375" style="556" customWidth="1"/>
    <col min="14605" max="14606" width="9.140625" style="556"/>
    <col min="14607" max="14608" width="10.7109375" style="556" customWidth="1"/>
    <col min="14609" max="14609" width="9.140625" style="556"/>
    <col min="14610" max="14611" width="10.7109375" style="556" customWidth="1"/>
    <col min="14612" max="14849" width="9.140625" style="556"/>
    <col min="14850" max="14850" width="15.7109375" style="556" customWidth="1"/>
    <col min="14851" max="14856" width="10.7109375" style="556" customWidth="1"/>
    <col min="14857" max="14857" width="9.140625" style="556"/>
    <col min="14858" max="14859" width="10.7109375" style="556" customWidth="1"/>
    <col min="14860" max="14860" width="12.7109375" style="556" customWidth="1"/>
    <col min="14861" max="14862" width="9.140625" style="556"/>
    <col min="14863" max="14864" width="10.7109375" style="556" customWidth="1"/>
    <col min="14865" max="14865" width="9.140625" style="556"/>
    <col min="14866" max="14867" width="10.7109375" style="556" customWidth="1"/>
    <col min="14868" max="15105" width="9.140625" style="556"/>
    <col min="15106" max="15106" width="15.7109375" style="556" customWidth="1"/>
    <col min="15107" max="15112" width="10.7109375" style="556" customWidth="1"/>
    <col min="15113" max="15113" width="9.140625" style="556"/>
    <col min="15114" max="15115" width="10.7109375" style="556" customWidth="1"/>
    <col min="15116" max="15116" width="12.7109375" style="556" customWidth="1"/>
    <col min="15117" max="15118" width="9.140625" style="556"/>
    <col min="15119" max="15120" width="10.7109375" style="556" customWidth="1"/>
    <col min="15121" max="15121" width="9.140625" style="556"/>
    <col min="15122" max="15123" width="10.7109375" style="556" customWidth="1"/>
    <col min="15124" max="15361" width="9.140625" style="556"/>
    <col min="15362" max="15362" width="15.7109375" style="556" customWidth="1"/>
    <col min="15363" max="15368" width="10.7109375" style="556" customWidth="1"/>
    <col min="15369" max="15369" width="9.140625" style="556"/>
    <col min="15370" max="15371" width="10.7109375" style="556" customWidth="1"/>
    <col min="15372" max="15372" width="12.7109375" style="556" customWidth="1"/>
    <col min="15373" max="15374" width="9.140625" style="556"/>
    <col min="15375" max="15376" width="10.7109375" style="556" customWidth="1"/>
    <col min="15377" max="15377" width="9.140625" style="556"/>
    <col min="15378" max="15379" width="10.7109375" style="556" customWidth="1"/>
    <col min="15380" max="15617" width="9.140625" style="556"/>
    <col min="15618" max="15618" width="15.7109375" style="556" customWidth="1"/>
    <col min="15619" max="15624" width="10.7109375" style="556" customWidth="1"/>
    <col min="15625" max="15625" width="9.140625" style="556"/>
    <col min="15626" max="15627" width="10.7109375" style="556" customWidth="1"/>
    <col min="15628" max="15628" width="12.7109375" style="556" customWidth="1"/>
    <col min="15629" max="15630" width="9.140625" style="556"/>
    <col min="15631" max="15632" width="10.7109375" style="556" customWidth="1"/>
    <col min="15633" max="15633" width="9.140625" style="556"/>
    <col min="15634" max="15635" width="10.7109375" style="556" customWidth="1"/>
    <col min="15636" max="15873" width="9.140625" style="556"/>
    <col min="15874" max="15874" width="15.7109375" style="556" customWidth="1"/>
    <col min="15875" max="15880" width="10.7109375" style="556" customWidth="1"/>
    <col min="15881" max="15881" width="9.140625" style="556"/>
    <col min="15882" max="15883" width="10.7109375" style="556" customWidth="1"/>
    <col min="15884" max="15884" width="12.7109375" style="556" customWidth="1"/>
    <col min="15885" max="15886" width="9.140625" style="556"/>
    <col min="15887" max="15888" width="10.7109375" style="556" customWidth="1"/>
    <col min="15889" max="15889" width="9.140625" style="556"/>
    <col min="15890" max="15891" width="10.7109375" style="556" customWidth="1"/>
    <col min="15892" max="16129" width="9.140625" style="556"/>
    <col min="16130" max="16130" width="15.7109375" style="556" customWidth="1"/>
    <col min="16131" max="16136" width="10.7109375" style="556" customWidth="1"/>
    <col min="16137" max="16137" width="9.140625" style="556"/>
    <col min="16138" max="16139" width="10.7109375" style="556" customWidth="1"/>
    <col min="16140" max="16140" width="12.7109375" style="556" customWidth="1"/>
    <col min="16141" max="16142" width="9.140625" style="556"/>
    <col min="16143" max="16144" width="10.7109375" style="556" customWidth="1"/>
    <col min="16145" max="16145" width="9.140625" style="556"/>
    <col min="16146" max="16147" width="10.7109375" style="556" customWidth="1"/>
    <col min="16148" max="16384" width="9.140625" style="556"/>
  </cols>
  <sheetData>
    <row r="2" spans="2:19" ht="20.25" x14ac:dyDescent="0.3">
      <c r="B2" s="555" t="s">
        <v>694</v>
      </c>
    </row>
    <row r="4" spans="2:19" ht="13.5" thickBot="1" x14ac:dyDescent="0.25"/>
    <row r="5" spans="2:19" ht="15.75" x14ac:dyDescent="0.25">
      <c r="B5" s="628" t="s">
        <v>683</v>
      </c>
      <c r="C5" s="666" t="s">
        <v>1</v>
      </c>
      <c r="D5" s="680" t="s">
        <v>15</v>
      </c>
      <c r="E5" s="666" t="s">
        <v>684</v>
      </c>
      <c r="F5" s="559"/>
      <c r="G5" s="681" t="s">
        <v>368</v>
      </c>
      <c r="H5" s="667" t="s">
        <v>359</v>
      </c>
      <c r="J5" s="562" t="s">
        <v>0</v>
      </c>
      <c r="K5" s="607" t="s">
        <v>685</v>
      </c>
      <c r="L5" s="563"/>
      <c r="O5" s="682" t="s">
        <v>355</v>
      </c>
      <c r="P5" s="632" t="s">
        <v>686</v>
      </c>
      <c r="R5" s="683" t="s">
        <v>15</v>
      </c>
      <c r="S5" s="684" t="s">
        <v>15</v>
      </c>
    </row>
    <row r="6" spans="2:19" ht="15.75" x14ac:dyDescent="0.25">
      <c r="B6" s="633" t="s">
        <v>687</v>
      </c>
      <c r="C6" s="586" t="s">
        <v>328</v>
      </c>
      <c r="D6" s="685" t="s">
        <v>328</v>
      </c>
      <c r="E6" s="586" t="s">
        <v>1</v>
      </c>
      <c r="F6" s="569" t="s">
        <v>15</v>
      </c>
      <c r="G6" s="686" t="s">
        <v>688</v>
      </c>
      <c r="H6" s="587" t="s">
        <v>3</v>
      </c>
      <c r="J6" s="572"/>
      <c r="K6" s="609"/>
      <c r="L6" s="573" t="s">
        <v>359</v>
      </c>
      <c r="O6" s="593" t="s">
        <v>1</v>
      </c>
      <c r="P6" s="638" t="s">
        <v>689</v>
      </c>
      <c r="R6" s="687" t="s">
        <v>3</v>
      </c>
      <c r="S6" s="688" t="s">
        <v>359</v>
      </c>
    </row>
    <row r="7" spans="2:19" x14ac:dyDescent="0.2">
      <c r="B7" s="689" t="s">
        <v>668</v>
      </c>
      <c r="C7" s="586" t="s">
        <v>0</v>
      </c>
      <c r="D7" s="685" t="s">
        <v>0</v>
      </c>
      <c r="E7" s="586" t="s">
        <v>0</v>
      </c>
      <c r="F7" s="569" t="s">
        <v>0</v>
      </c>
      <c r="G7" s="686" t="s">
        <v>0</v>
      </c>
      <c r="H7" s="587" t="s">
        <v>0</v>
      </c>
      <c r="J7" s="572" t="s">
        <v>476</v>
      </c>
      <c r="K7" s="609" t="s">
        <v>484</v>
      </c>
      <c r="L7" s="573" t="s">
        <v>672</v>
      </c>
      <c r="O7" s="593" t="s">
        <v>3</v>
      </c>
      <c r="P7" s="638" t="s">
        <v>3</v>
      </c>
      <c r="R7" s="687" t="s">
        <v>666</v>
      </c>
      <c r="S7" s="690" t="s">
        <v>690</v>
      </c>
    </row>
    <row r="8" spans="2:19" ht="13.5" thickBot="1" x14ac:dyDescent="0.25">
      <c r="B8" s="691"/>
      <c r="C8" s="692"/>
      <c r="D8" s="693"/>
      <c r="E8" s="692"/>
      <c r="F8" s="579"/>
      <c r="G8" s="694"/>
      <c r="H8" s="695"/>
      <c r="J8" s="613"/>
      <c r="K8" s="614"/>
      <c r="L8" s="696"/>
      <c r="O8" s="697" t="s">
        <v>673</v>
      </c>
      <c r="P8" s="698" t="s">
        <v>691</v>
      </c>
      <c r="R8" s="699" t="s">
        <v>692</v>
      </c>
      <c r="S8" s="700" t="s">
        <v>693</v>
      </c>
    </row>
    <row r="9" spans="2:19" x14ac:dyDescent="0.2">
      <c r="B9" s="567"/>
      <c r="C9" s="586"/>
      <c r="D9" s="685"/>
      <c r="E9" s="569"/>
      <c r="F9" s="569"/>
      <c r="G9" s="686"/>
      <c r="H9" s="587"/>
      <c r="J9" s="572"/>
      <c r="K9" s="609"/>
      <c r="L9" s="573"/>
      <c r="O9" s="593"/>
      <c r="P9" s="638"/>
      <c r="R9" s="687"/>
      <c r="S9" s="688"/>
    </row>
    <row r="10" spans="2:19" x14ac:dyDescent="0.2">
      <c r="B10" s="567"/>
      <c r="C10" s="586"/>
      <c r="D10" s="685"/>
      <c r="E10" s="569"/>
      <c r="F10" s="569"/>
      <c r="G10" s="686"/>
      <c r="H10" s="587"/>
      <c r="J10" s="572"/>
      <c r="K10" s="609"/>
      <c r="L10" s="573"/>
      <c r="O10" s="593"/>
      <c r="P10" s="638"/>
      <c r="R10" s="687"/>
      <c r="S10" s="688"/>
    </row>
    <row r="11" spans="2:19" x14ac:dyDescent="0.2">
      <c r="B11" s="567" t="s">
        <v>485</v>
      </c>
      <c r="C11" s="701">
        <v>0.4</v>
      </c>
      <c r="D11" s="702">
        <v>0.4</v>
      </c>
      <c r="E11" s="650">
        <v>15</v>
      </c>
      <c r="F11" s="650">
        <v>10</v>
      </c>
      <c r="G11" s="703">
        <v>1.5</v>
      </c>
      <c r="H11" s="590">
        <v>0</v>
      </c>
      <c r="J11" s="651">
        <f>(C11-D11)*(F11-G11-R$26)</f>
        <v>0</v>
      </c>
      <c r="K11" s="652">
        <f>+C11*(E11-G11-F11+G11)</f>
        <v>2</v>
      </c>
      <c r="L11" s="653">
        <f>+(C11-D11)*(G11+H11-S$26)</f>
        <v>0</v>
      </c>
      <c r="O11" s="1297">
        <f>+C11*(E11+H11)</f>
        <v>6</v>
      </c>
      <c r="P11" s="894">
        <f>+D11*(F11+H11)</f>
        <v>4</v>
      </c>
      <c r="R11" s="687">
        <f>+D11*(F11-G11)</f>
        <v>3.4000000000000004</v>
      </c>
      <c r="S11" s="688">
        <f>+D11*(G11+H11)</f>
        <v>0.60000000000000009</v>
      </c>
    </row>
    <row r="12" spans="2:19" x14ac:dyDescent="0.2">
      <c r="B12" s="567"/>
      <c r="C12" s="701"/>
      <c r="D12" s="702"/>
      <c r="E12" s="650"/>
      <c r="F12" s="650"/>
      <c r="G12" s="703"/>
      <c r="H12" s="590"/>
      <c r="J12" s="651"/>
      <c r="K12" s="652"/>
      <c r="L12" s="653"/>
      <c r="O12" s="1297"/>
      <c r="P12" s="894"/>
      <c r="R12" s="687"/>
      <c r="S12" s="688"/>
    </row>
    <row r="13" spans="2:19" x14ac:dyDescent="0.2">
      <c r="B13" s="567" t="s">
        <v>486</v>
      </c>
      <c r="C13" s="701">
        <v>0.3</v>
      </c>
      <c r="D13" s="702">
        <v>0.2</v>
      </c>
      <c r="E13" s="650">
        <v>5</v>
      </c>
      <c r="F13" s="650">
        <v>6</v>
      </c>
      <c r="G13" s="703">
        <v>0.5</v>
      </c>
      <c r="H13" s="590">
        <v>5</v>
      </c>
      <c r="J13" s="651">
        <f>(C13-D13)*(F13-G13-R$26)</f>
        <v>0.37999999999999995</v>
      </c>
      <c r="K13" s="652">
        <f>+C13*(E13-G13-F13+G13)</f>
        <v>-0.3</v>
      </c>
      <c r="L13" s="653">
        <f>+(C13-D13)*(G13+H13-S$26)</f>
        <v>0.1699999999999999</v>
      </c>
      <c r="O13" s="1297">
        <f>+C13*(E13+H13)</f>
        <v>3</v>
      </c>
      <c r="P13" s="894">
        <f>+D13*(F13+H13)</f>
        <v>2.2000000000000002</v>
      </c>
      <c r="R13" s="687">
        <f>+D13*(F13-G13)</f>
        <v>1.1000000000000001</v>
      </c>
      <c r="S13" s="688">
        <f>+D13*(G13+H13)</f>
        <v>1.1000000000000001</v>
      </c>
    </row>
    <row r="14" spans="2:19" x14ac:dyDescent="0.2">
      <c r="B14" s="567"/>
      <c r="C14" s="701"/>
      <c r="D14" s="702"/>
      <c r="E14" s="650"/>
      <c r="F14" s="650"/>
      <c r="G14" s="703"/>
      <c r="H14" s="590"/>
      <c r="J14" s="651"/>
      <c r="K14" s="652" t="s">
        <v>0</v>
      </c>
      <c r="L14" s="653" t="s">
        <v>0</v>
      </c>
      <c r="O14" s="593" t="s">
        <v>0</v>
      </c>
      <c r="P14" s="638" t="s">
        <v>0</v>
      </c>
      <c r="R14" s="687"/>
      <c r="S14" s="688"/>
    </row>
    <row r="15" spans="2:19" x14ac:dyDescent="0.2">
      <c r="B15" s="567" t="s">
        <v>487</v>
      </c>
      <c r="C15" s="701">
        <v>0.3</v>
      </c>
      <c r="D15" s="702">
        <v>0.4</v>
      </c>
      <c r="E15" s="650">
        <v>-8</v>
      </c>
      <c r="F15" s="650">
        <v>-6</v>
      </c>
      <c r="G15" s="703">
        <v>1</v>
      </c>
      <c r="H15" s="590">
        <v>10</v>
      </c>
      <c r="J15" s="651">
        <f>(C15-D15)*(F15-G15-R$26)</f>
        <v>0.87000000000000022</v>
      </c>
      <c r="K15" s="652">
        <f>+C15*(E15-G15-F15+G15)</f>
        <v>-0.6</v>
      </c>
      <c r="L15" s="653">
        <f>+(C15-D15)*(G15+H15-S$26)</f>
        <v>-0.7200000000000002</v>
      </c>
      <c r="O15" s="593">
        <f>+C15*(E15+H15)</f>
        <v>0.6</v>
      </c>
      <c r="P15" s="638">
        <f>+D15*(F15+H15)</f>
        <v>1.6</v>
      </c>
      <c r="R15" s="687">
        <f>+D15*(F15-G15)</f>
        <v>-2.8000000000000003</v>
      </c>
      <c r="S15" s="688">
        <f>+D15*(G15+H15)</f>
        <v>4.4000000000000004</v>
      </c>
    </row>
    <row r="16" spans="2:19" x14ac:dyDescent="0.2">
      <c r="B16" s="657"/>
      <c r="C16" s="704"/>
      <c r="D16" s="705"/>
      <c r="E16" s="706"/>
      <c r="F16" s="706"/>
      <c r="G16" s="707"/>
      <c r="H16" s="660"/>
      <c r="J16" s="591"/>
      <c r="K16" s="663"/>
      <c r="L16" s="592"/>
      <c r="O16" s="593"/>
      <c r="P16" s="638"/>
      <c r="R16" s="687"/>
      <c r="S16" s="688"/>
    </row>
    <row r="17" spans="2:19" x14ac:dyDescent="0.2">
      <c r="B17" s="567"/>
      <c r="C17" s="586"/>
      <c r="D17" s="685"/>
      <c r="E17" s="569"/>
      <c r="F17" s="650"/>
      <c r="G17" s="703"/>
      <c r="H17" s="590"/>
      <c r="J17" s="591"/>
      <c r="K17" s="663"/>
      <c r="L17" s="592"/>
      <c r="O17" s="593"/>
      <c r="P17" s="638"/>
      <c r="R17" s="687"/>
      <c r="S17" s="688"/>
    </row>
    <row r="18" spans="2:19" x14ac:dyDescent="0.2">
      <c r="B18" s="567"/>
      <c r="C18" s="701" t="s">
        <v>0</v>
      </c>
      <c r="D18" s="702"/>
      <c r="E18" s="569"/>
      <c r="F18" s="569"/>
      <c r="G18" s="686"/>
      <c r="H18" s="587"/>
      <c r="J18" s="572"/>
      <c r="K18" s="663"/>
      <c r="L18" s="573"/>
      <c r="O18" s="593"/>
      <c r="P18" s="638"/>
      <c r="R18" s="687"/>
      <c r="S18" s="688"/>
    </row>
    <row r="19" spans="2:19" x14ac:dyDescent="0.2">
      <c r="B19" s="567" t="s">
        <v>678</v>
      </c>
      <c r="C19" s="701">
        <v>0.4</v>
      </c>
      <c r="D19" s="702">
        <v>0.3</v>
      </c>
      <c r="E19" s="569" t="s">
        <v>0</v>
      </c>
      <c r="F19" s="708" t="s">
        <v>0</v>
      </c>
      <c r="G19" s="703">
        <v>1.5</v>
      </c>
      <c r="H19" s="590">
        <v>0</v>
      </c>
      <c r="J19" s="572"/>
      <c r="K19" s="663"/>
      <c r="L19" s="653">
        <f>+(C19-D19)*(G19+H19-S$26)</f>
        <v>-0.23000000000000015</v>
      </c>
      <c r="O19" s="593">
        <f>C19*(G19+H19)</f>
        <v>0.60000000000000009</v>
      </c>
      <c r="P19" s="638">
        <f>D19*(G19+H19)</f>
        <v>0.44999999999999996</v>
      </c>
      <c r="R19" s="687"/>
      <c r="S19" s="688">
        <f>+D19*(G19+H19)</f>
        <v>0.44999999999999996</v>
      </c>
    </row>
    <row r="20" spans="2:19" x14ac:dyDescent="0.2">
      <c r="B20" s="567"/>
      <c r="C20" s="701"/>
      <c r="D20" s="702"/>
      <c r="E20" s="569"/>
      <c r="F20" s="708"/>
      <c r="G20" s="703"/>
      <c r="H20" s="590"/>
      <c r="J20" s="572"/>
      <c r="K20" s="663"/>
      <c r="L20" s="573"/>
      <c r="O20" s="593"/>
      <c r="P20" s="638"/>
      <c r="R20" s="687"/>
      <c r="S20" s="688" t="s">
        <v>0</v>
      </c>
    </row>
    <row r="21" spans="2:19" x14ac:dyDescent="0.2">
      <c r="B21" s="567" t="s">
        <v>679</v>
      </c>
      <c r="C21" s="701">
        <v>-0.3</v>
      </c>
      <c r="D21" s="702">
        <v>-0.1</v>
      </c>
      <c r="E21" s="650" t="s">
        <v>0</v>
      </c>
      <c r="F21" s="708" t="s">
        <v>0</v>
      </c>
      <c r="G21" s="703">
        <v>0.5</v>
      </c>
      <c r="H21" s="590">
        <v>5</v>
      </c>
      <c r="J21" s="572"/>
      <c r="K21" s="663"/>
      <c r="L21" s="653">
        <f>+(C21-D21)*(G21+H21-S$26)</f>
        <v>-0.3399999999999998</v>
      </c>
      <c r="O21" s="593">
        <f>C21*(G21+H21)</f>
        <v>-1.65</v>
      </c>
      <c r="P21" s="638">
        <f>D21*(G21+H21)</f>
        <v>-0.55000000000000004</v>
      </c>
      <c r="R21" s="687"/>
      <c r="S21" s="688">
        <f>+D21*(G21+H21)</f>
        <v>-0.55000000000000004</v>
      </c>
    </row>
    <row r="22" spans="2:19" x14ac:dyDescent="0.2">
      <c r="B22" s="567"/>
      <c r="C22" s="701"/>
      <c r="D22" s="702"/>
      <c r="E22" s="569"/>
      <c r="F22" s="708"/>
      <c r="G22" s="703"/>
      <c r="H22" s="590"/>
      <c r="J22" s="572"/>
      <c r="K22" s="663"/>
      <c r="L22" s="573"/>
      <c r="O22" s="593"/>
      <c r="P22" s="638"/>
      <c r="R22" s="687"/>
      <c r="S22" s="688" t="s">
        <v>0</v>
      </c>
    </row>
    <row r="23" spans="2:19" x14ac:dyDescent="0.2">
      <c r="B23" s="567" t="s">
        <v>680</v>
      </c>
      <c r="C23" s="701">
        <v>-0.1</v>
      </c>
      <c r="D23" s="702">
        <v>-0.2</v>
      </c>
      <c r="E23" s="650" t="s">
        <v>0</v>
      </c>
      <c r="F23" s="708" t="s">
        <v>0</v>
      </c>
      <c r="G23" s="703">
        <v>1</v>
      </c>
      <c r="H23" s="590">
        <v>10</v>
      </c>
      <c r="J23" s="572"/>
      <c r="K23" s="663"/>
      <c r="L23" s="653">
        <f>+(C23-D23)*(G23+H23-S$26)</f>
        <v>0.72</v>
      </c>
      <c r="O23" s="593">
        <f>C23*(G23+H23)</f>
        <v>-1.1000000000000001</v>
      </c>
      <c r="P23" s="638">
        <f>D23*(G23+H23)</f>
        <v>-2.2000000000000002</v>
      </c>
      <c r="R23" s="687"/>
      <c r="S23" s="688">
        <f>+D23*(G23+H23)</f>
        <v>-2.2000000000000002</v>
      </c>
    </row>
    <row r="24" spans="2:19" ht="13.5" thickBot="1" x14ac:dyDescent="0.25">
      <c r="B24" s="709"/>
      <c r="C24" s="710"/>
      <c r="D24" s="711"/>
      <c r="E24" s="661"/>
      <c r="F24" s="661"/>
      <c r="G24" s="712"/>
      <c r="H24" s="713"/>
      <c r="J24" s="572"/>
      <c r="K24" s="663"/>
      <c r="L24" s="592"/>
      <c r="O24" s="593"/>
      <c r="P24" s="638"/>
      <c r="R24" s="687"/>
      <c r="S24" s="688"/>
    </row>
    <row r="25" spans="2:19" x14ac:dyDescent="0.2">
      <c r="B25" s="567"/>
      <c r="C25" s="588"/>
      <c r="D25" s="588"/>
      <c r="E25" s="586"/>
      <c r="F25" s="587"/>
      <c r="J25" s="651"/>
      <c r="K25" s="652"/>
      <c r="L25" s="653"/>
      <c r="O25" s="593"/>
      <c r="P25" s="638"/>
      <c r="R25" s="687"/>
      <c r="S25" s="688"/>
    </row>
    <row r="26" spans="2:19" ht="16.5" thickBot="1" x14ac:dyDescent="0.3">
      <c r="B26" s="595" t="s">
        <v>16</v>
      </c>
      <c r="C26" s="596">
        <f>SUM(C11:C23)</f>
        <v>0.99999999999999989</v>
      </c>
      <c r="D26" s="596">
        <v>1</v>
      </c>
      <c r="E26" s="668">
        <f>+O26</f>
        <v>7.4499999999999993</v>
      </c>
      <c r="F26" s="669">
        <f>+P26</f>
        <v>5.5</v>
      </c>
      <c r="I26" s="600"/>
      <c r="J26" s="670">
        <f>SUM(J11:J15)</f>
        <v>1.2500000000000002</v>
      </c>
      <c r="K26" s="671">
        <f>SUM(K11:K24)</f>
        <v>1.1000000000000001</v>
      </c>
      <c r="L26" s="672">
        <f>SUM(L11:L23)</f>
        <v>-0.40000000000000036</v>
      </c>
      <c r="O26" s="673">
        <f>SUM(O11:O23)</f>
        <v>7.4499999999999993</v>
      </c>
      <c r="P26" s="675">
        <f>SUM(P11:P23)</f>
        <v>5.5</v>
      </c>
      <c r="R26" s="714">
        <f>SUM(R11:R15)</f>
        <v>1.6999999999999997</v>
      </c>
      <c r="S26" s="715">
        <f>SUM(S11:S23)</f>
        <v>3.8000000000000007</v>
      </c>
    </row>
    <row r="30" spans="2:19" ht="15.75" x14ac:dyDescent="0.25">
      <c r="J30" s="619" t="s">
        <v>507</v>
      </c>
      <c r="K30" s="716"/>
      <c r="L30" s="717">
        <f>+E26-F26</f>
        <v>1.9499999999999993</v>
      </c>
    </row>
    <row r="31" spans="2:19" x14ac:dyDescent="0.2">
      <c r="J31" s="622"/>
      <c r="K31" s="609"/>
      <c r="L31" s="718"/>
    </row>
    <row r="32" spans="2:19" x14ac:dyDescent="0.2">
      <c r="J32" s="622" t="s">
        <v>476</v>
      </c>
      <c r="K32" s="609"/>
      <c r="L32" s="718">
        <f>+J26</f>
        <v>1.2500000000000002</v>
      </c>
    </row>
    <row r="33" spans="10:12" x14ac:dyDescent="0.2">
      <c r="J33" s="622" t="s">
        <v>484</v>
      </c>
      <c r="K33" s="609"/>
      <c r="L33" s="718">
        <f>+K26</f>
        <v>1.1000000000000001</v>
      </c>
    </row>
    <row r="34" spans="10:12" x14ac:dyDescent="0.2">
      <c r="J34" s="622" t="s">
        <v>657</v>
      </c>
      <c r="K34" s="609"/>
      <c r="L34" s="718">
        <f>+L26</f>
        <v>-0.40000000000000036</v>
      </c>
    </row>
    <row r="35" spans="10:12" x14ac:dyDescent="0.2">
      <c r="J35" s="622"/>
      <c r="K35" s="609"/>
      <c r="L35" s="718"/>
    </row>
    <row r="36" spans="10:12" x14ac:dyDescent="0.2">
      <c r="J36" s="625" t="s">
        <v>524</v>
      </c>
      <c r="K36" s="626"/>
      <c r="L36" s="719">
        <f>L30-SUM(L32:L34)</f>
        <v>0</v>
      </c>
    </row>
  </sheetData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21" r:id="rId4">
          <objectPr defaultSize="0" autoPict="0" r:id="rId5">
            <anchor moveWithCells="1" sizeWithCells="1">
              <from>
                <xdr:col>3</xdr:col>
                <xdr:colOff>361950</xdr:colOff>
                <xdr:row>16</xdr:row>
                <xdr:rowOff>28575</xdr:rowOff>
              </from>
              <to>
                <xdr:col>3</xdr:col>
                <xdr:colOff>552450</xdr:colOff>
                <xdr:row>17</xdr:row>
                <xdr:rowOff>123825</xdr:rowOff>
              </to>
            </anchor>
          </objectPr>
        </oleObject>
      </mc:Choice>
      <mc:Fallback>
        <oleObject progId="Equation.3" shapeId="30721" r:id="rId4"/>
      </mc:Fallback>
    </mc:AlternateContent>
    <mc:AlternateContent xmlns:mc="http://schemas.openxmlformats.org/markup-compatibility/2006">
      <mc:Choice Requires="x14">
        <oleObject progId="Equation.3" shapeId="30722" r:id="rId6">
          <objectPr defaultSize="0" autoPict="0" r:id="rId7">
            <anchor moveWithCells="1" sizeWithCells="1">
              <from>
                <xdr:col>2</xdr:col>
                <xdr:colOff>381000</xdr:colOff>
                <xdr:row>16</xdr:row>
                <xdr:rowOff>28575</xdr:rowOff>
              </from>
              <to>
                <xdr:col>2</xdr:col>
                <xdr:colOff>561975</xdr:colOff>
                <xdr:row>17</xdr:row>
                <xdr:rowOff>95250</xdr:rowOff>
              </to>
            </anchor>
          </objectPr>
        </oleObject>
      </mc:Choice>
      <mc:Fallback>
        <oleObject progId="Equation.3" shapeId="30722" r:id="rId6"/>
      </mc:Fallback>
    </mc:AlternateContent>
    <mc:AlternateContent xmlns:mc="http://schemas.openxmlformats.org/markup-compatibility/2006">
      <mc:Choice Requires="x14">
        <oleObject progId="Equation.3" shapeId="30723" r:id="rId8">
          <objectPr defaultSize="0" autoPict="0" r:id="rId9">
            <anchor moveWithCells="1" sizeWithCells="1">
              <from>
                <xdr:col>2</xdr:col>
                <xdr:colOff>180975</xdr:colOff>
                <xdr:row>6</xdr:row>
                <xdr:rowOff>95250</xdr:rowOff>
              </from>
              <to>
                <xdr:col>2</xdr:col>
                <xdr:colOff>361950</xdr:colOff>
                <xdr:row>7</xdr:row>
                <xdr:rowOff>161925</xdr:rowOff>
              </to>
            </anchor>
          </objectPr>
        </oleObject>
      </mc:Choice>
      <mc:Fallback>
        <oleObject progId="Equation.3" shapeId="30723" r:id="rId8"/>
      </mc:Fallback>
    </mc:AlternateContent>
    <mc:AlternateContent xmlns:mc="http://schemas.openxmlformats.org/markup-compatibility/2006">
      <mc:Choice Requires="x14">
        <oleObject progId="Equation.3" shapeId="30724" r:id="rId10">
          <objectPr defaultSize="0" autoPict="0" r:id="rId11">
            <anchor moveWithCells="1" sizeWithCells="1">
              <from>
                <xdr:col>3</xdr:col>
                <xdr:colOff>266700</xdr:colOff>
                <xdr:row>6</xdr:row>
                <xdr:rowOff>76200</xdr:rowOff>
              </from>
              <to>
                <xdr:col>3</xdr:col>
                <xdr:colOff>457200</xdr:colOff>
                <xdr:row>7</xdr:row>
                <xdr:rowOff>142875</xdr:rowOff>
              </to>
            </anchor>
          </objectPr>
        </oleObject>
      </mc:Choice>
      <mc:Fallback>
        <oleObject progId="Equation.3" shapeId="30724" r:id="rId10"/>
      </mc:Fallback>
    </mc:AlternateContent>
    <mc:AlternateContent xmlns:mc="http://schemas.openxmlformats.org/markup-compatibility/2006">
      <mc:Choice Requires="x14">
        <oleObject progId="Equation.3" shapeId="30725" r:id="rId12">
          <objectPr defaultSize="0" autoPict="0" r:id="rId13">
            <anchor moveWithCells="1" sizeWithCells="1">
              <from>
                <xdr:col>4</xdr:col>
                <xdr:colOff>190500</xdr:colOff>
                <xdr:row>6</xdr:row>
                <xdr:rowOff>57150</xdr:rowOff>
              </from>
              <to>
                <xdr:col>4</xdr:col>
                <xdr:colOff>371475</xdr:colOff>
                <xdr:row>7</xdr:row>
                <xdr:rowOff>123825</xdr:rowOff>
              </to>
            </anchor>
          </objectPr>
        </oleObject>
      </mc:Choice>
      <mc:Fallback>
        <oleObject progId="Equation.3" shapeId="30725" r:id="rId12"/>
      </mc:Fallback>
    </mc:AlternateContent>
    <mc:AlternateContent xmlns:mc="http://schemas.openxmlformats.org/markup-compatibility/2006">
      <mc:Choice Requires="x14">
        <oleObject progId="Equation.3" shapeId="30726" r:id="rId14">
          <objectPr defaultSize="0" autoPict="0" r:id="rId15">
            <anchor moveWithCells="1" sizeWithCells="1">
              <from>
                <xdr:col>5</xdr:col>
                <xdr:colOff>219075</xdr:colOff>
                <xdr:row>6</xdr:row>
                <xdr:rowOff>57150</xdr:rowOff>
              </from>
              <to>
                <xdr:col>5</xdr:col>
                <xdr:colOff>428625</xdr:colOff>
                <xdr:row>7</xdr:row>
                <xdr:rowOff>123825</xdr:rowOff>
              </to>
            </anchor>
          </objectPr>
        </oleObject>
      </mc:Choice>
      <mc:Fallback>
        <oleObject progId="Equation.3" shapeId="30726" r:id="rId14"/>
      </mc:Fallback>
    </mc:AlternateContent>
    <mc:AlternateContent xmlns:mc="http://schemas.openxmlformats.org/markup-compatibility/2006">
      <mc:Choice Requires="x14">
        <oleObject progId="Equation.3" shapeId="30727" r:id="rId16">
          <objectPr defaultSize="0" autoPict="0" r:id="rId17">
            <anchor moveWithCells="1" sizeWithCells="1">
              <from>
                <xdr:col>6</xdr:col>
                <xdr:colOff>285750</xdr:colOff>
                <xdr:row>6</xdr:row>
                <xdr:rowOff>47625</xdr:rowOff>
              </from>
              <to>
                <xdr:col>6</xdr:col>
                <xdr:colOff>438150</xdr:colOff>
                <xdr:row>7</xdr:row>
                <xdr:rowOff>114300</xdr:rowOff>
              </to>
            </anchor>
          </objectPr>
        </oleObject>
      </mc:Choice>
      <mc:Fallback>
        <oleObject progId="Equation.3" shapeId="30727" r:id="rId16"/>
      </mc:Fallback>
    </mc:AlternateContent>
    <mc:AlternateContent xmlns:mc="http://schemas.openxmlformats.org/markup-compatibility/2006">
      <mc:Choice Requires="x14">
        <oleObject progId="Equation.3" shapeId="30728" r:id="rId18">
          <objectPr defaultSize="0" autoPict="0" r:id="rId19">
            <anchor moveWithCells="1" sizeWithCells="1">
              <from>
                <xdr:col>7</xdr:col>
                <xdr:colOff>219075</xdr:colOff>
                <xdr:row>6</xdr:row>
                <xdr:rowOff>28575</xdr:rowOff>
              </from>
              <to>
                <xdr:col>7</xdr:col>
                <xdr:colOff>371475</xdr:colOff>
                <xdr:row>7</xdr:row>
                <xdr:rowOff>95250</xdr:rowOff>
              </to>
            </anchor>
          </objectPr>
        </oleObject>
      </mc:Choice>
      <mc:Fallback>
        <oleObject progId="Equation.3" shapeId="30728" r:id="rId18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DA98-D5B9-437E-B445-37E19B88FF16}">
  <dimension ref="B2:W27"/>
  <sheetViews>
    <sheetView workbookViewId="0">
      <selection activeCell="I35" sqref="I35"/>
    </sheetView>
  </sheetViews>
  <sheetFormatPr defaultRowHeight="12.75" x14ac:dyDescent="0.2"/>
  <cols>
    <col min="1" max="1" width="9.140625" style="556"/>
    <col min="2" max="2" width="15.7109375" style="556" customWidth="1"/>
    <col min="3" max="4" width="10.7109375" style="556" customWidth="1"/>
    <col min="5" max="5" width="2.7109375" style="556" customWidth="1"/>
    <col min="6" max="10" width="10.7109375" style="556" customWidth="1"/>
    <col min="11" max="11" width="9.140625" style="556"/>
    <col min="12" max="13" width="10.7109375" style="556" customWidth="1"/>
    <col min="14" max="15" width="9.140625" style="556"/>
    <col min="16" max="19" width="10.7109375" style="556" customWidth="1"/>
    <col min="20" max="21" width="9.140625" style="556"/>
    <col min="22" max="23" width="10.7109375" style="556" customWidth="1"/>
    <col min="24" max="257" width="9.140625" style="556"/>
    <col min="258" max="258" width="15.7109375" style="556" customWidth="1"/>
    <col min="259" max="260" width="10.7109375" style="556" customWidth="1"/>
    <col min="261" max="261" width="2.7109375" style="556" customWidth="1"/>
    <col min="262" max="266" width="10.7109375" style="556" customWidth="1"/>
    <col min="267" max="267" width="9.140625" style="556"/>
    <col min="268" max="269" width="10.7109375" style="556" customWidth="1"/>
    <col min="270" max="271" width="9.140625" style="556"/>
    <col min="272" max="275" width="10.7109375" style="556" customWidth="1"/>
    <col min="276" max="277" width="9.140625" style="556"/>
    <col min="278" max="279" width="10.7109375" style="556" customWidth="1"/>
    <col min="280" max="513" width="9.140625" style="556"/>
    <col min="514" max="514" width="15.7109375" style="556" customWidth="1"/>
    <col min="515" max="516" width="10.7109375" style="556" customWidth="1"/>
    <col min="517" max="517" width="2.7109375" style="556" customWidth="1"/>
    <col min="518" max="522" width="10.7109375" style="556" customWidth="1"/>
    <col min="523" max="523" width="9.140625" style="556"/>
    <col min="524" max="525" width="10.7109375" style="556" customWidth="1"/>
    <col min="526" max="527" width="9.140625" style="556"/>
    <col min="528" max="531" width="10.7109375" style="556" customWidth="1"/>
    <col min="532" max="533" width="9.140625" style="556"/>
    <col min="534" max="535" width="10.7109375" style="556" customWidth="1"/>
    <col min="536" max="769" width="9.140625" style="556"/>
    <col min="770" max="770" width="15.7109375" style="556" customWidth="1"/>
    <col min="771" max="772" width="10.7109375" style="556" customWidth="1"/>
    <col min="773" max="773" width="2.7109375" style="556" customWidth="1"/>
    <col min="774" max="778" width="10.7109375" style="556" customWidth="1"/>
    <col min="779" max="779" width="9.140625" style="556"/>
    <col min="780" max="781" width="10.7109375" style="556" customWidth="1"/>
    <col min="782" max="783" width="9.140625" style="556"/>
    <col min="784" max="787" width="10.7109375" style="556" customWidth="1"/>
    <col min="788" max="789" width="9.140625" style="556"/>
    <col min="790" max="791" width="10.7109375" style="556" customWidth="1"/>
    <col min="792" max="1025" width="9.140625" style="556"/>
    <col min="1026" max="1026" width="15.7109375" style="556" customWidth="1"/>
    <col min="1027" max="1028" width="10.7109375" style="556" customWidth="1"/>
    <col min="1029" max="1029" width="2.7109375" style="556" customWidth="1"/>
    <col min="1030" max="1034" width="10.7109375" style="556" customWidth="1"/>
    <col min="1035" max="1035" width="9.140625" style="556"/>
    <col min="1036" max="1037" width="10.7109375" style="556" customWidth="1"/>
    <col min="1038" max="1039" width="9.140625" style="556"/>
    <col min="1040" max="1043" width="10.7109375" style="556" customWidth="1"/>
    <col min="1044" max="1045" width="9.140625" style="556"/>
    <col min="1046" max="1047" width="10.7109375" style="556" customWidth="1"/>
    <col min="1048" max="1281" width="9.140625" style="556"/>
    <col min="1282" max="1282" width="15.7109375" style="556" customWidth="1"/>
    <col min="1283" max="1284" width="10.7109375" style="556" customWidth="1"/>
    <col min="1285" max="1285" width="2.7109375" style="556" customWidth="1"/>
    <col min="1286" max="1290" width="10.7109375" style="556" customWidth="1"/>
    <col min="1291" max="1291" width="9.140625" style="556"/>
    <col min="1292" max="1293" width="10.7109375" style="556" customWidth="1"/>
    <col min="1294" max="1295" width="9.140625" style="556"/>
    <col min="1296" max="1299" width="10.7109375" style="556" customWidth="1"/>
    <col min="1300" max="1301" width="9.140625" style="556"/>
    <col min="1302" max="1303" width="10.7109375" style="556" customWidth="1"/>
    <col min="1304" max="1537" width="9.140625" style="556"/>
    <col min="1538" max="1538" width="15.7109375" style="556" customWidth="1"/>
    <col min="1539" max="1540" width="10.7109375" style="556" customWidth="1"/>
    <col min="1541" max="1541" width="2.7109375" style="556" customWidth="1"/>
    <col min="1542" max="1546" width="10.7109375" style="556" customWidth="1"/>
    <col min="1547" max="1547" width="9.140625" style="556"/>
    <col min="1548" max="1549" width="10.7109375" style="556" customWidth="1"/>
    <col min="1550" max="1551" width="9.140625" style="556"/>
    <col min="1552" max="1555" width="10.7109375" style="556" customWidth="1"/>
    <col min="1556" max="1557" width="9.140625" style="556"/>
    <col min="1558" max="1559" width="10.7109375" style="556" customWidth="1"/>
    <col min="1560" max="1793" width="9.140625" style="556"/>
    <col min="1794" max="1794" width="15.7109375" style="556" customWidth="1"/>
    <col min="1795" max="1796" width="10.7109375" style="556" customWidth="1"/>
    <col min="1797" max="1797" width="2.7109375" style="556" customWidth="1"/>
    <col min="1798" max="1802" width="10.7109375" style="556" customWidth="1"/>
    <col min="1803" max="1803" width="9.140625" style="556"/>
    <col min="1804" max="1805" width="10.7109375" style="556" customWidth="1"/>
    <col min="1806" max="1807" width="9.140625" style="556"/>
    <col min="1808" max="1811" width="10.7109375" style="556" customWidth="1"/>
    <col min="1812" max="1813" width="9.140625" style="556"/>
    <col min="1814" max="1815" width="10.7109375" style="556" customWidth="1"/>
    <col min="1816" max="2049" width="9.140625" style="556"/>
    <col min="2050" max="2050" width="15.7109375" style="556" customWidth="1"/>
    <col min="2051" max="2052" width="10.7109375" style="556" customWidth="1"/>
    <col min="2053" max="2053" width="2.7109375" style="556" customWidth="1"/>
    <col min="2054" max="2058" width="10.7109375" style="556" customWidth="1"/>
    <col min="2059" max="2059" width="9.140625" style="556"/>
    <col min="2060" max="2061" width="10.7109375" style="556" customWidth="1"/>
    <col min="2062" max="2063" width="9.140625" style="556"/>
    <col min="2064" max="2067" width="10.7109375" style="556" customWidth="1"/>
    <col min="2068" max="2069" width="9.140625" style="556"/>
    <col min="2070" max="2071" width="10.7109375" style="556" customWidth="1"/>
    <col min="2072" max="2305" width="9.140625" style="556"/>
    <col min="2306" max="2306" width="15.7109375" style="556" customWidth="1"/>
    <col min="2307" max="2308" width="10.7109375" style="556" customWidth="1"/>
    <col min="2309" max="2309" width="2.7109375" style="556" customWidth="1"/>
    <col min="2310" max="2314" width="10.7109375" style="556" customWidth="1"/>
    <col min="2315" max="2315" width="9.140625" style="556"/>
    <col min="2316" max="2317" width="10.7109375" style="556" customWidth="1"/>
    <col min="2318" max="2319" width="9.140625" style="556"/>
    <col min="2320" max="2323" width="10.7109375" style="556" customWidth="1"/>
    <col min="2324" max="2325" width="9.140625" style="556"/>
    <col min="2326" max="2327" width="10.7109375" style="556" customWidth="1"/>
    <col min="2328" max="2561" width="9.140625" style="556"/>
    <col min="2562" max="2562" width="15.7109375" style="556" customWidth="1"/>
    <col min="2563" max="2564" width="10.7109375" style="556" customWidth="1"/>
    <col min="2565" max="2565" width="2.7109375" style="556" customWidth="1"/>
    <col min="2566" max="2570" width="10.7109375" style="556" customWidth="1"/>
    <col min="2571" max="2571" width="9.140625" style="556"/>
    <col min="2572" max="2573" width="10.7109375" style="556" customWidth="1"/>
    <col min="2574" max="2575" width="9.140625" style="556"/>
    <col min="2576" max="2579" width="10.7109375" style="556" customWidth="1"/>
    <col min="2580" max="2581" width="9.140625" style="556"/>
    <col min="2582" max="2583" width="10.7109375" style="556" customWidth="1"/>
    <col min="2584" max="2817" width="9.140625" style="556"/>
    <col min="2818" max="2818" width="15.7109375" style="556" customWidth="1"/>
    <col min="2819" max="2820" width="10.7109375" style="556" customWidth="1"/>
    <col min="2821" max="2821" width="2.7109375" style="556" customWidth="1"/>
    <col min="2822" max="2826" width="10.7109375" style="556" customWidth="1"/>
    <col min="2827" max="2827" width="9.140625" style="556"/>
    <col min="2828" max="2829" width="10.7109375" style="556" customWidth="1"/>
    <col min="2830" max="2831" width="9.140625" style="556"/>
    <col min="2832" max="2835" width="10.7109375" style="556" customWidth="1"/>
    <col min="2836" max="2837" width="9.140625" style="556"/>
    <col min="2838" max="2839" width="10.7109375" style="556" customWidth="1"/>
    <col min="2840" max="3073" width="9.140625" style="556"/>
    <col min="3074" max="3074" width="15.7109375" style="556" customWidth="1"/>
    <col min="3075" max="3076" width="10.7109375" style="556" customWidth="1"/>
    <col min="3077" max="3077" width="2.7109375" style="556" customWidth="1"/>
    <col min="3078" max="3082" width="10.7109375" style="556" customWidth="1"/>
    <col min="3083" max="3083" width="9.140625" style="556"/>
    <col min="3084" max="3085" width="10.7109375" style="556" customWidth="1"/>
    <col min="3086" max="3087" width="9.140625" style="556"/>
    <col min="3088" max="3091" width="10.7109375" style="556" customWidth="1"/>
    <col min="3092" max="3093" width="9.140625" style="556"/>
    <col min="3094" max="3095" width="10.7109375" style="556" customWidth="1"/>
    <col min="3096" max="3329" width="9.140625" style="556"/>
    <col min="3330" max="3330" width="15.7109375" style="556" customWidth="1"/>
    <col min="3331" max="3332" width="10.7109375" style="556" customWidth="1"/>
    <col min="3333" max="3333" width="2.7109375" style="556" customWidth="1"/>
    <col min="3334" max="3338" width="10.7109375" style="556" customWidth="1"/>
    <col min="3339" max="3339" width="9.140625" style="556"/>
    <col min="3340" max="3341" width="10.7109375" style="556" customWidth="1"/>
    <col min="3342" max="3343" width="9.140625" style="556"/>
    <col min="3344" max="3347" width="10.7109375" style="556" customWidth="1"/>
    <col min="3348" max="3349" width="9.140625" style="556"/>
    <col min="3350" max="3351" width="10.7109375" style="556" customWidth="1"/>
    <col min="3352" max="3585" width="9.140625" style="556"/>
    <col min="3586" max="3586" width="15.7109375" style="556" customWidth="1"/>
    <col min="3587" max="3588" width="10.7109375" style="556" customWidth="1"/>
    <col min="3589" max="3589" width="2.7109375" style="556" customWidth="1"/>
    <col min="3590" max="3594" width="10.7109375" style="556" customWidth="1"/>
    <col min="3595" max="3595" width="9.140625" style="556"/>
    <col min="3596" max="3597" width="10.7109375" style="556" customWidth="1"/>
    <col min="3598" max="3599" width="9.140625" style="556"/>
    <col min="3600" max="3603" width="10.7109375" style="556" customWidth="1"/>
    <col min="3604" max="3605" width="9.140625" style="556"/>
    <col min="3606" max="3607" width="10.7109375" style="556" customWidth="1"/>
    <col min="3608" max="3841" width="9.140625" style="556"/>
    <col min="3842" max="3842" width="15.7109375" style="556" customWidth="1"/>
    <col min="3843" max="3844" width="10.7109375" style="556" customWidth="1"/>
    <col min="3845" max="3845" width="2.7109375" style="556" customWidth="1"/>
    <col min="3846" max="3850" width="10.7109375" style="556" customWidth="1"/>
    <col min="3851" max="3851" width="9.140625" style="556"/>
    <col min="3852" max="3853" width="10.7109375" style="556" customWidth="1"/>
    <col min="3854" max="3855" width="9.140625" style="556"/>
    <col min="3856" max="3859" width="10.7109375" style="556" customWidth="1"/>
    <col min="3860" max="3861" width="9.140625" style="556"/>
    <col min="3862" max="3863" width="10.7109375" style="556" customWidth="1"/>
    <col min="3864" max="4097" width="9.140625" style="556"/>
    <col min="4098" max="4098" width="15.7109375" style="556" customWidth="1"/>
    <col min="4099" max="4100" width="10.7109375" style="556" customWidth="1"/>
    <col min="4101" max="4101" width="2.7109375" style="556" customWidth="1"/>
    <col min="4102" max="4106" width="10.7109375" style="556" customWidth="1"/>
    <col min="4107" max="4107" width="9.140625" style="556"/>
    <col min="4108" max="4109" width="10.7109375" style="556" customWidth="1"/>
    <col min="4110" max="4111" width="9.140625" style="556"/>
    <col min="4112" max="4115" width="10.7109375" style="556" customWidth="1"/>
    <col min="4116" max="4117" width="9.140625" style="556"/>
    <col min="4118" max="4119" width="10.7109375" style="556" customWidth="1"/>
    <col min="4120" max="4353" width="9.140625" style="556"/>
    <col min="4354" max="4354" width="15.7109375" style="556" customWidth="1"/>
    <col min="4355" max="4356" width="10.7109375" style="556" customWidth="1"/>
    <col min="4357" max="4357" width="2.7109375" style="556" customWidth="1"/>
    <col min="4358" max="4362" width="10.7109375" style="556" customWidth="1"/>
    <col min="4363" max="4363" width="9.140625" style="556"/>
    <col min="4364" max="4365" width="10.7109375" style="556" customWidth="1"/>
    <col min="4366" max="4367" width="9.140625" style="556"/>
    <col min="4368" max="4371" width="10.7109375" style="556" customWidth="1"/>
    <col min="4372" max="4373" width="9.140625" style="556"/>
    <col min="4374" max="4375" width="10.7109375" style="556" customWidth="1"/>
    <col min="4376" max="4609" width="9.140625" style="556"/>
    <col min="4610" max="4610" width="15.7109375" style="556" customWidth="1"/>
    <col min="4611" max="4612" width="10.7109375" style="556" customWidth="1"/>
    <col min="4613" max="4613" width="2.7109375" style="556" customWidth="1"/>
    <col min="4614" max="4618" width="10.7109375" style="556" customWidth="1"/>
    <col min="4619" max="4619" width="9.140625" style="556"/>
    <col min="4620" max="4621" width="10.7109375" style="556" customWidth="1"/>
    <col min="4622" max="4623" width="9.140625" style="556"/>
    <col min="4624" max="4627" width="10.7109375" style="556" customWidth="1"/>
    <col min="4628" max="4629" width="9.140625" style="556"/>
    <col min="4630" max="4631" width="10.7109375" style="556" customWidth="1"/>
    <col min="4632" max="4865" width="9.140625" style="556"/>
    <col min="4866" max="4866" width="15.7109375" style="556" customWidth="1"/>
    <col min="4867" max="4868" width="10.7109375" style="556" customWidth="1"/>
    <col min="4869" max="4869" width="2.7109375" style="556" customWidth="1"/>
    <col min="4870" max="4874" width="10.7109375" style="556" customWidth="1"/>
    <col min="4875" max="4875" width="9.140625" style="556"/>
    <col min="4876" max="4877" width="10.7109375" style="556" customWidth="1"/>
    <col min="4878" max="4879" width="9.140625" style="556"/>
    <col min="4880" max="4883" width="10.7109375" style="556" customWidth="1"/>
    <col min="4884" max="4885" width="9.140625" style="556"/>
    <col min="4886" max="4887" width="10.7109375" style="556" customWidth="1"/>
    <col min="4888" max="5121" width="9.140625" style="556"/>
    <col min="5122" max="5122" width="15.7109375" style="556" customWidth="1"/>
    <col min="5123" max="5124" width="10.7109375" style="556" customWidth="1"/>
    <col min="5125" max="5125" width="2.7109375" style="556" customWidth="1"/>
    <col min="5126" max="5130" width="10.7109375" style="556" customWidth="1"/>
    <col min="5131" max="5131" width="9.140625" style="556"/>
    <col min="5132" max="5133" width="10.7109375" style="556" customWidth="1"/>
    <col min="5134" max="5135" width="9.140625" style="556"/>
    <col min="5136" max="5139" width="10.7109375" style="556" customWidth="1"/>
    <col min="5140" max="5141" width="9.140625" style="556"/>
    <col min="5142" max="5143" width="10.7109375" style="556" customWidth="1"/>
    <col min="5144" max="5377" width="9.140625" style="556"/>
    <col min="5378" max="5378" width="15.7109375" style="556" customWidth="1"/>
    <col min="5379" max="5380" width="10.7109375" style="556" customWidth="1"/>
    <col min="5381" max="5381" width="2.7109375" style="556" customWidth="1"/>
    <col min="5382" max="5386" width="10.7109375" style="556" customWidth="1"/>
    <col min="5387" max="5387" width="9.140625" style="556"/>
    <col min="5388" max="5389" width="10.7109375" style="556" customWidth="1"/>
    <col min="5390" max="5391" width="9.140625" style="556"/>
    <col min="5392" max="5395" width="10.7109375" style="556" customWidth="1"/>
    <col min="5396" max="5397" width="9.140625" style="556"/>
    <col min="5398" max="5399" width="10.7109375" style="556" customWidth="1"/>
    <col min="5400" max="5633" width="9.140625" style="556"/>
    <col min="5634" max="5634" width="15.7109375" style="556" customWidth="1"/>
    <col min="5635" max="5636" width="10.7109375" style="556" customWidth="1"/>
    <col min="5637" max="5637" width="2.7109375" style="556" customWidth="1"/>
    <col min="5638" max="5642" width="10.7109375" style="556" customWidth="1"/>
    <col min="5643" max="5643" width="9.140625" style="556"/>
    <col min="5644" max="5645" width="10.7109375" style="556" customWidth="1"/>
    <col min="5646" max="5647" width="9.140625" style="556"/>
    <col min="5648" max="5651" width="10.7109375" style="556" customWidth="1"/>
    <col min="5652" max="5653" width="9.140625" style="556"/>
    <col min="5654" max="5655" width="10.7109375" style="556" customWidth="1"/>
    <col min="5656" max="5889" width="9.140625" style="556"/>
    <col min="5890" max="5890" width="15.7109375" style="556" customWidth="1"/>
    <col min="5891" max="5892" width="10.7109375" style="556" customWidth="1"/>
    <col min="5893" max="5893" width="2.7109375" style="556" customWidth="1"/>
    <col min="5894" max="5898" width="10.7109375" style="556" customWidth="1"/>
    <col min="5899" max="5899" width="9.140625" style="556"/>
    <col min="5900" max="5901" width="10.7109375" style="556" customWidth="1"/>
    <col min="5902" max="5903" width="9.140625" style="556"/>
    <col min="5904" max="5907" width="10.7109375" style="556" customWidth="1"/>
    <col min="5908" max="5909" width="9.140625" style="556"/>
    <col min="5910" max="5911" width="10.7109375" style="556" customWidth="1"/>
    <col min="5912" max="6145" width="9.140625" style="556"/>
    <col min="6146" max="6146" width="15.7109375" style="556" customWidth="1"/>
    <col min="6147" max="6148" width="10.7109375" style="556" customWidth="1"/>
    <col min="6149" max="6149" width="2.7109375" style="556" customWidth="1"/>
    <col min="6150" max="6154" width="10.7109375" style="556" customWidth="1"/>
    <col min="6155" max="6155" width="9.140625" style="556"/>
    <col min="6156" max="6157" width="10.7109375" style="556" customWidth="1"/>
    <col min="6158" max="6159" width="9.140625" style="556"/>
    <col min="6160" max="6163" width="10.7109375" style="556" customWidth="1"/>
    <col min="6164" max="6165" width="9.140625" style="556"/>
    <col min="6166" max="6167" width="10.7109375" style="556" customWidth="1"/>
    <col min="6168" max="6401" width="9.140625" style="556"/>
    <col min="6402" max="6402" width="15.7109375" style="556" customWidth="1"/>
    <col min="6403" max="6404" width="10.7109375" style="556" customWidth="1"/>
    <col min="6405" max="6405" width="2.7109375" style="556" customWidth="1"/>
    <col min="6406" max="6410" width="10.7109375" style="556" customWidth="1"/>
    <col min="6411" max="6411" width="9.140625" style="556"/>
    <col min="6412" max="6413" width="10.7109375" style="556" customWidth="1"/>
    <col min="6414" max="6415" width="9.140625" style="556"/>
    <col min="6416" max="6419" width="10.7109375" style="556" customWidth="1"/>
    <col min="6420" max="6421" width="9.140625" style="556"/>
    <col min="6422" max="6423" width="10.7109375" style="556" customWidth="1"/>
    <col min="6424" max="6657" width="9.140625" style="556"/>
    <col min="6658" max="6658" width="15.7109375" style="556" customWidth="1"/>
    <col min="6659" max="6660" width="10.7109375" style="556" customWidth="1"/>
    <col min="6661" max="6661" width="2.7109375" style="556" customWidth="1"/>
    <col min="6662" max="6666" width="10.7109375" style="556" customWidth="1"/>
    <col min="6667" max="6667" width="9.140625" style="556"/>
    <col min="6668" max="6669" width="10.7109375" style="556" customWidth="1"/>
    <col min="6670" max="6671" width="9.140625" style="556"/>
    <col min="6672" max="6675" width="10.7109375" style="556" customWidth="1"/>
    <col min="6676" max="6677" width="9.140625" style="556"/>
    <col min="6678" max="6679" width="10.7109375" style="556" customWidth="1"/>
    <col min="6680" max="6913" width="9.140625" style="556"/>
    <col min="6914" max="6914" width="15.7109375" style="556" customWidth="1"/>
    <col min="6915" max="6916" width="10.7109375" style="556" customWidth="1"/>
    <col min="6917" max="6917" width="2.7109375" style="556" customWidth="1"/>
    <col min="6918" max="6922" width="10.7109375" style="556" customWidth="1"/>
    <col min="6923" max="6923" width="9.140625" style="556"/>
    <col min="6924" max="6925" width="10.7109375" style="556" customWidth="1"/>
    <col min="6926" max="6927" width="9.140625" style="556"/>
    <col min="6928" max="6931" width="10.7109375" style="556" customWidth="1"/>
    <col min="6932" max="6933" width="9.140625" style="556"/>
    <col min="6934" max="6935" width="10.7109375" style="556" customWidth="1"/>
    <col min="6936" max="7169" width="9.140625" style="556"/>
    <col min="7170" max="7170" width="15.7109375" style="556" customWidth="1"/>
    <col min="7171" max="7172" width="10.7109375" style="556" customWidth="1"/>
    <col min="7173" max="7173" width="2.7109375" style="556" customWidth="1"/>
    <col min="7174" max="7178" width="10.7109375" style="556" customWidth="1"/>
    <col min="7179" max="7179" width="9.140625" style="556"/>
    <col min="7180" max="7181" width="10.7109375" style="556" customWidth="1"/>
    <col min="7182" max="7183" width="9.140625" style="556"/>
    <col min="7184" max="7187" width="10.7109375" style="556" customWidth="1"/>
    <col min="7188" max="7189" width="9.140625" style="556"/>
    <col min="7190" max="7191" width="10.7109375" style="556" customWidth="1"/>
    <col min="7192" max="7425" width="9.140625" style="556"/>
    <col min="7426" max="7426" width="15.7109375" style="556" customWidth="1"/>
    <col min="7427" max="7428" width="10.7109375" style="556" customWidth="1"/>
    <col min="7429" max="7429" width="2.7109375" style="556" customWidth="1"/>
    <col min="7430" max="7434" width="10.7109375" style="556" customWidth="1"/>
    <col min="7435" max="7435" width="9.140625" style="556"/>
    <col min="7436" max="7437" width="10.7109375" style="556" customWidth="1"/>
    <col min="7438" max="7439" width="9.140625" style="556"/>
    <col min="7440" max="7443" width="10.7109375" style="556" customWidth="1"/>
    <col min="7444" max="7445" width="9.140625" style="556"/>
    <col min="7446" max="7447" width="10.7109375" style="556" customWidth="1"/>
    <col min="7448" max="7681" width="9.140625" style="556"/>
    <col min="7682" max="7682" width="15.7109375" style="556" customWidth="1"/>
    <col min="7683" max="7684" width="10.7109375" style="556" customWidth="1"/>
    <col min="7685" max="7685" width="2.7109375" style="556" customWidth="1"/>
    <col min="7686" max="7690" width="10.7109375" style="556" customWidth="1"/>
    <col min="7691" max="7691" width="9.140625" style="556"/>
    <col min="7692" max="7693" width="10.7109375" style="556" customWidth="1"/>
    <col min="7694" max="7695" width="9.140625" style="556"/>
    <col min="7696" max="7699" width="10.7109375" style="556" customWidth="1"/>
    <col min="7700" max="7701" width="9.140625" style="556"/>
    <col min="7702" max="7703" width="10.7109375" style="556" customWidth="1"/>
    <col min="7704" max="7937" width="9.140625" style="556"/>
    <col min="7938" max="7938" width="15.7109375" style="556" customWidth="1"/>
    <col min="7939" max="7940" width="10.7109375" style="556" customWidth="1"/>
    <col min="7941" max="7941" width="2.7109375" style="556" customWidth="1"/>
    <col min="7942" max="7946" width="10.7109375" style="556" customWidth="1"/>
    <col min="7947" max="7947" width="9.140625" style="556"/>
    <col min="7948" max="7949" width="10.7109375" style="556" customWidth="1"/>
    <col min="7950" max="7951" width="9.140625" style="556"/>
    <col min="7952" max="7955" width="10.7109375" style="556" customWidth="1"/>
    <col min="7956" max="7957" width="9.140625" style="556"/>
    <col min="7958" max="7959" width="10.7109375" style="556" customWidth="1"/>
    <col min="7960" max="8193" width="9.140625" style="556"/>
    <col min="8194" max="8194" width="15.7109375" style="556" customWidth="1"/>
    <col min="8195" max="8196" width="10.7109375" style="556" customWidth="1"/>
    <col min="8197" max="8197" width="2.7109375" style="556" customWidth="1"/>
    <col min="8198" max="8202" width="10.7109375" style="556" customWidth="1"/>
    <col min="8203" max="8203" width="9.140625" style="556"/>
    <col min="8204" max="8205" width="10.7109375" style="556" customWidth="1"/>
    <col min="8206" max="8207" width="9.140625" style="556"/>
    <col min="8208" max="8211" width="10.7109375" style="556" customWidth="1"/>
    <col min="8212" max="8213" width="9.140625" style="556"/>
    <col min="8214" max="8215" width="10.7109375" style="556" customWidth="1"/>
    <col min="8216" max="8449" width="9.140625" style="556"/>
    <col min="8450" max="8450" width="15.7109375" style="556" customWidth="1"/>
    <col min="8451" max="8452" width="10.7109375" style="556" customWidth="1"/>
    <col min="8453" max="8453" width="2.7109375" style="556" customWidth="1"/>
    <col min="8454" max="8458" width="10.7109375" style="556" customWidth="1"/>
    <col min="8459" max="8459" width="9.140625" style="556"/>
    <col min="8460" max="8461" width="10.7109375" style="556" customWidth="1"/>
    <col min="8462" max="8463" width="9.140625" style="556"/>
    <col min="8464" max="8467" width="10.7109375" style="556" customWidth="1"/>
    <col min="8468" max="8469" width="9.140625" style="556"/>
    <col min="8470" max="8471" width="10.7109375" style="556" customWidth="1"/>
    <col min="8472" max="8705" width="9.140625" style="556"/>
    <col min="8706" max="8706" width="15.7109375" style="556" customWidth="1"/>
    <col min="8707" max="8708" width="10.7109375" style="556" customWidth="1"/>
    <col min="8709" max="8709" width="2.7109375" style="556" customWidth="1"/>
    <col min="8710" max="8714" width="10.7109375" style="556" customWidth="1"/>
    <col min="8715" max="8715" width="9.140625" style="556"/>
    <col min="8716" max="8717" width="10.7109375" style="556" customWidth="1"/>
    <col min="8718" max="8719" width="9.140625" style="556"/>
    <col min="8720" max="8723" width="10.7109375" style="556" customWidth="1"/>
    <col min="8724" max="8725" width="9.140625" style="556"/>
    <col min="8726" max="8727" width="10.7109375" style="556" customWidth="1"/>
    <col min="8728" max="8961" width="9.140625" style="556"/>
    <col min="8962" max="8962" width="15.7109375" style="556" customWidth="1"/>
    <col min="8963" max="8964" width="10.7109375" style="556" customWidth="1"/>
    <col min="8965" max="8965" width="2.7109375" style="556" customWidth="1"/>
    <col min="8966" max="8970" width="10.7109375" style="556" customWidth="1"/>
    <col min="8971" max="8971" width="9.140625" style="556"/>
    <col min="8972" max="8973" width="10.7109375" style="556" customWidth="1"/>
    <col min="8974" max="8975" width="9.140625" style="556"/>
    <col min="8976" max="8979" width="10.7109375" style="556" customWidth="1"/>
    <col min="8980" max="8981" width="9.140625" style="556"/>
    <col min="8982" max="8983" width="10.7109375" style="556" customWidth="1"/>
    <col min="8984" max="9217" width="9.140625" style="556"/>
    <col min="9218" max="9218" width="15.7109375" style="556" customWidth="1"/>
    <col min="9219" max="9220" width="10.7109375" style="556" customWidth="1"/>
    <col min="9221" max="9221" width="2.7109375" style="556" customWidth="1"/>
    <col min="9222" max="9226" width="10.7109375" style="556" customWidth="1"/>
    <col min="9227" max="9227" width="9.140625" style="556"/>
    <col min="9228" max="9229" width="10.7109375" style="556" customWidth="1"/>
    <col min="9230" max="9231" width="9.140625" style="556"/>
    <col min="9232" max="9235" width="10.7109375" style="556" customWidth="1"/>
    <col min="9236" max="9237" width="9.140625" style="556"/>
    <col min="9238" max="9239" width="10.7109375" style="556" customWidth="1"/>
    <col min="9240" max="9473" width="9.140625" style="556"/>
    <col min="9474" max="9474" width="15.7109375" style="556" customWidth="1"/>
    <col min="9475" max="9476" width="10.7109375" style="556" customWidth="1"/>
    <col min="9477" max="9477" width="2.7109375" style="556" customWidth="1"/>
    <col min="9478" max="9482" width="10.7109375" style="556" customWidth="1"/>
    <col min="9483" max="9483" width="9.140625" style="556"/>
    <col min="9484" max="9485" width="10.7109375" style="556" customWidth="1"/>
    <col min="9486" max="9487" width="9.140625" style="556"/>
    <col min="9488" max="9491" width="10.7109375" style="556" customWidth="1"/>
    <col min="9492" max="9493" width="9.140625" style="556"/>
    <col min="9494" max="9495" width="10.7109375" style="556" customWidth="1"/>
    <col min="9496" max="9729" width="9.140625" style="556"/>
    <col min="9730" max="9730" width="15.7109375" style="556" customWidth="1"/>
    <col min="9731" max="9732" width="10.7109375" style="556" customWidth="1"/>
    <col min="9733" max="9733" width="2.7109375" style="556" customWidth="1"/>
    <col min="9734" max="9738" width="10.7109375" style="556" customWidth="1"/>
    <col min="9739" max="9739" width="9.140625" style="556"/>
    <col min="9740" max="9741" width="10.7109375" style="556" customWidth="1"/>
    <col min="9742" max="9743" width="9.140625" style="556"/>
    <col min="9744" max="9747" width="10.7109375" style="556" customWidth="1"/>
    <col min="9748" max="9749" width="9.140625" style="556"/>
    <col min="9750" max="9751" width="10.7109375" style="556" customWidth="1"/>
    <col min="9752" max="9985" width="9.140625" style="556"/>
    <col min="9986" max="9986" width="15.7109375" style="556" customWidth="1"/>
    <col min="9987" max="9988" width="10.7109375" style="556" customWidth="1"/>
    <col min="9989" max="9989" width="2.7109375" style="556" customWidth="1"/>
    <col min="9990" max="9994" width="10.7109375" style="556" customWidth="1"/>
    <col min="9995" max="9995" width="9.140625" style="556"/>
    <col min="9996" max="9997" width="10.7109375" style="556" customWidth="1"/>
    <col min="9998" max="9999" width="9.140625" style="556"/>
    <col min="10000" max="10003" width="10.7109375" style="556" customWidth="1"/>
    <col min="10004" max="10005" width="9.140625" style="556"/>
    <col min="10006" max="10007" width="10.7109375" style="556" customWidth="1"/>
    <col min="10008" max="10241" width="9.140625" style="556"/>
    <col min="10242" max="10242" width="15.7109375" style="556" customWidth="1"/>
    <col min="10243" max="10244" width="10.7109375" style="556" customWidth="1"/>
    <col min="10245" max="10245" width="2.7109375" style="556" customWidth="1"/>
    <col min="10246" max="10250" width="10.7109375" style="556" customWidth="1"/>
    <col min="10251" max="10251" width="9.140625" style="556"/>
    <col min="10252" max="10253" width="10.7109375" style="556" customWidth="1"/>
    <col min="10254" max="10255" width="9.140625" style="556"/>
    <col min="10256" max="10259" width="10.7109375" style="556" customWidth="1"/>
    <col min="10260" max="10261" width="9.140625" style="556"/>
    <col min="10262" max="10263" width="10.7109375" style="556" customWidth="1"/>
    <col min="10264" max="10497" width="9.140625" style="556"/>
    <col min="10498" max="10498" width="15.7109375" style="556" customWidth="1"/>
    <col min="10499" max="10500" width="10.7109375" style="556" customWidth="1"/>
    <col min="10501" max="10501" width="2.7109375" style="556" customWidth="1"/>
    <col min="10502" max="10506" width="10.7109375" style="556" customWidth="1"/>
    <col min="10507" max="10507" width="9.140625" style="556"/>
    <col min="10508" max="10509" width="10.7109375" style="556" customWidth="1"/>
    <col min="10510" max="10511" width="9.140625" style="556"/>
    <col min="10512" max="10515" width="10.7109375" style="556" customWidth="1"/>
    <col min="10516" max="10517" width="9.140625" style="556"/>
    <col min="10518" max="10519" width="10.7109375" style="556" customWidth="1"/>
    <col min="10520" max="10753" width="9.140625" style="556"/>
    <col min="10754" max="10754" width="15.7109375" style="556" customWidth="1"/>
    <col min="10755" max="10756" width="10.7109375" style="556" customWidth="1"/>
    <col min="10757" max="10757" width="2.7109375" style="556" customWidth="1"/>
    <col min="10758" max="10762" width="10.7109375" style="556" customWidth="1"/>
    <col min="10763" max="10763" width="9.140625" style="556"/>
    <col min="10764" max="10765" width="10.7109375" style="556" customWidth="1"/>
    <col min="10766" max="10767" width="9.140625" style="556"/>
    <col min="10768" max="10771" width="10.7109375" style="556" customWidth="1"/>
    <col min="10772" max="10773" width="9.140625" style="556"/>
    <col min="10774" max="10775" width="10.7109375" style="556" customWidth="1"/>
    <col min="10776" max="11009" width="9.140625" style="556"/>
    <col min="11010" max="11010" width="15.7109375" style="556" customWidth="1"/>
    <col min="11011" max="11012" width="10.7109375" style="556" customWidth="1"/>
    <col min="11013" max="11013" width="2.7109375" style="556" customWidth="1"/>
    <col min="11014" max="11018" width="10.7109375" style="556" customWidth="1"/>
    <col min="11019" max="11019" width="9.140625" style="556"/>
    <col min="11020" max="11021" width="10.7109375" style="556" customWidth="1"/>
    <col min="11022" max="11023" width="9.140625" style="556"/>
    <col min="11024" max="11027" width="10.7109375" style="556" customWidth="1"/>
    <col min="11028" max="11029" width="9.140625" style="556"/>
    <col min="11030" max="11031" width="10.7109375" style="556" customWidth="1"/>
    <col min="11032" max="11265" width="9.140625" style="556"/>
    <col min="11266" max="11266" width="15.7109375" style="556" customWidth="1"/>
    <col min="11267" max="11268" width="10.7109375" style="556" customWidth="1"/>
    <col min="11269" max="11269" width="2.7109375" style="556" customWidth="1"/>
    <col min="11270" max="11274" width="10.7109375" style="556" customWidth="1"/>
    <col min="11275" max="11275" width="9.140625" style="556"/>
    <col min="11276" max="11277" width="10.7109375" style="556" customWidth="1"/>
    <col min="11278" max="11279" width="9.140625" style="556"/>
    <col min="11280" max="11283" width="10.7109375" style="556" customWidth="1"/>
    <col min="11284" max="11285" width="9.140625" style="556"/>
    <col min="11286" max="11287" width="10.7109375" style="556" customWidth="1"/>
    <col min="11288" max="11521" width="9.140625" style="556"/>
    <col min="11522" max="11522" width="15.7109375" style="556" customWidth="1"/>
    <col min="11523" max="11524" width="10.7109375" style="556" customWidth="1"/>
    <col min="11525" max="11525" width="2.7109375" style="556" customWidth="1"/>
    <col min="11526" max="11530" width="10.7109375" style="556" customWidth="1"/>
    <col min="11531" max="11531" width="9.140625" style="556"/>
    <col min="11532" max="11533" width="10.7109375" style="556" customWidth="1"/>
    <col min="11534" max="11535" width="9.140625" style="556"/>
    <col min="11536" max="11539" width="10.7109375" style="556" customWidth="1"/>
    <col min="11540" max="11541" width="9.140625" style="556"/>
    <col min="11542" max="11543" width="10.7109375" style="556" customWidth="1"/>
    <col min="11544" max="11777" width="9.140625" style="556"/>
    <col min="11778" max="11778" width="15.7109375" style="556" customWidth="1"/>
    <col min="11779" max="11780" width="10.7109375" style="556" customWidth="1"/>
    <col min="11781" max="11781" width="2.7109375" style="556" customWidth="1"/>
    <col min="11782" max="11786" width="10.7109375" style="556" customWidth="1"/>
    <col min="11787" max="11787" width="9.140625" style="556"/>
    <col min="11788" max="11789" width="10.7109375" style="556" customWidth="1"/>
    <col min="11790" max="11791" width="9.140625" style="556"/>
    <col min="11792" max="11795" width="10.7109375" style="556" customWidth="1"/>
    <col min="11796" max="11797" width="9.140625" style="556"/>
    <col min="11798" max="11799" width="10.7109375" style="556" customWidth="1"/>
    <col min="11800" max="12033" width="9.140625" style="556"/>
    <col min="12034" max="12034" width="15.7109375" style="556" customWidth="1"/>
    <col min="12035" max="12036" width="10.7109375" style="556" customWidth="1"/>
    <col min="12037" max="12037" width="2.7109375" style="556" customWidth="1"/>
    <col min="12038" max="12042" width="10.7109375" style="556" customWidth="1"/>
    <col min="12043" max="12043" width="9.140625" style="556"/>
    <col min="12044" max="12045" width="10.7109375" style="556" customWidth="1"/>
    <col min="12046" max="12047" width="9.140625" style="556"/>
    <col min="12048" max="12051" width="10.7109375" style="556" customWidth="1"/>
    <col min="12052" max="12053" width="9.140625" style="556"/>
    <col min="12054" max="12055" width="10.7109375" style="556" customWidth="1"/>
    <col min="12056" max="12289" width="9.140625" style="556"/>
    <col min="12290" max="12290" width="15.7109375" style="556" customWidth="1"/>
    <col min="12291" max="12292" width="10.7109375" style="556" customWidth="1"/>
    <col min="12293" max="12293" width="2.7109375" style="556" customWidth="1"/>
    <col min="12294" max="12298" width="10.7109375" style="556" customWidth="1"/>
    <col min="12299" max="12299" width="9.140625" style="556"/>
    <col min="12300" max="12301" width="10.7109375" style="556" customWidth="1"/>
    <col min="12302" max="12303" width="9.140625" style="556"/>
    <col min="12304" max="12307" width="10.7109375" style="556" customWidth="1"/>
    <col min="12308" max="12309" width="9.140625" style="556"/>
    <col min="12310" max="12311" width="10.7109375" style="556" customWidth="1"/>
    <col min="12312" max="12545" width="9.140625" style="556"/>
    <col min="12546" max="12546" width="15.7109375" style="556" customWidth="1"/>
    <col min="12547" max="12548" width="10.7109375" style="556" customWidth="1"/>
    <col min="12549" max="12549" width="2.7109375" style="556" customWidth="1"/>
    <col min="12550" max="12554" width="10.7109375" style="556" customWidth="1"/>
    <col min="12555" max="12555" width="9.140625" style="556"/>
    <col min="12556" max="12557" width="10.7109375" style="556" customWidth="1"/>
    <col min="12558" max="12559" width="9.140625" style="556"/>
    <col min="12560" max="12563" width="10.7109375" style="556" customWidth="1"/>
    <col min="12564" max="12565" width="9.140625" style="556"/>
    <col min="12566" max="12567" width="10.7109375" style="556" customWidth="1"/>
    <col min="12568" max="12801" width="9.140625" style="556"/>
    <col min="12802" max="12802" width="15.7109375" style="556" customWidth="1"/>
    <col min="12803" max="12804" width="10.7109375" style="556" customWidth="1"/>
    <col min="12805" max="12805" width="2.7109375" style="556" customWidth="1"/>
    <col min="12806" max="12810" width="10.7109375" style="556" customWidth="1"/>
    <col min="12811" max="12811" width="9.140625" style="556"/>
    <col min="12812" max="12813" width="10.7109375" style="556" customWidth="1"/>
    <col min="12814" max="12815" width="9.140625" style="556"/>
    <col min="12816" max="12819" width="10.7109375" style="556" customWidth="1"/>
    <col min="12820" max="12821" width="9.140625" style="556"/>
    <col min="12822" max="12823" width="10.7109375" style="556" customWidth="1"/>
    <col min="12824" max="13057" width="9.140625" style="556"/>
    <col min="13058" max="13058" width="15.7109375" style="556" customWidth="1"/>
    <col min="13059" max="13060" width="10.7109375" style="556" customWidth="1"/>
    <col min="13061" max="13061" width="2.7109375" style="556" customWidth="1"/>
    <col min="13062" max="13066" width="10.7109375" style="556" customWidth="1"/>
    <col min="13067" max="13067" width="9.140625" style="556"/>
    <col min="13068" max="13069" width="10.7109375" style="556" customWidth="1"/>
    <col min="13070" max="13071" width="9.140625" style="556"/>
    <col min="13072" max="13075" width="10.7109375" style="556" customWidth="1"/>
    <col min="13076" max="13077" width="9.140625" style="556"/>
    <col min="13078" max="13079" width="10.7109375" style="556" customWidth="1"/>
    <col min="13080" max="13313" width="9.140625" style="556"/>
    <col min="13314" max="13314" width="15.7109375" style="556" customWidth="1"/>
    <col min="13315" max="13316" width="10.7109375" style="556" customWidth="1"/>
    <col min="13317" max="13317" width="2.7109375" style="556" customWidth="1"/>
    <col min="13318" max="13322" width="10.7109375" style="556" customWidth="1"/>
    <col min="13323" max="13323" width="9.140625" style="556"/>
    <col min="13324" max="13325" width="10.7109375" style="556" customWidth="1"/>
    <col min="13326" max="13327" width="9.140625" style="556"/>
    <col min="13328" max="13331" width="10.7109375" style="556" customWidth="1"/>
    <col min="13332" max="13333" width="9.140625" style="556"/>
    <col min="13334" max="13335" width="10.7109375" style="556" customWidth="1"/>
    <col min="13336" max="13569" width="9.140625" style="556"/>
    <col min="13570" max="13570" width="15.7109375" style="556" customWidth="1"/>
    <col min="13571" max="13572" width="10.7109375" style="556" customWidth="1"/>
    <col min="13573" max="13573" width="2.7109375" style="556" customWidth="1"/>
    <col min="13574" max="13578" width="10.7109375" style="556" customWidth="1"/>
    <col min="13579" max="13579" width="9.140625" style="556"/>
    <col min="13580" max="13581" width="10.7109375" style="556" customWidth="1"/>
    <col min="13582" max="13583" width="9.140625" style="556"/>
    <col min="13584" max="13587" width="10.7109375" style="556" customWidth="1"/>
    <col min="13588" max="13589" width="9.140625" style="556"/>
    <col min="13590" max="13591" width="10.7109375" style="556" customWidth="1"/>
    <col min="13592" max="13825" width="9.140625" style="556"/>
    <col min="13826" max="13826" width="15.7109375" style="556" customWidth="1"/>
    <col min="13827" max="13828" width="10.7109375" style="556" customWidth="1"/>
    <col min="13829" max="13829" width="2.7109375" style="556" customWidth="1"/>
    <col min="13830" max="13834" width="10.7109375" style="556" customWidth="1"/>
    <col min="13835" max="13835" width="9.140625" style="556"/>
    <col min="13836" max="13837" width="10.7109375" style="556" customWidth="1"/>
    <col min="13838" max="13839" width="9.140625" style="556"/>
    <col min="13840" max="13843" width="10.7109375" style="556" customWidth="1"/>
    <col min="13844" max="13845" width="9.140625" style="556"/>
    <col min="13846" max="13847" width="10.7109375" style="556" customWidth="1"/>
    <col min="13848" max="14081" width="9.140625" style="556"/>
    <col min="14082" max="14082" width="15.7109375" style="556" customWidth="1"/>
    <col min="14083" max="14084" width="10.7109375" style="556" customWidth="1"/>
    <col min="14085" max="14085" width="2.7109375" style="556" customWidth="1"/>
    <col min="14086" max="14090" width="10.7109375" style="556" customWidth="1"/>
    <col min="14091" max="14091" width="9.140625" style="556"/>
    <col min="14092" max="14093" width="10.7109375" style="556" customWidth="1"/>
    <col min="14094" max="14095" width="9.140625" style="556"/>
    <col min="14096" max="14099" width="10.7109375" style="556" customWidth="1"/>
    <col min="14100" max="14101" width="9.140625" style="556"/>
    <col min="14102" max="14103" width="10.7109375" style="556" customWidth="1"/>
    <col min="14104" max="14337" width="9.140625" style="556"/>
    <col min="14338" max="14338" width="15.7109375" style="556" customWidth="1"/>
    <col min="14339" max="14340" width="10.7109375" style="556" customWidth="1"/>
    <col min="14341" max="14341" width="2.7109375" style="556" customWidth="1"/>
    <col min="14342" max="14346" width="10.7109375" style="556" customWidth="1"/>
    <col min="14347" max="14347" width="9.140625" style="556"/>
    <col min="14348" max="14349" width="10.7109375" style="556" customWidth="1"/>
    <col min="14350" max="14351" width="9.140625" style="556"/>
    <col min="14352" max="14355" width="10.7109375" style="556" customWidth="1"/>
    <col min="14356" max="14357" width="9.140625" style="556"/>
    <col min="14358" max="14359" width="10.7109375" style="556" customWidth="1"/>
    <col min="14360" max="14593" width="9.140625" style="556"/>
    <col min="14594" max="14594" width="15.7109375" style="556" customWidth="1"/>
    <col min="14595" max="14596" width="10.7109375" style="556" customWidth="1"/>
    <col min="14597" max="14597" width="2.7109375" style="556" customWidth="1"/>
    <col min="14598" max="14602" width="10.7109375" style="556" customWidth="1"/>
    <col min="14603" max="14603" width="9.140625" style="556"/>
    <col min="14604" max="14605" width="10.7109375" style="556" customWidth="1"/>
    <col min="14606" max="14607" width="9.140625" style="556"/>
    <col min="14608" max="14611" width="10.7109375" style="556" customWidth="1"/>
    <col min="14612" max="14613" width="9.140625" style="556"/>
    <col min="14614" max="14615" width="10.7109375" style="556" customWidth="1"/>
    <col min="14616" max="14849" width="9.140625" style="556"/>
    <col min="14850" max="14850" width="15.7109375" style="556" customWidth="1"/>
    <col min="14851" max="14852" width="10.7109375" style="556" customWidth="1"/>
    <col min="14853" max="14853" width="2.7109375" style="556" customWidth="1"/>
    <col min="14854" max="14858" width="10.7109375" style="556" customWidth="1"/>
    <col min="14859" max="14859" width="9.140625" style="556"/>
    <col min="14860" max="14861" width="10.7109375" style="556" customWidth="1"/>
    <col min="14862" max="14863" width="9.140625" style="556"/>
    <col min="14864" max="14867" width="10.7109375" style="556" customWidth="1"/>
    <col min="14868" max="14869" width="9.140625" style="556"/>
    <col min="14870" max="14871" width="10.7109375" style="556" customWidth="1"/>
    <col min="14872" max="15105" width="9.140625" style="556"/>
    <col min="15106" max="15106" width="15.7109375" style="556" customWidth="1"/>
    <col min="15107" max="15108" width="10.7109375" style="556" customWidth="1"/>
    <col min="15109" max="15109" width="2.7109375" style="556" customWidth="1"/>
    <col min="15110" max="15114" width="10.7109375" style="556" customWidth="1"/>
    <col min="15115" max="15115" width="9.140625" style="556"/>
    <col min="15116" max="15117" width="10.7109375" style="556" customWidth="1"/>
    <col min="15118" max="15119" width="9.140625" style="556"/>
    <col min="15120" max="15123" width="10.7109375" style="556" customWidth="1"/>
    <col min="15124" max="15125" width="9.140625" style="556"/>
    <col min="15126" max="15127" width="10.7109375" style="556" customWidth="1"/>
    <col min="15128" max="15361" width="9.140625" style="556"/>
    <col min="15362" max="15362" width="15.7109375" style="556" customWidth="1"/>
    <col min="15363" max="15364" width="10.7109375" style="556" customWidth="1"/>
    <col min="15365" max="15365" width="2.7109375" style="556" customWidth="1"/>
    <col min="15366" max="15370" width="10.7109375" style="556" customWidth="1"/>
    <col min="15371" max="15371" width="9.140625" style="556"/>
    <col min="15372" max="15373" width="10.7109375" style="556" customWidth="1"/>
    <col min="15374" max="15375" width="9.140625" style="556"/>
    <col min="15376" max="15379" width="10.7109375" style="556" customWidth="1"/>
    <col min="15380" max="15381" width="9.140625" style="556"/>
    <col min="15382" max="15383" width="10.7109375" style="556" customWidth="1"/>
    <col min="15384" max="15617" width="9.140625" style="556"/>
    <col min="15618" max="15618" width="15.7109375" style="556" customWidth="1"/>
    <col min="15619" max="15620" width="10.7109375" style="556" customWidth="1"/>
    <col min="15621" max="15621" width="2.7109375" style="556" customWidth="1"/>
    <col min="15622" max="15626" width="10.7109375" style="556" customWidth="1"/>
    <col min="15627" max="15627" width="9.140625" style="556"/>
    <col min="15628" max="15629" width="10.7109375" style="556" customWidth="1"/>
    <col min="15630" max="15631" width="9.140625" style="556"/>
    <col min="15632" max="15635" width="10.7109375" style="556" customWidth="1"/>
    <col min="15636" max="15637" width="9.140625" style="556"/>
    <col min="15638" max="15639" width="10.7109375" style="556" customWidth="1"/>
    <col min="15640" max="15873" width="9.140625" style="556"/>
    <col min="15874" max="15874" width="15.7109375" style="556" customWidth="1"/>
    <col min="15875" max="15876" width="10.7109375" style="556" customWidth="1"/>
    <col min="15877" max="15877" width="2.7109375" style="556" customWidth="1"/>
    <col min="15878" max="15882" width="10.7109375" style="556" customWidth="1"/>
    <col min="15883" max="15883" width="9.140625" style="556"/>
    <col min="15884" max="15885" width="10.7109375" style="556" customWidth="1"/>
    <col min="15886" max="15887" width="9.140625" style="556"/>
    <col min="15888" max="15891" width="10.7109375" style="556" customWidth="1"/>
    <col min="15892" max="15893" width="9.140625" style="556"/>
    <col min="15894" max="15895" width="10.7109375" style="556" customWidth="1"/>
    <col min="15896" max="16129" width="9.140625" style="556"/>
    <col min="16130" max="16130" width="15.7109375" style="556" customWidth="1"/>
    <col min="16131" max="16132" width="10.7109375" style="556" customWidth="1"/>
    <col min="16133" max="16133" width="2.7109375" style="556" customWidth="1"/>
    <col min="16134" max="16138" width="10.7109375" style="556" customWidth="1"/>
    <col min="16139" max="16139" width="9.140625" style="556"/>
    <col min="16140" max="16141" width="10.7109375" style="556" customWidth="1"/>
    <col min="16142" max="16143" width="9.140625" style="556"/>
    <col min="16144" max="16147" width="10.7109375" style="556" customWidth="1"/>
    <col min="16148" max="16149" width="9.140625" style="556"/>
    <col min="16150" max="16151" width="10.7109375" style="556" customWidth="1"/>
    <col min="16152" max="16384" width="9.140625" style="556"/>
  </cols>
  <sheetData>
    <row r="2" spans="2:23" ht="20.25" x14ac:dyDescent="0.3">
      <c r="B2" s="555" t="s">
        <v>704</v>
      </c>
    </row>
    <row r="3" spans="2:23" ht="13.5" thickBot="1" x14ac:dyDescent="0.25"/>
    <row r="4" spans="2:23" ht="15.75" x14ac:dyDescent="0.25">
      <c r="B4" s="557" t="s">
        <v>76</v>
      </c>
      <c r="C4" s="560" t="s">
        <v>1</v>
      </c>
      <c r="D4" s="558" t="s">
        <v>15</v>
      </c>
      <c r="E4" s="680"/>
      <c r="F4" s="666" t="s">
        <v>697</v>
      </c>
      <c r="G4" s="680"/>
      <c r="H4" s="666" t="s">
        <v>698</v>
      </c>
      <c r="I4" s="680"/>
      <c r="J4" s="561" t="s">
        <v>359</v>
      </c>
      <c r="L4" s="619" t="s">
        <v>663</v>
      </c>
      <c r="M4" s="620"/>
      <c r="N4" s="720"/>
      <c r="P4" s="721" t="s">
        <v>1</v>
      </c>
      <c r="Q4" s="722" t="s">
        <v>15</v>
      </c>
      <c r="R4" s="722" t="s">
        <v>1</v>
      </c>
      <c r="S4" s="723" t="s">
        <v>15</v>
      </c>
      <c r="T4" s="724" t="s">
        <v>504</v>
      </c>
    </row>
    <row r="5" spans="2:23" x14ac:dyDescent="0.2">
      <c r="B5" s="567"/>
      <c r="C5" s="570" t="s">
        <v>328</v>
      </c>
      <c r="D5" s="568" t="s">
        <v>328</v>
      </c>
      <c r="E5" s="634"/>
      <c r="F5" s="586" t="s">
        <v>1</v>
      </c>
      <c r="G5" s="685" t="s">
        <v>15</v>
      </c>
      <c r="H5" s="586" t="s">
        <v>1</v>
      </c>
      <c r="I5" s="685" t="s">
        <v>15</v>
      </c>
      <c r="J5" s="571" t="s">
        <v>3</v>
      </c>
      <c r="L5" s="725" t="s">
        <v>505</v>
      </c>
      <c r="M5" s="636" t="s">
        <v>477</v>
      </c>
      <c r="N5" s="623" t="s">
        <v>699</v>
      </c>
      <c r="P5" s="726" t="s">
        <v>634</v>
      </c>
      <c r="Q5" s="575" t="s">
        <v>634</v>
      </c>
      <c r="R5" s="575" t="s">
        <v>3</v>
      </c>
      <c r="S5" s="727" t="s">
        <v>3</v>
      </c>
      <c r="T5" s="728" t="s">
        <v>506</v>
      </c>
    </row>
    <row r="6" spans="2:23" x14ac:dyDescent="0.2">
      <c r="B6" s="567"/>
      <c r="C6" s="570" t="s">
        <v>0</v>
      </c>
      <c r="D6" s="568" t="s">
        <v>0</v>
      </c>
      <c r="E6" s="634"/>
      <c r="F6" s="586" t="s">
        <v>0</v>
      </c>
      <c r="G6" s="685" t="s">
        <v>0</v>
      </c>
      <c r="H6" s="586" t="s">
        <v>0</v>
      </c>
      <c r="I6" s="685" t="s">
        <v>0</v>
      </c>
      <c r="J6" s="571"/>
      <c r="L6" s="725" t="s">
        <v>483</v>
      </c>
      <c r="M6" s="636" t="s">
        <v>484</v>
      </c>
      <c r="N6" s="623" t="s">
        <v>359</v>
      </c>
      <c r="P6" s="726" t="s">
        <v>3</v>
      </c>
      <c r="Q6" s="575" t="s">
        <v>3</v>
      </c>
      <c r="R6" s="575"/>
      <c r="S6" s="727"/>
      <c r="T6" s="728" t="s">
        <v>3</v>
      </c>
    </row>
    <row r="7" spans="2:23" ht="15.75" x14ac:dyDescent="0.3">
      <c r="B7" s="567"/>
      <c r="C7" s="569"/>
      <c r="D7" s="569"/>
      <c r="E7" s="634"/>
      <c r="F7" s="586"/>
      <c r="G7" s="685"/>
      <c r="H7" s="586"/>
      <c r="I7" s="685"/>
      <c r="J7" s="587"/>
      <c r="L7" s="725"/>
      <c r="M7" s="636"/>
      <c r="N7" s="623"/>
      <c r="P7" s="729" t="s">
        <v>700</v>
      </c>
      <c r="Q7" s="730" t="s">
        <v>701</v>
      </c>
      <c r="R7" s="730" t="s">
        <v>673</v>
      </c>
      <c r="S7" s="731" t="s">
        <v>691</v>
      </c>
      <c r="T7" s="732" t="s">
        <v>702</v>
      </c>
    </row>
    <row r="8" spans="2:23" x14ac:dyDescent="0.2">
      <c r="B8" s="577" t="s">
        <v>0</v>
      </c>
      <c r="C8" s="580" t="s">
        <v>0</v>
      </c>
      <c r="D8" s="578" t="s">
        <v>0</v>
      </c>
      <c r="E8" s="733"/>
      <c r="F8" s="580" t="s">
        <v>0</v>
      </c>
      <c r="G8" s="733" t="s">
        <v>0</v>
      </c>
      <c r="H8" s="580" t="s">
        <v>0</v>
      </c>
      <c r="I8" s="733" t="s">
        <v>0</v>
      </c>
      <c r="J8" s="581"/>
      <c r="L8" s="734" t="s">
        <v>0</v>
      </c>
      <c r="M8" s="735" t="s">
        <v>0</v>
      </c>
      <c r="N8" s="736" t="s">
        <v>0</v>
      </c>
      <c r="P8" s="737" t="s">
        <v>0</v>
      </c>
      <c r="Q8" s="738" t="s">
        <v>0</v>
      </c>
      <c r="R8" s="738"/>
      <c r="S8" s="739"/>
      <c r="T8" s="740" t="s">
        <v>0</v>
      </c>
    </row>
    <row r="9" spans="2:23" x14ac:dyDescent="0.2">
      <c r="B9" s="567"/>
      <c r="C9" s="586"/>
      <c r="D9" s="569"/>
      <c r="E9" s="685"/>
      <c r="F9" s="586"/>
      <c r="G9" s="685"/>
      <c r="H9" s="586"/>
      <c r="I9" s="685"/>
      <c r="J9" s="741"/>
      <c r="L9" s="622"/>
      <c r="M9" s="609"/>
      <c r="N9" s="623"/>
      <c r="P9" s="742"/>
      <c r="Q9" s="594"/>
      <c r="R9" s="594"/>
      <c r="S9" s="594"/>
      <c r="T9" s="743"/>
    </row>
    <row r="10" spans="2:23" x14ac:dyDescent="0.2">
      <c r="B10" s="567"/>
      <c r="C10" s="586"/>
      <c r="D10" s="569"/>
      <c r="E10" s="685"/>
      <c r="F10" s="586"/>
      <c r="G10" s="685"/>
      <c r="H10" s="586"/>
      <c r="I10" s="685"/>
      <c r="J10" s="741"/>
      <c r="L10" s="622"/>
      <c r="M10" s="609"/>
      <c r="N10" s="623"/>
      <c r="P10" s="742"/>
      <c r="Q10" s="594"/>
      <c r="R10" s="594"/>
      <c r="S10" s="594"/>
      <c r="T10" s="743"/>
    </row>
    <row r="11" spans="2:23" x14ac:dyDescent="0.2">
      <c r="B11" s="567" t="s">
        <v>485</v>
      </c>
      <c r="C11" s="701">
        <v>0.4</v>
      </c>
      <c r="D11" s="588">
        <v>0.4</v>
      </c>
      <c r="E11" s="685"/>
      <c r="F11" s="589">
        <v>20</v>
      </c>
      <c r="G11" s="744">
        <v>10</v>
      </c>
      <c r="H11" s="589">
        <v>20</v>
      </c>
      <c r="I11" s="744">
        <v>10</v>
      </c>
      <c r="J11" s="745">
        <f>+((1+I11/100)/(1+G11/100)-1)*100</f>
        <v>0</v>
      </c>
      <c r="L11" s="746">
        <f>(C11-D11)*((1+G11/100)/(1+G$18/100)-1)</f>
        <v>0</v>
      </c>
      <c r="M11" s="663">
        <f>C11*((1+F11/100)/(1+G11/100)-1)*(1+G11/100)/(1+T$18/100)</f>
        <v>3.8022813688212899E-2</v>
      </c>
      <c r="N11" s="623"/>
      <c r="P11" s="742">
        <f>+C11*F11</f>
        <v>8</v>
      </c>
      <c r="Q11" s="594">
        <f>+D11*G11</f>
        <v>4</v>
      </c>
      <c r="R11" s="594">
        <f>+C11*H11</f>
        <v>8</v>
      </c>
      <c r="S11" s="594">
        <f>+D11*I11</f>
        <v>4</v>
      </c>
      <c r="T11" s="743">
        <f>+C11*G11</f>
        <v>4</v>
      </c>
    </row>
    <row r="12" spans="2:23" x14ac:dyDescent="0.2">
      <c r="B12" s="567"/>
      <c r="C12" s="701"/>
      <c r="D12" s="588"/>
      <c r="E12" s="685"/>
      <c r="F12" s="589"/>
      <c r="G12" s="744"/>
      <c r="H12" s="589"/>
      <c r="I12" s="744"/>
      <c r="J12" s="745"/>
      <c r="L12" s="622"/>
      <c r="M12" s="663"/>
      <c r="N12" s="623"/>
      <c r="P12" s="742"/>
      <c r="Q12" s="594"/>
      <c r="R12" s="594"/>
      <c r="S12" s="594"/>
      <c r="T12" s="743"/>
    </row>
    <row r="13" spans="2:23" x14ac:dyDescent="0.2">
      <c r="B13" s="567" t="s">
        <v>486</v>
      </c>
      <c r="C13" s="701">
        <v>0.3</v>
      </c>
      <c r="D13" s="588">
        <v>0.2</v>
      </c>
      <c r="E13" s="685"/>
      <c r="F13" s="589">
        <v>-5</v>
      </c>
      <c r="G13" s="744">
        <v>-4</v>
      </c>
      <c r="H13" s="589">
        <v>4.5</v>
      </c>
      <c r="I13" s="744">
        <v>5.6</v>
      </c>
      <c r="J13" s="745">
        <f>+((1+I13/100)/(1+G13/100)-1)*100</f>
        <v>10.000000000000009</v>
      </c>
      <c r="L13" s="746">
        <f>(C13-D13)*((1+G13/100)/(1+G$18/100)-1)</f>
        <v>-9.7744360902255675E-3</v>
      </c>
      <c r="M13" s="663">
        <f>C13*((1+F13/100)/(1+G13/100)-1)*(1+G13/100)/(1+T$18/100)</f>
        <v>-2.8517110266159593E-3</v>
      </c>
      <c r="N13" s="623"/>
      <c r="P13" s="742">
        <f>+C13*F13</f>
        <v>-1.5</v>
      </c>
      <c r="Q13" s="594">
        <f>+D13*G13</f>
        <v>-0.8</v>
      </c>
      <c r="R13" s="594">
        <f>+C13*H13</f>
        <v>1.3499999999999999</v>
      </c>
      <c r="S13" s="594">
        <f>+D13*I13</f>
        <v>1.1199999999999999</v>
      </c>
      <c r="T13" s="743">
        <f>+C13*G13</f>
        <v>-1.2</v>
      </c>
    </row>
    <row r="14" spans="2:23" x14ac:dyDescent="0.2">
      <c r="B14" s="567"/>
      <c r="C14" s="701"/>
      <c r="D14" s="588"/>
      <c r="E14" s="685"/>
      <c r="F14" s="589"/>
      <c r="G14" s="744"/>
      <c r="H14" s="589"/>
      <c r="I14" s="744"/>
      <c r="J14" s="745"/>
      <c r="L14" s="622"/>
      <c r="M14" s="663"/>
      <c r="N14" s="623"/>
      <c r="P14" s="742"/>
      <c r="Q14" s="594"/>
      <c r="R14" s="594"/>
      <c r="S14" s="594"/>
      <c r="T14" s="743"/>
    </row>
    <row r="15" spans="2:23" x14ac:dyDescent="0.2">
      <c r="B15" s="567" t="s">
        <v>487</v>
      </c>
      <c r="C15" s="701">
        <v>0.3</v>
      </c>
      <c r="D15" s="588">
        <v>0.4</v>
      </c>
      <c r="E15" s="685"/>
      <c r="F15" s="589">
        <v>6</v>
      </c>
      <c r="G15" s="744">
        <v>8</v>
      </c>
      <c r="H15" s="589">
        <v>27.2</v>
      </c>
      <c r="I15" s="744">
        <v>29.6</v>
      </c>
      <c r="J15" s="745">
        <f>+((1+I15/100)/(1+G15/100)-1)*100</f>
        <v>19.999999999999996</v>
      </c>
      <c r="L15" s="746">
        <f>(C15-D15)*((1+G15/100)/(1+G$18/100)-1)</f>
        <v>-1.5037593984962522E-3</v>
      </c>
      <c r="M15" s="663">
        <f>C15*((1+F15/100)/(1+G15/100)-1)*(1+G15/100)/(1+T$18/100)</f>
        <v>-5.7034220532319307E-3</v>
      </c>
      <c r="N15" s="623"/>
      <c r="P15" s="742">
        <f>+C15*F15</f>
        <v>1.7999999999999998</v>
      </c>
      <c r="Q15" s="594">
        <f>+D15*G15</f>
        <v>3.2</v>
      </c>
      <c r="R15" s="594">
        <f>+C15*H15</f>
        <v>8.16</v>
      </c>
      <c r="S15" s="594">
        <f>+D15*I15</f>
        <v>11.840000000000002</v>
      </c>
      <c r="T15" s="743">
        <f>+C15*G15</f>
        <v>2.4</v>
      </c>
    </row>
    <row r="16" spans="2:23" x14ac:dyDescent="0.2">
      <c r="B16" s="567"/>
      <c r="C16" s="701"/>
      <c r="D16" s="588"/>
      <c r="E16" s="685"/>
      <c r="F16" s="586"/>
      <c r="G16" s="685"/>
      <c r="H16" s="586"/>
      <c r="I16" s="685"/>
      <c r="J16" s="741"/>
      <c r="L16" s="622"/>
      <c r="M16" s="663"/>
      <c r="N16" s="623"/>
      <c r="P16" s="742"/>
      <c r="Q16" s="594"/>
      <c r="R16" s="594"/>
      <c r="S16" s="594"/>
      <c r="T16" s="743"/>
      <c r="V16" s="747" t="s">
        <v>1</v>
      </c>
      <c r="W16" s="748" t="s">
        <v>15</v>
      </c>
    </row>
    <row r="17" spans="2:23" x14ac:dyDescent="0.2">
      <c r="B17" s="567"/>
      <c r="C17" s="701"/>
      <c r="D17" s="588"/>
      <c r="E17" s="685"/>
      <c r="F17" s="586"/>
      <c r="G17" s="685"/>
      <c r="H17" s="586"/>
      <c r="I17" s="685"/>
      <c r="J17" s="741"/>
      <c r="L17" s="622"/>
      <c r="M17" s="663"/>
      <c r="N17" s="623"/>
      <c r="P17" s="742"/>
      <c r="Q17" s="594"/>
      <c r="R17" s="594"/>
      <c r="S17" s="594"/>
      <c r="T17" s="743"/>
      <c r="V17" s="749" t="s">
        <v>359</v>
      </c>
      <c r="W17" s="750" t="s">
        <v>359</v>
      </c>
    </row>
    <row r="18" spans="2:23" ht="13.5" thickBot="1" x14ac:dyDescent="0.25">
      <c r="B18" s="595" t="s">
        <v>16</v>
      </c>
      <c r="C18" s="751">
        <f>SUM(C11:C15)</f>
        <v>1</v>
      </c>
      <c r="D18" s="596">
        <f>SUM(D11:D15)</f>
        <v>1</v>
      </c>
      <c r="E18" s="752"/>
      <c r="F18" s="598">
        <f>+P18</f>
        <v>8.3000000000000007</v>
      </c>
      <c r="G18" s="753">
        <f>+Q18</f>
        <v>6.4</v>
      </c>
      <c r="H18" s="598">
        <f>+R18</f>
        <v>17.509999999999998</v>
      </c>
      <c r="I18" s="753">
        <f>+S18</f>
        <v>16.96</v>
      </c>
      <c r="J18" s="754"/>
      <c r="K18" s="600"/>
      <c r="L18" s="755">
        <f>SUM(L11:L15)</f>
        <v>-1.1278195488721819E-2</v>
      </c>
      <c r="M18" s="756">
        <f>SUM(M11:M15)</f>
        <v>2.9467680608365007E-2</v>
      </c>
      <c r="N18" s="757">
        <f>+((1+V18/100)/(1+W18/100)-1)</f>
        <v>-1.2923896608826979E-2</v>
      </c>
      <c r="P18" s="758">
        <f>SUM(P11:P15)</f>
        <v>8.3000000000000007</v>
      </c>
      <c r="Q18" s="759">
        <f>SUM(Q11:Q15)</f>
        <v>6.4</v>
      </c>
      <c r="R18" s="759">
        <f>SUM(R11:R15)</f>
        <v>17.509999999999998</v>
      </c>
      <c r="S18" s="759">
        <f>SUM(S11:S15)</f>
        <v>16.96</v>
      </c>
      <c r="T18" s="760">
        <f>SUM(T11:T15)</f>
        <v>5.1999999999999993</v>
      </c>
      <c r="V18" s="761">
        <f>+((1+H18/100)/(1+F18/100)-1)*100</f>
        <v>8.5041551246537459</v>
      </c>
      <c r="W18" s="762">
        <f>+((1+I18/100)/(1+G18/100)-1)*100</f>
        <v>9.9248120300751808</v>
      </c>
    </row>
    <row r="20" spans="2:23" x14ac:dyDescent="0.2">
      <c r="P20" s="556" t="s">
        <v>0</v>
      </c>
    </row>
    <row r="21" spans="2:23" ht="15.75" x14ac:dyDescent="0.25">
      <c r="L21" s="619" t="s">
        <v>507</v>
      </c>
      <c r="M21" s="716"/>
      <c r="N21" s="621">
        <f>(1+H18/100)/(1+I18/100)-1</f>
        <v>4.7024623803009202E-3</v>
      </c>
    </row>
    <row r="22" spans="2:23" x14ac:dyDescent="0.2">
      <c r="L22" s="622"/>
      <c r="M22" s="609"/>
      <c r="N22" s="763"/>
      <c r="P22" s="556" t="s">
        <v>223</v>
      </c>
    </row>
    <row r="23" spans="2:23" x14ac:dyDescent="0.2">
      <c r="L23" s="622" t="s">
        <v>508</v>
      </c>
      <c r="M23" s="609"/>
      <c r="N23" s="624">
        <f>+L18</f>
        <v>-1.1278195488721819E-2</v>
      </c>
      <c r="P23" s="764">
        <f>+(1+T18/100)/(1+G18/100)-1</f>
        <v>-1.1278195488721776E-2</v>
      </c>
    </row>
    <row r="24" spans="2:23" x14ac:dyDescent="0.2">
      <c r="L24" s="622" t="s">
        <v>509</v>
      </c>
      <c r="M24" s="609"/>
      <c r="N24" s="624">
        <f>+M18</f>
        <v>2.9467680608365007E-2</v>
      </c>
      <c r="P24" s="765">
        <f>+(1+F18/100)/(1+T18/100)-1</f>
        <v>2.946768060836491E-2</v>
      </c>
    </row>
    <row r="25" spans="2:23" x14ac:dyDescent="0.2">
      <c r="L25" s="622" t="s">
        <v>703</v>
      </c>
      <c r="M25" s="609"/>
      <c r="N25" s="624">
        <f>+N18</f>
        <v>-1.2923896608826979E-2</v>
      </c>
    </row>
    <row r="26" spans="2:23" x14ac:dyDescent="0.2">
      <c r="L26" s="622" t="s">
        <v>0</v>
      </c>
      <c r="M26" s="609"/>
      <c r="N26" s="624" t="s">
        <v>0</v>
      </c>
    </row>
    <row r="27" spans="2:23" x14ac:dyDescent="0.2">
      <c r="L27" s="625" t="s">
        <v>141</v>
      </c>
      <c r="M27" s="626"/>
      <c r="N27" s="627">
        <f>(1+N21)/((1+N23)*(1+N24)*(1+N25))-1</f>
        <v>0</v>
      </c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31745" r:id="rId3">
          <objectPr defaultSize="0" autoPict="0" r:id="rId4">
            <anchor moveWithCells="1" sizeWithCells="1">
              <from>
                <xdr:col>9</xdr:col>
                <xdr:colOff>314325</xdr:colOff>
                <xdr:row>5</xdr:row>
                <xdr:rowOff>114300</xdr:rowOff>
              </from>
              <to>
                <xdr:col>9</xdr:col>
                <xdr:colOff>466725</xdr:colOff>
                <xdr:row>7</xdr:row>
                <xdr:rowOff>19050</xdr:rowOff>
              </to>
            </anchor>
          </objectPr>
        </oleObject>
      </mc:Choice>
      <mc:Fallback>
        <oleObject progId="Equation.3" shapeId="31745" r:id="rId3"/>
      </mc:Fallback>
    </mc:AlternateContent>
    <mc:AlternateContent xmlns:mc="http://schemas.openxmlformats.org/markup-compatibility/2006">
      <mc:Choice Requires="x14">
        <oleObject progId="Equation.3" shapeId="31746" r:id="rId5">
          <objectPr defaultSize="0" autoPict="0" r:id="rId6">
            <anchor moveWithCells="1" sizeWithCells="1">
              <from>
                <xdr:col>8</xdr:col>
                <xdr:colOff>257175</xdr:colOff>
                <xdr:row>5</xdr:row>
                <xdr:rowOff>133350</xdr:rowOff>
              </from>
              <to>
                <xdr:col>8</xdr:col>
                <xdr:colOff>409575</xdr:colOff>
                <xdr:row>7</xdr:row>
                <xdr:rowOff>38100</xdr:rowOff>
              </to>
            </anchor>
          </objectPr>
        </oleObject>
      </mc:Choice>
      <mc:Fallback>
        <oleObject progId="Equation.3" shapeId="31746" r:id="rId5"/>
      </mc:Fallback>
    </mc:AlternateContent>
    <mc:AlternateContent xmlns:mc="http://schemas.openxmlformats.org/markup-compatibility/2006">
      <mc:Choice Requires="x14">
        <oleObject progId="Equation.3" shapeId="31747" r:id="rId7">
          <objectPr defaultSize="0" autoPict="0" r:id="rId8">
            <anchor moveWithCells="1" sizeWithCells="1">
              <from>
                <xdr:col>7</xdr:col>
                <xdr:colOff>295275</xdr:colOff>
                <xdr:row>5</xdr:row>
                <xdr:rowOff>133350</xdr:rowOff>
              </from>
              <to>
                <xdr:col>7</xdr:col>
                <xdr:colOff>428625</xdr:colOff>
                <xdr:row>7</xdr:row>
                <xdr:rowOff>38100</xdr:rowOff>
              </to>
            </anchor>
          </objectPr>
        </oleObject>
      </mc:Choice>
      <mc:Fallback>
        <oleObject progId="Equation.3" shapeId="31747" r:id="rId7"/>
      </mc:Fallback>
    </mc:AlternateContent>
    <mc:AlternateContent xmlns:mc="http://schemas.openxmlformats.org/markup-compatibility/2006">
      <mc:Choice Requires="x14">
        <oleObject progId="Equation.3" shapeId="31748" r:id="rId9">
          <objectPr defaultSize="0" autoPict="0" r:id="rId10">
            <anchor moveWithCells="1" sizeWithCells="1">
              <from>
                <xdr:col>6</xdr:col>
                <xdr:colOff>257175</xdr:colOff>
                <xdr:row>6</xdr:row>
                <xdr:rowOff>19050</xdr:rowOff>
              </from>
              <to>
                <xdr:col>6</xdr:col>
                <xdr:colOff>466725</xdr:colOff>
                <xdr:row>7</xdr:row>
                <xdr:rowOff>85725</xdr:rowOff>
              </to>
            </anchor>
          </objectPr>
        </oleObject>
      </mc:Choice>
      <mc:Fallback>
        <oleObject progId="Equation.3" shapeId="31748" r:id="rId9"/>
      </mc:Fallback>
    </mc:AlternateContent>
    <mc:AlternateContent xmlns:mc="http://schemas.openxmlformats.org/markup-compatibility/2006">
      <mc:Choice Requires="x14">
        <oleObject progId="Equation.3" shapeId="31749" r:id="rId11">
          <objectPr defaultSize="0" autoPict="0" r:id="rId12">
            <anchor moveWithCells="1" sizeWithCells="1">
              <from>
                <xdr:col>5</xdr:col>
                <xdr:colOff>304800</xdr:colOff>
                <xdr:row>6</xdr:row>
                <xdr:rowOff>0</xdr:rowOff>
              </from>
              <to>
                <xdr:col>5</xdr:col>
                <xdr:colOff>485775</xdr:colOff>
                <xdr:row>7</xdr:row>
                <xdr:rowOff>66675</xdr:rowOff>
              </to>
            </anchor>
          </objectPr>
        </oleObject>
      </mc:Choice>
      <mc:Fallback>
        <oleObject progId="Equation.3" shapeId="31749" r:id="rId11"/>
      </mc:Fallback>
    </mc:AlternateContent>
    <mc:AlternateContent xmlns:mc="http://schemas.openxmlformats.org/markup-compatibility/2006">
      <mc:Choice Requires="x14">
        <oleObject progId="Equation.3" shapeId="31750" r:id="rId13">
          <objectPr defaultSize="0" autoPict="0" r:id="rId14">
            <anchor moveWithCells="1" sizeWithCells="1">
              <from>
                <xdr:col>3</xdr:col>
                <xdr:colOff>323850</xdr:colOff>
                <xdr:row>5</xdr:row>
                <xdr:rowOff>142875</xdr:rowOff>
              </from>
              <to>
                <xdr:col>3</xdr:col>
                <xdr:colOff>514350</xdr:colOff>
                <xdr:row>7</xdr:row>
                <xdr:rowOff>47625</xdr:rowOff>
              </to>
            </anchor>
          </objectPr>
        </oleObject>
      </mc:Choice>
      <mc:Fallback>
        <oleObject progId="Equation.3" shapeId="31750" r:id="rId13"/>
      </mc:Fallback>
    </mc:AlternateContent>
    <mc:AlternateContent xmlns:mc="http://schemas.openxmlformats.org/markup-compatibility/2006">
      <mc:Choice Requires="x14">
        <oleObject progId="Equation.3" shapeId="31751" r:id="rId15">
          <objectPr defaultSize="0" autoPict="0" r:id="rId16">
            <anchor moveWithCells="1" sizeWithCells="1">
              <from>
                <xdr:col>2</xdr:col>
                <xdr:colOff>257175</xdr:colOff>
                <xdr:row>6</xdr:row>
                <xdr:rowOff>19050</xdr:rowOff>
              </from>
              <to>
                <xdr:col>2</xdr:col>
                <xdr:colOff>438150</xdr:colOff>
                <xdr:row>7</xdr:row>
                <xdr:rowOff>85725</xdr:rowOff>
              </to>
            </anchor>
          </objectPr>
        </oleObject>
      </mc:Choice>
      <mc:Fallback>
        <oleObject progId="Equation.3" shapeId="31751" r:id="rId15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2599-2880-43D8-9C4A-36E15E139661}">
  <dimension ref="B2:AB30"/>
  <sheetViews>
    <sheetView topLeftCell="D2" workbookViewId="0">
      <selection activeCell="AC33" sqref="AC33"/>
    </sheetView>
  </sheetViews>
  <sheetFormatPr defaultRowHeight="12.75" x14ac:dyDescent="0.2"/>
  <cols>
    <col min="1" max="1" width="9.140625" style="556"/>
    <col min="2" max="2" width="17.7109375" style="556" customWidth="1"/>
    <col min="3" max="8" width="10.7109375" style="556" customWidth="1"/>
    <col min="9" max="9" width="9.140625" style="556"/>
    <col min="10" max="10" width="10.7109375" style="556" customWidth="1"/>
    <col min="11" max="11" width="11.7109375" style="556" customWidth="1"/>
    <col min="12" max="12" width="10.7109375" style="556" customWidth="1"/>
    <col min="13" max="13" width="9.140625" style="556"/>
    <col min="14" max="14" width="2.7109375" style="556" customWidth="1"/>
    <col min="15" max="19" width="9.140625" style="556"/>
    <col min="20" max="22" width="10.7109375" style="556" customWidth="1"/>
    <col min="23" max="23" width="9.140625" style="556"/>
    <col min="24" max="26" width="10.7109375" style="556" customWidth="1"/>
    <col min="27" max="28" width="12.7109375" style="556" customWidth="1"/>
    <col min="29" max="257" width="9.140625" style="556"/>
    <col min="258" max="258" width="17.7109375" style="556" customWidth="1"/>
    <col min="259" max="264" width="10.7109375" style="556" customWidth="1"/>
    <col min="265" max="265" width="9.140625" style="556"/>
    <col min="266" max="266" width="10.7109375" style="556" customWidth="1"/>
    <col min="267" max="267" width="11.7109375" style="556" customWidth="1"/>
    <col min="268" max="268" width="10.7109375" style="556" customWidth="1"/>
    <col min="269" max="269" width="9.140625" style="556"/>
    <col min="270" max="270" width="2.7109375" style="556" customWidth="1"/>
    <col min="271" max="275" width="9.140625" style="556"/>
    <col min="276" max="278" width="10.7109375" style="556" customWidth="1"/>
    <col min="279" max="279" width="9.140625" style="556"/>
    <col min="280" max="282" width="10.7109375" style="556" customWidth="1"/>
    <col min="283" max="284" width="12.7109375" style="556" customWidth="1"/>
    <col min="285" max="513" width="9.140625" style="556"/>
    <col min="514" max="514" width="17.7109375" style="556" customWidth="1"/>
    <col min="515" max="520" width="10.7109375" style="556" customWidth="1"/>
    <col min="521" max="521" width="9.140625" style="556"/>
    <col min="522" max="522" width="10.7109375" style="556" customWidth="1"/>
    <col min="523" max="523" width="11.7109375" style="556" customWidth="1"/>
    <col min="524" max="524" width="10.7109375" style="556" customWidth="1"/>
    <col min="525" max="525" width="9.140625" style="556"/>
    <col min="526" max="526" width="2.7109375" style="556" customWidth="1"/>
    <col min="527" max="531" width="9.140625" style="556"/>
    <col min="532" max="534" width="10.7109375" style="556" customWidth="1"/>
    <col min="535" max="535" width="9.140625" style="556"/>
    <col min="536" max="538" width="10.7109375" style="556" customWidth="1"/>
    <col min="539" max="540" width="12.7109375" style="556" customWidth="1"/>
    <col min="541" max="769" width="9.140625" style="556"/>
    <col min="770" max="770" width="17.7109375" style="556" customWidth="1"/>
    <col min="771" max="776" width="10.7109375" style="556" customWidth="1"/>
    <col min="777" max="777" width="9.140625" style="556"/>
    <col min="778" max="778" width="10.7109375" style="556" customWidth="1"/>
    <col min="779" max="779" width="11.7109375" style="556" customWidth="1"/>
    <col min="780" max="780" width="10.7109375" style="556" customWidth="1"/>
    <col min="781" max="781" width="9.140625" style="556"/>
    <col min="782" max="782" width="2.7109375" style="556" customWidth="1"/>
    <col min="783" max="787" width="9.140625" style="556"/>
    <col min="788" max="790" width="10.7109375" style="556" customWidth="1"/>
    <col min="791" max="791" width="9.140625" style="556"/>
    <col min="792" max="794" width="10.7109375" style="556" customWidth="1"/>
    <col min="795" max="796" width="12.7109375" style="556" customWidth="1"/>
    <col min="797" max="1025" width="9.140625" style="556"/>
    <col min="1026" max="1026" width="17.7109375" style="556" customWidth="1"/>
    <col min="1027" max="1032" width="10.7109375" style="556" customWidth="1"/>
    <col min="1033" max="1033" width="9.140625" style="556"/>
    <col min="1034" max="1034" width="10.7109375" style="556" customWidth="1"/>
    <col min="1035" max="1035" width="11.7109375" style="556" customWidth="1"/>
    <col min="1036" max="1036" width="10.7109375" style="556" customWidth="1"/>
    <col min="1037" max="1037" width="9.140625" style="556"/>
    <col min="1038" max="1038" width="2.7109375" style="556" customWidth="1"/>
    <col min="1039" max="1043" width="9.140625" style="556"/>
    <col min="1044" max="1046" width="10.7109375" style="556" customWidth="1"/>
    <col min="1047" max="1047" width="9.140625" style="556"/>
    <col min="1048" max="1050" width="10.7109375" style="556" customWidth="1"/>
    <col min="1051" max="1052" width="12.7109375" style="556" customWidth="1"/>
    <col min="1053" max="1281" width="9.140625" style="556"/>
    <col min="1282" max="1282" width="17.7109375" style="556" customWidth="1"/>
    <col min="1283" max="1288" width="10.7109375" style="556" customWidth="1"/>
    <col min="1289" max="1289" width="9.140625" style="556"/>
    <col min="1290" max="1290" width="10.7109375" style="556" customWidth="1"/>
    <col min="1291" max="1291" width="11.7109375" style="556" customWidth="1"/>
    <col min="1292" max="1292" width="10.7109375" style="556" customWidth="1"/>
    <col min="1293" max="1293" width="9.140625" style="556"/>
    <col min="1294" max="1294" width="2.7109375" style="556" customWidth="1"/>
    <col min="1295" max="1299" width="9.140625" style="556"/>
    <col min="1300" max="1302" width="10.7109375" style="556" customWidth="1"/>
    <col min="1303" max="1303" width="9.140625" style="556"/>
    <col min="1304" max="1306" width="10.7109375" style="556" customWidth="1"/>
    <col min="1307" max="1308" width="12.7109375" style="556" customWidth="1"/>
    <col min="1309" max="1537" width="9.140625" style="556"/>
    <col min="1538" max="1538" width="17.7109375" style="556" customWidth="1"/>
    <col min="1539" max="1544" width="10.7109375" style="556" customWidth="1"/>
    <col min="1545" max="1545" width="9.140625" style="556"/>
    <col min="1546" max="1546" width="10.7109375" style="556" customWidth="1"/>
    <col min="1547" max="1547" width="11.7109375" style="556" customWidth="1"/>
    <col min="1548" max="1548" width="10.7109375" style="556" customWidth="1"/>
    <col min="1549" max="1549" width="9.140625" style="556"/>
    <col min="1550" max="1550" width="2.7109375" style="556" customWidth="1"/>
    <col min="1551" max="1555" width="9.140625" style="556"/>
    <col min="1556" max="1558" width="10.7109375" style="556" customWidth="1"/>
    <col min="1559" max="1559" width="9.140625" style="556"/>
    <col min="1560" max="1562" width="10.7109375" style="556" customWidth="1"/>
    <col min="1563" max="1564" width="12.7109375" style="556" customWidth="1"/>
    <col min="1565" max="1793" width="9.140625" style="556"/>
    <col min="1794" max="1794" width="17.7109375" style="556" customWidth="1"/>
    <col min="1795" max="1800" width="10.7109375" style="556" customWidth="1"/>
    <col min="1801" max="1801" width="9.140625" style="556"/>
    <col min="1802" max="1802" width="10.7109375" style="556" customWidth="1"/>
    <col min="1803" max="1803" width="11.7109375" style="556" customWidth="1"/>
    <col min="1804" max="1804" width="10.7109375" style="556" customWidth="1"/>
    <col min="1805" max="1805" width="9.140625" style="556"/>
    <col min="1806" max="1806" width="2.7109375" style="556" customWidth="1"/>
    <col min="1807" max="1811" width="9.140625" style="556"/>
    <col min="1812" max="1814" width="10.7109375" style="556" customWidth="1"/>
    <col min="1815" max="1815" width="9.140625" style="556"/>
    <col min="1816" max="1818" width="10.7109375" style="556" customWidth="1"/>
    <col min="1819" max="1820" width="12.7109375" style="556" customWidth="1"/>
    <col min="1821" max="2049" width="9.140625" style="556"/>
    <col min="2050" max="2050" width="17.7109375" style="556" customWidth="1"/>
    <col min="2051" max="2056" width="10.7109375" style="556" customWidth="1"/>
    <col min="2057" max="2057" width="9.140625" style="556"/>
    <col min="2058" max="2058" width="10.7109375" style="556" customWidth="1"/>
    <col min="2059" max="2059" width="11.7109375" style="556" customWidth="1"/>
    <col min="2060" max="2060" width="10.7109375" style="556" customWidth="1"/>
    <col min="2061" max="2061" width="9.140625" style="556"/>
    <col min="2062" max="2062" width="2.7109375" style="556" customWidth="1"/>
    <col min="2063" max="2067" width="9.140625" style="556"/>
    <col min="2068" max="2070" width="10.7109375" style="556" customWidth="1"/>
    <col min="2071" max="2071" width="9.140625" style="556"/>
    <col min="2072" max="2074" width="10.7109375" style="556" customWidth="1"/>
    <col min="2075" max="2076" width="12.7109375" style="556" customWidth="1"/>
    <col min="2077" max="2305" width="9.140625" style="556"/>
    <col min="2306" max="2306" width="17.7109375" style="556" customWidth="1"/>
    <col min="2307" max="2312" width="10.7109375" style="556" customWidth="1"/>
    <col min="2313" max="2313" width="9.140625" style="556"/>
    <col min="2314" max="2314" width="10.7109375" style="556" customWidth="1"/>
    <col min="2315" max="2315" width="11.7109375" style="556" customWidth="1"/>
    <col min="2316" max="2316" width="10.7109375" style="556" customWidth="1"/>
    <col min="2317" max="2317" width="9.140625" style="556"/>
    <col min="2318" max="2318" width="2.7109375" style="556" customWidth="1"/>
    <col min="2319" max="2323" width="9.140625" style="556"/>
    <col min="2324" max="2326" width="10.7109375" style="556" customWidth="1"/>
    <col min="2327" max="2327" width="9.140625" style="556"/>
    <col min="2328" max="2330" width="10.7109375" style="556" customWidth="1"/>
    <col min="2331" max="2332" width="12.7109375" style="556" customWidth="1"/>
    <col min="2333" max="2561" width="9.140625" style="556"/>
    <col min="2562" max="2562" width="17.7109375" style="556" customWidth="1"/>
    <col min="2563" max="2568" width="10.7109375" style="556" customWidth="1"/>
    <col min="2569" max="2569" width="9.140625" style="556"/>
    <col min="2570" max="2570" width="10.7109375" style="556" customWidth="1"/>
    <col min="2571" max="2571" width="11.7109375" style="556" customWidth="1"/>
    <col min="2572" max="2572" width="10.7109375" style="556" customWidth="1"/>
    <col min="2573" max="2573" width="9.140625" style="556"/>
    <col min="2574" max="2574" width="2.7109375" style="556" customWidth="1"/>
    <col min="2575" max="2579" width="9.140625" style="556"/>
    <col min="2580" max="2582" width="10.7109375" style="556" customWidth="1"/>
    <col min="2583" max="2583" width="9.140625" style="556"/>
    <col min="2584" max="2586" width="10.7109375" style="556" customWidth="1"/>
    <col min="2587" max="2588" width="12.7109375" style="556" customWidth="1"/>
    <col min="2589" max="2817" width="9.140625" style="556"/>
    <col min="2818" max="2818" width="17.7109375" style="556" customWidth="1"/>
    <col min="2819" max="2824" width="10.7109375" style="556" customWidth="1"/>
    <col min="2825" max="2825" width="9.140625" style="556"/>
    <col min="2826" max="2826" width="10.7109375" style="556" customWidth="1"/>
    <col min="2827" max="2827" width="11.7109375" style="556" customWidth="1"/>
    <col min="2828" max="2828" width="10.7109375" style="556" customWidth="1"/>
    <col min="2829" max="2829" width="9.140625" style="556"/>
    <col min="2830" max="2830" width="2.7109375" style="556" customWidth="1"/>
    <col min="2831" max="2835" width="9.140625" style="556"/>
    <col min="2836" max="2838" width="10.7109375" style="556" customWidth="1"/>
    <col min="2839" max="2839" width="9.140625" style="556"/>
    <col min="2840" max="2842" width="10.7109375" style="556" customWidth="1"/>
    <col min="2843" max="2844" width="12.7109375" style="556" customWidth="1"/>
    <col min="2845" max="3073" width="9.140625" style="556"/>
    <col min="3074" max="3074" width="17.7109375" style="556" customWidth="1"/>
    <col min="3075" max="3080" width="10.7109375" style="556" customWidth="1"/>
    <col min="3081" max="3081" width="9.140625" style="556"/>
    <col min="3082" max="3082" width="10.7109375" style="556" customWidth="1"/>
    <col min="3083" max="3083" width="11.7109375" style="556" customWidth="1"/>
    <col min="3084" max="3084" width="10.7109375" style="556" customWidth="1"/>
    <col min="3085" max="3085" width="9.140625" style="556"/>
    <col min="3086" max="3086" width="2.7109375" style="556" customWidth="1"/>
    <col min="3087" max="3091" width="9.140625" style="556"/>
    <col min="3092" max="3094" width="10.7109375" style="556" customWidth="1"/>
    <col min="3095" max="3095" width="9.140625" style="556"/>
    <col min="3096" max="3098" width="10.7109375" style="556" customWidth="1"/>
    <col min="3099" max="3100" width="12.7109375" style="556" customWidth="1"/>
    <col min="3101" max="3329" width="9.140625" style="556"/>
    <col min="3330" max="3330" width="17.7109375" style="556" customWidth="1"/>
    <col min="3331" max="3336" width="10.7109375" style="556" customWidth="1"/>
    <col min="3337" max="3337" width="9.140625" style="556"/>
    <col min="3338" max="3338" width="10.7109375" style="556" customWidth="1"/>
    <col min="3339" max="3339" width="11.7109375" style="556" customWidth="1"/>
    <col min="3340" max="3340" width="10.7109375" style="556" customWidth="1"/>
    <col min="3341" max="3341" width="9.140625" style="556"/>
    <col min="3342" max="3342" width="2.7109375" style="556" customWidth="1"/>
    <col min="3343" max="3347" width="9.140625" style="556"/>
    <col min="3348" max="3350" width="10.7109375" style="556" customWidth="1"/>
    <col min="3351" max="3351" width="9.140625" style="556"/>
    <col min="3352" max="3354" width="10.7109375" style="556" customWidth="1"/>
    <col min="3355" max="3356" width="12.7109375" style="556" customWidth="1"/>
    <col min="3357" max="3585" width="9.140625" style="556"/>
    <col min="3586" max="3586" width="17.7109375" style="556" customWidth="1"/>
    <col min="3587" max="3592" width="10.7109375" style="556" customWidth="1"/>
    <col min="3593" max="3593" width="9.140625" style="556"/>
    <col min="3594" max="3594" width="10.7109375" style="556" customWidth="1"/>
    <col min="3595" max="3595" width="11.7109375" style="556" customWidth="1"/>
    <col min="3596" max="3596" width="10.7109375" style="556" customWidth="1"/>
    <col min="3597" max="3597" width="9.140625" style="556"/>
    <col min="3598" max="3598" width="2.7109375" style="556" customWidth="1"/>
    <col min="3599" max="3603" width="9.140625" style="556"/>
    <col min="3604" max="3606" width="10.7109375" style="556" customWidth="1"/>
    <col min="3607" max="3607" width="9.140625" style="556"/>
    <col min="3608" max="3610" width="10.7109375" style="556" customWidth="1"/>
    <col min="3611" max="3612" width="12.7109375" style="556" customWidth="1"/>
    <col min="3613" max="3841" width="9.140625" style="556"/>
    <col min="3842" max="3842" width="17.7109375" style="556" customWidth="1"/>
    <col min="3843" max="3848" width="10.7109375" style="556" customWidth="1"/>
    <col min="3849" max="3849" width="9.140625" style="556"/>
    <col min="3850" max="3850" width="10.7109375" style="556" customWidth="1"/>
    <col min="3851" max="3851" width="11.7109375" style="556" customWidth="1"/>
    <col min="3852" max="3852" width="10.7109375" style="556" customWidth="1"/>
    <col min="3853" max="3853" width="9.140625" style="556"/>
    <col min="3854" max="3854" width="2.7109375" style="556" customWidth="1"/>
    <col min="3855" max="3859" width="9.140625" style="556"/>
    <col min="3860" max="3862" width="10.7109375" style="556" customWidth="1"/>
    <col min="3863" max="3863" width="9.140625" style="556"/>
    <col min="3864" max="3866" width="10.7109375" style="556" customWidth="1"/>
    <col min="3867" max="3868" width="12.7109375" style="556" customWidth="1"/>
    <col min="3869" max="4097" width="9.140625" style="556"/>
    <col min="4098" max="4098" width="17.7109375" style="556" customWidth="1"/>
    <col min="4099" max="4104" width="10.7109375" style="556" customWidth="1"/>
    <col min="4105" max="4105" width="9.140625" style="556"/>
    <col min="4106" max="4106" width="10.7109375" style="556" customWidth="1"/>
    <col min="4107" max="4107" width="11.7109375" style="556" customWidth="1"/>
    <col min="4108" max="4108" width="10.7109375" style="556" customWidth="1"/>
    <col min="4109" max="4109" width="9.140625" style="556"/>
    <col min="4110" max="4110" width="2.7109375" style="556" customWidth="1"/>
    <col min="4111" max="4115" width="9.140625" style="556"/>
    <col min="4116" max="4118" width="10.7109375" style="556" customWidth="1"/>
    <col min="4119" max="4119" width="9.140625" style="556"/>
    <col min="4120" max="4122" width="10.7109375" style="556" customWidth="1"/>
    <col min="4123" max="4124" width="12.7109375" style="556" customWidth="1"/>
    <col min="4125" max="4353" width="9.140625" style="556"/>
    <col min="4354" max="4354" width="17.7109375" style="556" customWidth="1"/>
    <col min="4355" max="4360" width="10.7109375" style="556" customWidth="1"/>
    <col min="4361" max="4361" width="9.140625" style="556"/>
    <col min="4362" max="4362" width="10.7109375" style="556" customWidth="1"/>
    <col min="4363" max="4363" width="11.7109375" style="556" customWidth="1"/>
    <col min="4364" max="4364" width="10.7109375" style="556" customWidth="1"/>
    <col min="4365" max="4365" width="9.140625" style="556"/>
    <col min="4366" max="4366" width="2.7109375" style="556" customWidth="1"/>
    <col min="4367" max="4371" width="9.140625" style="556"/>
    <col min="4372" max="4374" width="10.7109375" style="556" customWidth="1"/>
    <col min="4375" max="4375" width="9.140625" style="556"/>
    <col min="4376" max="4378" width="10.7109375" style="556" customWidth="1"/>
    <col min="4379" max="4380" width="12.7109375" style="556" customWidth="1"/>
    <col min="4381" max="4609" width="9.140625" style="556"/>
    <col min="4610" max="4610" width="17.7109375" style="556" customWidth="1"/>
    <col min="4611" max="4616" width="10.7109375" style="556" customWidth="1"/>
    <col min="4617" max="4617" width="9.140625" style="556"/>
    <col min="4618" max="4618" width="10.7109375" style="556" customWidth="1"/>
    <col min="4619" max="4619" width="11.7109375" style="556" customWidth="1"/>
    <col min="4620" max="4620" width="10.7109375" style="556" customWidth="1"/>
    <col min="4621" max="4621" width="9.140625" style="556"/>
    <col min="4622" max="4622" width="2.7109375" style="556" customWidth="1"/>
    <col min="4623" max="4627" width="9.140625" style="556"/>
    <col min="4628" max="4630" width="10.7109375" style="556" customWidth="1"/>
    <col min="4631" max="4631" width="9.140625" style="556"/>
    <col min="4632" max="4634" width="10.7109375" style="556" customWidth="1"/>
    <col min="4635" max="4636" width="12.7109375" style="556" customWidth="1"/>
    <col min="4637" max="4865" width="9.140625" style="556"/>
    <col min="4866" max="4866" width="17.7109375" style="556" customWidth="1"/>
    <col min="4867" max="4872" width="10.7109375" style="556" customWidth="1"/>
    <col min="4873" max="4873" width="9.140625" style="556"/>
    <col min="4874" max="4874" width="10.7109375" style="556" customWidth="1"/>
    <col min="4875" max="4875" width="11.7109375" style="556" customWidth="1"/>
    <col min="4876" max="4876" width="10.7109375" style="556" customWidth="1"/>
    <col min="4877" max="4877" width="9.140625" style="556"/>
    <col min="4878" max="4878" width="2.7109375" style="556" customWidth="1"/>
    <col min="4879" max="4883" width="9.140625" style="556"/>
    <col min="4884" max="4886" width="10.7109375" style="556" customWidth="1"/>
    <col min="4887" max="4887" width="9.140625" style="556"/>
    <col min="4888" max="4890" width="10.7109375" style="556" customWidth="1"/>
    <col min="4891" max="4892" width="12.7109375" style="556" customWidth="1"/>
    <col min="4893" max="5121" width="9.140625" style="556"/>
    <col min="5122" max="5122" width="17.7109375" style="556" customWidth="1"/>
    <col min="5123" max="5128" width="10.7109375" style="556" customWidth="1"/>
    <col min="5129" max="5129" width="9.140625" style="556"/>
    <col min="5130" max="5130" width="10.7109375" style="556" customWidth="1"/>
    <col min="5131" max="5131" width="11.7109375" style="556" customWidth="1"/>
    <col min="5132" max="5132" width="10.7109375" style="556" customWidth="1"/>
    <col min="5133" max="5133" width="9.140625" style="556"/>
    <col min="5134" max="5134" width="2.7109375" style="556" customWidth="1"/>
    <col min="5135" max="5139" width="9.140625" style="556"/>
    <col min="5140" max="5142" width="10.7109375" style="556" customWidth="1"/>
    <col min="5143" max="5143" width="9.140625" style="556"/>
    <col min="5144" max="5146" width="10.7109375" style="556" customWidth="1"/>
    <col min="5147" max="5148" width="12.7109375" style="556" customWidth="1"/>
    <col min="5149" max="5377" width="9.140625" style="556"/>
    <col min="5378" max="5378" width="17.7109375" style="556" customWidth="1"/>
    <col min="5379" max="5384" width="10.7109375" style="556" customWidth="1"/>
    <col min="5385" max="5385" width="9.140625" style="556"/>
    <col min="5386" max="5386" width="10.7109375" style="556" customWidth="1"/>
    <col min="5387" max="5387" width="11.7109375" style="556" customWidth="1"/>
    <col min="5388" max="5388" width="10.7109375" style="556" customWidth="1"/>
    <col min="5389" max="5389" width="9.140625" style="556"/>
    <col min="5390" max="5390" width="2.7109375" style="556" customWidth="1"/>
    <col min="5391" max="5395" width="9.140625" style="556"/>
    <col min="5396" max="5398" width="10.7109375" style="556" customWidth="1"/>
    <col min="5399" max="5399" width="9.140625" style="556"/>
    <col min="5400" max="5402" width="10.7109375" style="556" customWidth="1"/>
    <col min="5403" max="5404" width="12.7109375" style="556" customWidth="1"/>
    <col min="5405" max="5633" width="9.140625" style="556"/>
    <col min="5634" max="5634" width="17.7109375" style="556" customWidth="1"/>
    <col min="5635" max="5640" width="10.7109375" style="556" customWidth="1"/>
    <col min="5641" max="5641" width="9.140625" style="556"/>
    <col min="5642" max="5642" width="10.7109375" style="556" customWidth="1"/>
    <col min="5643" max="5643" width="11.7109375" style="556" customWidth="1"/>
    <col min="5644" max="5644" width="10.7109375" style="556" customWidth="1"/>
    <col min="5645" max="5645" width="9.140625" style="556"/>
    <col min="5646" max="5646" width="2.7109375" style="556" customWidth="1"/>
    <col min="5647" max="5651" width="9.140625" style="556"/>
    <col min="5652" max="5654" width="10.7109375" style="556" customWidth="1"/>
    <col min="5655" max="5655" width="9.140625" style="556"/>
    <col min="5656" max="5658" width="10.7109375" style="556" customWidth="1"/>
    <col min="5659" max="5660" width="12.7109375" style="556" customWidth="1"/>
    <col min="5661" max="5889" width="9.140625" style="556"/>
    <col min="5890" max="5890" width="17.7109375" style="556" customWidth="1"/>
    <col min="5891" max="5896" width="10.7109375" style="556" customWidth="1"/>
    <col min="5897" max="5897" width="9.140625" style="556"/>
    <col min="5898" max="5898" width="10.7109375" style="556" customWidth="1"/>
    <col min="5899" max="5899" width="11.7109375" style="556" customWidth="1"/>
    <col min="5900" max="5900" width="10.7109375" style="556" customWidth="1"/>
    <col min="5901" max="5901" width="9.140625" style="556"/>
    <col min="5902" max="5902" width="2.7109375" style="556" customWidth="1"/>
    <col min="5903" max="5907" width="9.140625" style="556"/>
    <col min="5908" max="5910" width="10.7109375" style="556" customWidth="1"/>
    <col min="5911" max="5911" width="9.140625" style="556"/>
    <col min="5912" max="5914" width="10.7109375" style="556" customWidth="1"/>
    <col min="5915" max="5916" width="12.7109375" style="556" customWidth="1"/>
    <col min="5917" max="6145" width="9.140625" style="556"/>
    <col min="6146" max="6146" width="17.7109375" style="556" customWidth="1"/>
    <col min="6147" max="6152" width="10.7109375" style="556" customWidth="1"/>
    <col min="6153" max="6153" width="9.140625" style="556"/>
    <col min="6154" max="6154" width="10.7109375" style="556" customWidth="1"/>
    <col min="6155" max="6155" width="11.7109375" style="556" customWidth="1"/>
    <col min="6156" max="6156" width="10.7109375" style="556" customWidth="1"/>
    <col min="6157" max="6157" width="9.140625" style="556"/>
    <col min="6158" max="6158" width="2.7109375" style="556" customWidth="1"/>
    <col min="6159" max="6163" width="9.140625" style="556"/>
    <col min="6164" max="6166" width="10.7109375" style="556" customWidth="1"/>
    <col min="6167" max="6167" width="9.140625" style="556"/>
    <col min="6168" max="6170" width="10.7109375" style="556" customWidth="1"/>
    <col min="6171" max="6172" width="12.7109375" style="556" customWidth="1"/>
    <col min="6173" max="6401" width="9.140625" style="556"/>
    <col min="6402" max="6402" width="17.7109375" style="556" customWidth="1"/>
    <col min="6403" max="6408" width="10.7109375" style="556" customWidth="1"/>
    <col min="6409" max="6409" width="9.140625" style="556"/>
    <col min="6410" max="6410" width="10.7109375" style="556" customWidth="1"/>
    <col min="6411" max="6411" width="11.7109375" style="556" customWidth="1"/>
    <col min="6412" max="6412" width="10.7109375" style="556" customWidth="1"/>
    <col min="6413" max="6413" width="9.140625" style="556"/>
    <col min="6414" max="6414" width="2.7109375" style="556" customWidth="1"/>
    <col min="6415" max="6419" width="9.140625" style="556"/>
    <col min="6420" max="6422" width="10.7109375" style="556" customWidth="1"/>
    <col min="6423" max="6423" width="9.140625" style="556"/>
    <col min="6424" max="6426" width="10.7109375" style="556" customWidth="1"/>
    <col min="6427" max="6428" width="12.7109375" style="556" customWidth="1"/>
    <col min="6429" max="6657" width="9.140625" style="556"/>
    <col min="6658" max="6658" width="17.7109375" style="556" customWidth="1"/>
    <col min="6659" max="6664" width="10.7109375" style="556" customWidth="1"/>
    <col min="6665" max="6665" width="9.140625" style="556"/>
    <col min="6666" max="6666" width="10.7109375" style="556" customWidth="1"/>
    <col min="6667" max="6667" width="11.7109375" style="556" customWidth="1"/>
    <col min="6668" max="6668" width="10.7109375" style="556" customWidth="1"/>
    <col min="6669" max="6669" width="9.140625" style="556"/>
    <col min="6670" max="6670" width="2.7109375" style="556" customWidth="1"/>
    <col min="6671" max="6675" width="9.140625" style="556"/>
    <col min="6676" max="6678" width="10.7109375" style="556" customWidth="1"/>
    <col min="6679" max="6679" width="9.140625" style="556"/>
    <col min="6680" max="6682" width="10.7109375" style="556" customWidth="1"/>
    <col min="6683" max="6684" width="12.7109375" style="556" customWidth="1"/>
    <col min="6685" max="6913" width="9.140625" style="556"/>
    <col min="6914" max="6914" width="17.7109375" style="556" customWidth="1"/>
    <col min="6915" max="6920" width="10.7109375" style="556" customWidth="1"/>
    <col min="6921" max="6921" width="9.140625" style="556"/>
    <col min="6922" max="6922" width="10.7109375" style="556" customWidth="1"/>
    <col min="6923" max="6923" width="11.7109375" style="556" customWidth="1"/>
    <col min="6924" max="6924" width="10.7109375" style="556" customWidth="1"/>
    <col min="6925" max="6925" width="9.140625" style="556"/>
    <col min="6926" max="6926" width="2.7109375" style="556" customWidth="1"/>
    <col min="6927" max="6931" width="9.140625" style="556"/>
    <col min="6932" max="6934" width="10.7109375" style="556" customWidth="1"/>
    <col min="6935" max="6935" width="9.140625" style="556"/>
    <col min="6936" max="6938" width="10.7109375" style="556" customWidth="1"/>
    <col min="6939" max="6940" width="12.7109375" style="556" customWidth="1"/>
    <col min="6941" max="7169" width="9.140625" style="556"/>
    <col min="7170" max="7170" width="17.7109375" style="556" customWidth="1"/>
    <col min="7171" max="7176" width="10.7109375" style="556" customWidth="1"/>
    <col min="7177" max="7177" width="9.140625" style="556"/>
    <col min="7178" max="7178" width="10.7109375" style="556" customWidth="1"/>
    <col min="7179" max="7179" width="11.7109375" style="556" customWidth="1"/>
    <col min="7180" max="7180" width="10.7109375" style="556" customWidth="1"/>
    <col min="7181" max="7181" width="9.140625" style="556"/>
    <col min="7182" max="7182" width="2.7109375" style="556" customWidth="1"/>
    <col min="7183" max="7187" width="9.140625" style="556"/>
    <col min="7188" max="7190" width="10.7109375" style="556" customWidth="1"/>
    <col min="7191" max="7191" width="9.140625" style="556"/>
    <col min="7192" max="7194" width="10.7109375" style="556" customWidth="1"/>
    <col min="7195" max="7196" width="12.7109375" style="556" customWidth="1"/>
    <col min="7197" max="7425" width="9.140625" style="556"/>
    <col min="7426" max="7426" width="17.7109375" style="556" customWidth="1"/>
    <col min="7427" max="7432" width="10.7109375" style="556" customWidth="1"/>
    <col min="7433" max="7433" width="9.140625" style="556"/>
    <col min="7434" max="7434" width="10.7109375" style="556" customWidth="1"/>
    <col min="7435" max="7435" width="11.7109375" style="556" customWidth="1"/>
    <col min="7436" max="7436" width="10.7109375" style="556" customWidth="1"/>
    <col min="7437" max="7437" width="9.140625" style="556"/>
    <col min="7438" max="7438" width="2.7109375" style="556" customWidth="1"/>
    <col min="7439" max="7443" width="9.140625" style="556"/>
    <col min="7444" max="7446" width="10.7109375" style="556" customWidth="1"/>
    <col min="7447" max="7447" width="9.140625" style="556"/>
    <col min="7448" max="7450" width="10.7109375" style="556" customWidth="1"/>
    <col min="7451" max="7452" width="12.7109375" style="556" customWidth="1"/>
    <col min="7453" max="7681" width="9.140625" style="556"/>
    <col min="7682" max="7682" width="17.7109375" style="556" customWidth="1"/>
    <col min="7683" max="7688" width="10.7109375" style="556" customWidth="1"/>
    <col min="7689" max="7689" width="9.140625" style="556"/>
    <col min="7690" max="7690" width="10.7109375" style="556" customWidth="1"/>
    <col min="7691" max="7691" width="11.7109375" style="556" customWidth="1"/>
    <col min="7692" max="7692" width="10.7109375" style="556" customWidth="1"/>
    <col min="7693" max="7693" width="9.140625" style="556"/>
    <col min="7694" max="7694" width="2.7109375" style="556" customWidth="1"/>
    <col min="7695" max="7699" width="9.140625" style="556"/>
    <col min="7700" max="7702" width="10.7109375" style="556" customWidth="1"/>
    <col min="7703" max="7703" width="9.140625" style="556"/>
    <col min="7704" max="7706" width="10.7109375" style="556" customWidth="1"/>
    <col min="7707" max="7708" width="12.7109375" style="556" customWidth="1"/>
    <col min="7709" max="7937" width="9.140625" style="556"/>
    <col min="7938" max="7938" width="17.7109375" style="556" customWidth="1"/>
    <col min="7939" max="7944" width="10.7109375" style="556" customWidth="1"/>
    <col min="7945" max="7945" width="9.140625" style="556"/>
    <col min="7946" max="7946" width="10.7109375" style="556" customWidth="1"/>
    <col min="7947" max="7947" width="11.7109375" style="556" customWidth="1"/>
    <col min="7948" max="7948" width="10.7109375" style="556" customWidth="1"/>
    <col min="7949" max="7949" width="9.140625" style="556"/>
    <col min="7950" max="7950" width="2.7109375" style="556" customWidth="1"/>
    <col min="7951" max="7955" width="9.140625" style="556"/>
    <col min="7956" max="7958" width="10.7109375" style="556" customWidth="1"/>
    <col min="7959" max="7959" width="9.140625" style="556"/>
    <col min="7960" max="7962" width="10.7109375" style="556" customWidth="1"/>
    <col min="7963" max="7964" width="12.7109375" style="556" customWidth="1"/>
    <col min="7965" max="8193" width="9.140625" style="556"/>
    <col min="8194" max="8194" width="17.7109375" style="556" customWidth="1"/>
    <col min="8195" max="8200" width="10.7109375" style="556" customWidth="1"/>
    <col min="8201" max="8201" width="9.140625" style="556"/>
    <col min="8202" max="8202" width="10.7109375" style="556" customWidth="1"/>
    <col min="8203" max="8203" width="11.7109375" style="556" customWidth="1"/>
    <col min="8204" max="8204" width="10.7109375" style="556" customWidth="1"/>
    <col min="8205" max="8205" width="9.140625" style="556"/>
    <col min="8206" max="8206" width="2.7109375" style="556" customWidth="1"/>
    <col min="8207" max="8211" width="9.140625" style="556"/>
    <col min="8212" max="8214" width="10.7109375" style="556" customWidth="1"/>
    <col min="8215" max="8215" width="9.140625" style="556"/>
    <col min="8216" max="8218" width="10.7109375" style="556" customWidth="1"/>
    <col min="8219" max="8220" width="12.7109375" style="556" customWidth="1"/>
    <col min="8221" max="8449" width="9.140625" style="556"/>
    <col min="8450" max="8450" width="17.7109375" style="556" customWidth="1"/>
    <col min="8451" max="8456" width="10.7109375" style="556" customWidth="1"/>
    <col min="8457" max="8457" width="9.140625" style="556"/>
    <col min="8458" max="8458" width="10.7109375" style="556" customWidth="1"/>
    <col min="8459" max="8459" width="11.7109375" style="556" customWidth="1"/>
    <col min="8460" max="8460" width="10.7109375" style="556" customWidth="1"/>
    <col min="8461" max="8461" width="9.140625" style="556"/>
    <col min="8462" max="8462" width="2.7109375" style="556" customWidth="1"/>
    <col min="8463" max="8467" width="9.140625" style="556"/>
    <col min="8468" max="8470" width="10.7109375" style="556" customWidth="1"/>
    <col min="8471" max="8471" width="9.140625" style="556"/>
    <col min="8472" max="8474" width="10.7109375" style="556" customWidth="1"/>
    <col min="8475" max="8476" width="12.7109375" style="556" customWidth="1"/>
    <col min="8477" max="8705" width="9.140625" style="556"/>
    <col min="8706" max="8706" width="17.7109375" style="556" customWidth="1"/>
    <col min="8707" max="8712" width="10.7109375" style="556" customWidth="1"/>
    <col min="8713" max="8713" width="9.140625" style="556"/>
    <col min="8714" max="8714" width="10.7109375" style="556" customWidth="1"/>
    <col min="8715" max="8715" width="11.7109375" style="556" customWidth="1"/>
    <col min="8716" max="8716" width="10.7109375" style="556" customWidth="1"/>
    <col min="8717" max="8717" width="9.140625" style="556"/>
    <col min="8718" max="8718" width="2.7109375" style="556" customWidth="1"/>
    <col min="8719" max="8723" width="9.140625" style="556"/>
    <col min="8724" max="8726" width="10.7109375" style="556" customWidth="1"/>
    <col min="8727" max="8727" width="9.140625" style="556"/>
    <col min="8728" max="8730" width="10.7109375" style="556" customWidth="1"/>
    <col min="8731" max="8732" width="12.7109375" style="556" customWidth="1"/>
    <col min="8733" max="8961" width="9.140625" style="556"/>
    <col min="8962" max="8962" width="17.7109375" style="556" customWidth="1"/>
    <col min="8963" max="8968" width="10.7109375" style="556" customWidth="1"/>
    <col min="8969" max="8969" width="9.140625" style="556"/>
    <col min="8970" max="8970" width="10.7109375" style="556" customWidth="1"/>
    <col min="8971" max="8971" width="11.7109375" style="556" customWidth="1"/>
    <col min="8972" max="8972" width="10.7109375" style="556" customWidth="1"/>
    <col min="8973" max="8973" width="9.140625" style="556"/>
    <col min="8974" max="8974" width="2.7109375" style="556" customWidth="1"/>
    <col min="8975" max="8979" width="9.140625" style="556"/>
    <col min="8980" max="8982" width="10.7109375" style="556" customWidth="1"/>
    <col min="8983" max="8983" width="9.140625" style="556"/>
    <col min="8984" max="8986" width="10.7109375" style="556" customWidth="1"/>
    <col min="8987" max="8988" width="12.7109375" style="556" customWidth="1"/>
    <col min="8989" max="9217" width="9.140625" style="556"/>
    <col min="9218" max="9218" width="17.7109375" style="556" customWidth="1"/>
    <col min="9219" max="9224" width="10.7109375" style="556" customWidth="1"/>
    <col min="9225" max="9225" width="9.140625" style="556"/>
    <col min="9226" max="9226" width="10.7109375" style="556" customWidth="1"/>
    <col min="9227" max="9227" width="11.7109375" style="556" customWidth="1"/>
    <col min="9228" max="9228" width="10.7109375" style="556" customWidth="1"/>
    <col min="9229" max="9229" width="9.140625" style="556"/>
    <col min="9230" max="9230" width="2.7109375" style="556" customWidth="1"/>
    <col min="9231" max="9235" width="9.140625" style="556"/>
    <col min="9236" max="9238" width="10.7109375" style="556" customWidth="1"/>
    <col min="9239" max="9239" width="9.140625" style="556"/>
    <col min="9240" max="9242" width="10.7109375" style="556" customWidth="1"/>
    <col min="9243" max="9244" width="12.7109375" style="556" customWidth="1"/>
    <col min="9245" max="9473" width="9.140625" style="556"/>
    <col min="9474" max="9474" width="17.7109375" style="556" customWidth="1"/>
    <col min="9475" max="9480" width="10.7109375" style="556" customWidth="1"/>
    <col min="9481" max="9481" width="9.140625" style="556"/>
    <col min="9482" max="9482" width="10.7109375" style="556" customWidth="1"/>
    <col min="9483" max="9483" width="11.7109375" style="556" customWidth="1"/>
    <col min="9484" max="9484" width="10.7109375" style="556" customWidth="1"/>
    <col min="9485" max="9485" width="9.140625" style="556"/>
    <col min="9486" max="9486" width="2.7109375" style="556" customWidth="1"/>
    <col min="9487" max="9491" width="9.140625" style="556"/>
    <col min="9492" max="9494" width="10.7109375" style="556" customWidth="1"/>
    <col min="9495" max="9495" width="9.140625" style="556"/>
    <col min="9496" max="9498" width="10.7109375" style="556" customWidth="1"/>
    <col min="9499" max="9500" width="12.7109375" style="556" customWidth="1"/>
    <col min="9501" max="9729" width="9.140625" style="556"/>
    <col min="9730" max="9730" width="17.7109375" style="556" customWidth="1"/>
    <col min="9731" max="9736" width="10.7109375" style="556" customWidth="1"/>
    <col min="9737" max="9737" width="9.140625" style="556"/>
    <col min="9738" max="9738" width="10.7109375" style="556" customWidth="1"/>
    <col min="9739" max="9739" width="11.7109375" style="556" customWidth="1"/>
    <col min="9740" max="9740" width="10.7109375" style="556" customWidth="1"/>
    <col min="9741" max="9741" width="9.140625" style="556"/>
    <col min="9742" max="9742" width="2.7109375" style="556" customWidth="1"/>
    <col min="9743" max="9747" width="9.140625" style="556"/>
    <col min="9748" max="9750" width="10.7109375" style="556" customWidth="1"/>
    <col min="9751" max="9751" width="9.140625" style="556"/>
    <col min="9752" max="9754" width="10.7109375" style="556" customWidth="1"/>
    <col min="9755" max="9756" width="12.7109375" style="556" customWidth="1"/>
    <col min="9757" max="9985" width="9.140625" style="556"/>
    <col min="9986" max="9986" width="17.7109375" style="556" customWidth="1"/>
    <col min="9987" max="9992" width="10.7109375" style="556" customWidth="1"/>
    <col min="9993" max="9993" width="9.140625" style="556"/>
    <col min="9994" max="9994" width="10.7109375" style="556" customWidth="1"/>
    <col min="9995" max="9995" width="11.7109375" style="556" customWidth="1"/>
    <col min="9996" max="9996" width="10.7109375" style="556" customWidth="1"/>
    <col min="9997" max="9997" width="9.140625" style="556"/>
    <col min="9998" max="9998" width="2.7109375" style="556" customWidth="1"/>
    <col min="9999" max="10003" width="9.140625" style="556"/>
    <col min="10004" max="10006" width="10.7109375" style="556" customWidth="1"/>
    <col min="10007" max="10007" width="9.140625" style="556"/>
    <col min="10008" max="10010" width="10.7109375" style="556" customWidth="1"/>
    <col min="10011" max="10012" width="12.7109375" style="556" customWidth="1"/>
    <col min="10013" max="10241" width="9.140625" style="556"/>
    <col min="10242" max="10242" width="17.7109375" style="556" customWidth="1"/>
    <col min="10243" max="10248" width="10.7109375" style="556" customWidth="1"/>
    <col min="10249" max="10249" width="9.140625" style="556"/>
    <col min="10250" max="10250" width="10.7109375" style="556" customWidth="1"/>
    <col min="10251" max="10251" width="11.7109375" style="556" customWidth="1"/>
    <col min="10252" max="10252" width="10.7109375" style="556" customWidth="1"/>
    <col min="10253" max="10253" width="9.140625" style="556"/>
    <col min="10254" max="10254" width="2.7109375" style="556" customWidth="1"/>
    <col min="10255" max="10259" width="9.140625" style="556"/>
    <col min="10260" max="10262" width="10.7109375" style="556" customWidth="1"/>
    <col min="10263" max="10263" width="9.140625" style="556"/>
    <col min="10264" max="10266" width="10.7109375" style="556" customWidth="1"/>
    <col min="10267" max="10268" width="12.7109375" style="556" customWidth="1"/>
    <col min="10269" max="10497" width="9.140625" style="556"/>
    <col min="10498" max="10498" width="17.7109375" style="556" customWidth="1"/>
    <col min="10499" max="10504" width="10.7109375" style="556" customWidth="1"/>
    <col min="10505" max="10505" width="9.140625" style="556"/>
    <col min="10506" max="10506" width="10.7109375" style="556" customWidth="1"/>
    <col min="10507" max="10507" width="11.7109375" style="556" customWidth="1"/>
    <col min="10508" max="10508" width="10.7109375" style="556" customWidth="1"/>
    <col min="10509" max="10509" width="9.140625" style="556"/>
    <col min="10510" max="10510" width="2.7109375" style="556" customWidth="1"/>
    <col min="10511" max="10515" width="9.140625" style="556"/>
    <col min="10516" max="10518" width="10.7109375" style="556" customWidth="1"/>
    <col min="10519" max="10519" width="9.140625" style="556"/>
    <col min="10520" max="10522" width="10.7109375" style="556" customWidth="1"/>
    <col min="10523" max="10524" width="12.7109375" style="556" customWidth="1"/>
    <col min="10525" max="10753" width="9.140625" style="556"/>
    <col min="10754" max="10754" width="17.7109375" style="556" customWidth="1"/>
    <col min="10755" max="10760" width="10.7109375" style="556" customWidth="1"/>
    <col min="10761" max="10761" width="9.140625" style="556"/>
    <col min="10762" max="10762" width="10.7109375" style="556" customWidth="1"/>
    <col min="10763" max="10763" width="11.7109375" style="556" customWidth="1"/>
    <col min="10764" max="10764" width="10.7109375" style="556" customWidth="1"/>
    <col min="10765" max="10765" width="9.140625" style="556"/>
    <col min="10766" max="10766" width="2.7109375" style="556" customWidth="1"/>
    <col min="10767" max="10771" width="9.140625" style="556"/>
    <col min="10772" max="10774" width="10.7109375" style="556" customWidth="1"/>
    <col min="10775" max="10775" width="9.140625" style="556"/>
    <col min="10776" max="10778" width="10.7109375" style="556" customWidth="1"/>
    <col min="10779" max="10780" width="12.7109375" style="556" customWidth="1"/>
    <col min="10781" max="11009" width="9.140625" style="556"/>
    <col min="11010" max="11010" width="17.7109375" style="556" customWidth="1"/>
    <col min="11011" max="11016" width="10.7109375" style="556" customWidth="1"/>
    <col min="11017" max="11017" width="9.140625" style="556"/>
    <col min="11018" max="11018" width="10.7109375" style="556" customWidth="1"/>
    <col min="11019" max="11019" width="11.7109375" style="556" customWidth="1"/>
    <col min="11020" max="11020" width="10.7109375" style="556" customWidth="1"/>
    <col min="11021" max="11021" width="9.140625" style="556"/>
    <col min="11022" max="11022" width="2.7109375" style="556" customWidth="1"/>
    <col min="11023" max="11027" width="9.140625" style="556"/>
    <col min="11028" max="11030" width="10.7109375" style="556" customWidth="1"/>
    <col min="11031" max="11031" width="9.140625" style="556"/>
    <col min="11032" max="11034" width="10.7109375" style="556" customWidth="1"/>
    <col min="11035" max="11036" width="12.7109375" style="556" customWidth="1"/>
    <col min="11037" max="11265" width="9.140625" style="556"/>
    <col min="11266" max="11266" width="17.7109375" style="556" customWidth="1"/>
    <col min="11267" max="11272" width="10.7109375" style="556" customWidth="1"/>
    <col min="11273" max="11273" width="9.140625" style="556"/>
    <col min="11274" max="11274" width="10.7109375" style="556" customWidth="1"/>
    <col min="11275" max="11275" width="11.7109375" style="556" customWidth="1"/>
    <col min="11276" max="11276" width="10.7109375" style="556" customWidth="1"/>
    <col min="11277" max="11277" width="9.140625" style="556"/>
    <col min="11278" max="11278" width="2.7109375" style="556" customWidth="1"/>
    <col min="11279" max="11283" width="9.140625" style="556"/>
    <col min="11284" max="11286" width="10.7109375" style="556" customWidth="1"/>
    <col min="11287" max="11287" width="9.140625" style="556"/>
    <col min="11288" max="11290" width="10.7109375" style="556" customWidth="1"/>
    <col min="11291" max="11292" width="12.7109375" style="556" customWidth="1"/>
    <col min="11293" max="11521" width="9.140625" style="556"/>
    <col min="11522" max="11522" width="17.7109375" style="556" customWidth="1"/>
    <col min="11523" max="11528" width="10.7109375" style="556" customWidth="1"/>
    <col min="11529" max="11529" width="9.140625" style="556"/>
    <col min="11530" max="11530" width="10.7109375" style="556" customWidth="1"/>
    <col min="11531" max="11531" width="11.7109375" style="556" customWidth="1"/>
    <col min="11532" max="11532" width="10.7109375" style="556" customWidth="1"/>
    <col min="11533" max="11533" width="9.140625" style="556"/>
    <col min="11534" max="11534" width="2.7109375" style="556" customWidth="1"/>
    <col min="11535" max="11539" width="9.140625" style="556"/>
    <col min="11540" max="11542" width="10.7109375" style="556" customWidth="1"/>
    <col min="11543" max="11543" width="9.140625" style="556"/>
    <col min="11544" max="11546" width="10.7109375" style="556" customWidth="1"/>
    <col min="11547" max="11548" width="12.7109375" style="556" customWidth="1"/>
    <col min="11549" max="11777" width="9.140625" style="556"/>
    <col min="11778" max="11778" width="17.7109375" style="556" customWidth="1"/>
    <col min="11779" max="11784" width="10.7109375" style="556" customWidth="1"/>
    <col min="11785" max="11785" width="9.140625" style="556"/>
    <col min="11786" max="11786" width="10.7109375" style="556" customWidth="1"/>
    <col min="11787" max="11787" width="11.7109375" style="556" customWidth="1"/>
    <col min="11788" max="11788" width="10.7109375" style="556" customWidth="1"/>
    <col min="11789" max="11789" width="9.140625" style="556"/>
    <col min="11790" max="11790" width="2.7109375" style="556" customWidth="1"/>
    <col min="11791" max="11795" width="9.140625" style="556"/>
    <col min="11796" max="11798" width="10.7109375" style="556" customWidth="1"/>
    <col min="11799" max="11799" width="9.140625" style="556"/>
    <col min="11800" max="11802" width="10.7109375" style="556" customWidth="1"/>
    <col min="11803" max="11804" width="12.7109375" style="556" customWidth="1"/>
    <col min="11805" max="12033" width="9.140625" style="556"/>
    <col min="12034" max="12034" width="17.7109375" style="556" customWidth="1"/>
    <col min="12035" max="12040" width="10.7109375" style="556" customWidth="1"/>
    <col min="12041" max="12041" width="9.140625" style="556"/>
    <col min="12042" max="12042" width="10.7109375" style="556" customWidth="1"/>
    <col min="12043" max="12043" width="11.7109375" style="556" customWidth="1"/>
    <col min="12044" max="12044" width="10.7109375" style="556" customWidth="1"/>
    <col min="12045" max="12045" width="9.140625" style="556"/>
    <col min="12046" max="12046" width="2.7109375" style="556" customWidth="1"/>
    <col min="12047" max="12051" width="9.140625" style="556"/>
    <col min="12052" max="12054" width="10.7109375" style="556" customWidth="1"/>
    <col min="12055" max="12055" width="9.140625" style="556"/>
    <col min="12056" max="12058" width="10.7109375" style="556" customWidth="1"/>
    <col min="12059" max="12060" width="12.7109375" style="556" customWidth="1"/>
    <col min="12061" max="12289" width="9.140625" style="556"/>
    <col min="12290" max="12290" width="17.7109375" style="556" customWidth="1"/>
    <col min="12291" max="12296" width="10.7109375" style="556" customWidth="1"/>
    <col min="12297" max="12297" width="9.140625" style="556"/>
    <col min="12298" max="12298" width="10.7109375" style="556" customWidth="1"/>
    <col min="12299" max="12299" width="11.7109375" style="556" customWidth="1"/>
    <col min="12300" max="12300" width="10.7109375" style="556" customWidth="1"/>
    <col min="12301" max="12301" width="9.140625" style="556"/>
    <col min="12302" max="12302" width="2.7109375" style="556" customWidth="1"/>
    <col min="12303" max="12307" width="9.140625" style="556"/>
    <col min="12308" max="12310" width="10.7109375" style="556" customWidth="1"/>
    <col min="12311" max="12311" width="9.140625" style="556"/>
    <col min="12312" max="12314" width="10.7109375" style="556" customWidth="1"/>
    <col min="12315" max="12316" width="12.7109375" style="556" customWidth="1"/>
    <col min="12317" max="12545" width="9.140625" style="556"/>
    <col min="12546" max="12546" width="17.7109375" style="556" customWidth="1"/>
    <col min="12547" max="12552" width="10.7109375" style="556" customWidth="1"/>
    <col min="12553" max="12553" width="9.140625" style="556"/>
    <col min="12554" max="12554" width="10.7109375" style="556" customWidth="1"/>
    <col min="12555" max="12555" width="11.7109375" style="556" customWidth="1"/>
    <col min="12556" max="12556" width="10.7109375" style="556" customWidth="1"/>
    <col min="12557" max="12557" width="9.140625" style="556"/>
    <col min="12558" max="12558" width="2.7109375" style="556" customWidth="1"/>
    <col min="12559" max="12563" width="9.140625" style="556"/>
    <col min="12564" max="12566" width="10.7109375" style="556" customWidth="1"/>
    <col min="12567" max="12567" width="9.140625" style="556"/>
    <col min="12568" max="12570" width="10.7109375" style="556" customWidth="1"/>
    <col min="12571" max="12572" width="12.7109375" style="556" customWidth="1"/>
    <col min="12573" max="12801" width="9.140625" style="556"/>
    <col min="12802" max="12802" width="17.7109375" style="556" customWidth="1"/>
    <col min="12803" max="12808" width="10.7109375" style="556" customWidth="1"/>
    <col min="12809" max="12809" width="9.140625" style="556"/>
    <col min="12810" max="12810" width="10.7109375" style="556" customWidth="1"/>
    <col min="12811" max="12811" width="11.7109375" style="556" customWidth="1"/>
    <col min="12812" max="12812" width="10.7109375" style="556" customWidth="1"/>
    <col min="12813" max="12813" width="9.140625" style="556"/>
    <col min="12814" max="12814" width="2.7109375" style="556" customWidth="1"/>
    <col min="12815" max="12819" width="9.140625" style="556"/>
    <col min="12820" max="12822" width="10.7109375" style="556" customWidth="1"/>
    <col min="12823" max="12823" width="9.140625" style="556"/>
    <col min="12824" max="12826" width="10.7109375" style="556" customWidth="1"/>
    <col min="12827" max="12828" width="12.7109375" style="556" customWidth="1"/>
    <col min="12829" max="13057" width="9.140625" style="556"/>
    <col min="13058" max="13058" width="17.7109375" style="556" customWidth="1"/>
    <col min="13059" max="13064" width="10.7109375" style="556" customWidth="1"/>
    <col min="13065" max="13065" width="9.140625" style="556"/>
    <col min="13066" max="13066" width="10.7109375" style="556" customWidth="1"/>
    <col min="13067" max="13067" width="11.7109375" style="556" customWidth="1"/>
    <col min="13068" max="13068" width="10.7109375" style="556" customWidth="1"/>
    <col min="13069" max="13069" width="9.140625" style="556"/>
    <col min="13070" max="13070" width="2.7109375" style="556" customWidth="1"/>
    <col min="13071" max="13075" width="9.140625" style="556"/>
    <col min="13076" max="13078" width="10.7109375" style="556" customWidth="1"/>
    <col min="13079" max="13079" width="9.140625" style="556"/>
    <col min="13080" max="13082" width="10.7109375" style="556" customWidth="1"/>
    <col min="13083" max="13084" width="12.7109375" style="556" customWidth="1"/>
    <col min="13085" max="13313" width="9.140625" style="556"/>
    <col min="13314" max="13314" width="17.7109375" style="556" customWidth="1"/>
    <col min="13315" max="13320" width="10.7109375" style="556" customWidth="1"/>
    <col min="13321" max="13321" width="9.140625" style="556"/>
    <col min="13322" max="13322" width="10.7109375" style="556" customWidth="1"/>
    <col min="13323" max="13323" width="11.7109375" style="556" customWidth="1"/>
    <col min="13324" max="13324" width="10.7109375" style="556" customWidth="1"/>
    <col min="13325" max="13325" width="9.140625" style="556"/>
    <col min="13326" max="13326" width="2.7109375" style="556" customWidth="1"/>
    <col min="13327" max="13331" width="9.140625" style="556"/>
    <col min="13332" max="13334" width="10.7109375" style="556" customWidth="1"/>
    <col min="13335" max="13335" width="9.140625" style="556"/>
    <col min="13336" max="13338" width="10.7109375" style="556" customWidth="1"/>
    <col min="13339" max="13340" width="12.7109375" style="556" customWidth="1"/>
    <col min="13341" max="13569" width="9.140625" style="556"/>
    <col min="13570" max="13570" width="17.7109375" style="556" customWidth="1"/>
    <col min="13571" max="13576" width="10.7109375" style="556" customWidth="1"/>
    <col min="13577" max="13577" width="9.140625" style="556"/>
    <col min="13578" max="13578" width="10.7109375" style="556" customWidth="1"/>
    <col min="13579" max="13579" width="11.7109375" style="556" customWidth="1"/>
    <col min="13580" max="13580" width="10.7109375" style="556" customWidth="1"/>
    <col min="13581" max="13581" width="9.140625" style="556"/>
    <col min="13582" max="13582" width="2.7109375" style="556" customWidth="1"/>
    <col min="13583" max="13587" width="9.140625" style="556"/>
    <col min="13588" max="13590" width="10.7109375" style="556" customWidth="1"/>
    <col min="13591" max="13591" width="9.140625" style="556"/>
    <col min="13592" max="13594" width="10.7109375" style="556" customWidth="1"/>
    <col min="13595" max="13596" width="12.7109375" style="556" customWidth="1"/>
    <col min="13597" max="13825" width="9.140625" style="556"/>
    <col min="13826" max="13826" width="17.7109375" style="556" customWidth="1"/>
    <col min="13827" max="13832" width="10.7109375" style="556" customWidth="1"/>
    <col min="13833" max="13833" width="9.140625" style="556"/>
    <col min="13834" max="13834" width="10.7109375" style="556" customWidth="1"/>
    <col min="13835" max="13835" width="11.7109375" style="556" customWidth="1"/>
    <col min="13836" max="13836" width="10.7109375" style="556" customWidth="1"/>
    <col min="13837" max="13837" width="9.140625" style="556"/>
    <col min="13838" max="13838" width="2.7109375" style="556" customWidth="1"/>
    <col min="13839" max="13843" width="9.140625" style="556"/>
    <col min="13844" max="13846" width="10.7109375" style="556" customWidth="1"/>
    <col min="13847" max="13847" width="9.140625" style="556"/>
    <col min="13848" max="13850" width="10.7109375" style="556" customWidth="1"/>
    <col min="13851" max="13852" width="12.7109375" style="556" customWidth="1"/>
    <col min="13853" max="14081" width="9.140625" style="556"/>
    <col min="14082" max="14082" width="17.7109375" style="556" customWidth="1"/>
    <col min="14083" max="14088" width="10.7109375" style="556" customWidth="1"/>
    <col min="14089" max="14089" width="9.140625" style="556"/>
    <col min="14090" max="14090" width="10.7109375" style="556" customWidth="1"/>
    <col min="14091" max="14091" width="11.7109375" style="556" customWidth="1"/>
    <col min="14092" max="14092" width="10.7109375" style="556" customWidth="1"/>
    <col min="14093" max="14093" width="9.140625" style="556"/>
    <col min="14094" max="14094" width="2.7109375" style="556" customWidth="1"/>
    <col min="14095" max="14099" width="9.140625" style="556"/>
    <col min="14100" max="14102" width="10.7109375" style="556" customWidth="1"/>
    <col min="14103" max="14103" width="9.140625" style="556"/>
    <col min="14104" max="14106" width="10.7109375" style="556" customWidth="1"/>
    <col min="14107" max="14108" width="12.7109375" style="556" customWidth="1"/>
    <col min="14109" max="14337" width="9.140625" style="556"/>
    <col min="14338" max="14338" width="17.7109375" style="556" customWidth="1"/>
    <col min="14339" max="14344" width="10.7109375" style="556" customWidth="1"/>
    <col min="14345" max="14345" width="9.140625" style="556"/>
    <col min="14346" max="14346" width="10.7109375" style="556" customWidth="1"/>
    <col min="14347" max="14347" width="11.7109375" style="556" customWidth="1"/>
    <col min="14348" max="14348" width="10.7109375" style="556" customWidth="1"/>
    <col min="14349" max="14349" width="9.140625" style="556"/>
    <col min="14350" max="14350" width="2.7109375" style="556" customWidth="1"/>
    <col min="14351" max="14355" width="9.140625" style="556"/>
    <col min="14356" max="14358" width="10.7109375" style="556" customWidth="1"/>
    <col min="14359" max="14359" width="9.140625" style="556"/>
    <col min="14360" max="14362" width="10.7109375" style="556" customWidth="1"/>
    <col min="14363" max="14364" width="12.7109375" style="556" customWidth="1"/>
    <col min="14365" max="14593" width="9.140625" style="556"/>
    <col min="14594" max="14594" width="17.7109375" style="556" customWidth="1"/>
    <col min="14595" max="14600" width="10.7109375" style="556" customWidth="1"/>
    <col min="14601" max="14601" width="9.140625" style="556"/>
    <col min="14602" max="14602" width="10.7109375" style="556" customWidth="1"/>
    <col min="14603" max="14603" width="11.7109375" style="556" customWidth="1"/>
    <col min="14604" max="14604" width="10.7109375" style="556" customWidth="1"/>
    <col min="14605" max="14605" width="9.140625" style="556"/>
    <col min="14606" max="14606" width="2.7109375" style="556" customWidth="1"/>
    <col min="14607" max="14611" width="9.140625" style="556"/>
    <col min="14612" max="14614" width="10.7109375" style="556" customWidth="1"/>
    <col min="14615" max="14615" width="9.140625" style="556"/>
    <col min="14616" max="14618" width="10.7109375" style="556" customWidth="1"/>
    <col min="14619" max="14620" width="12.7109375" style="556" customWidth="1"/>
    <col min="14621" max="14849" width="9.140625" style="556"/>
    <col min="14850" max="14850" width="17.7109375" style="556" customWidth="1"/>
    <col min="14851" max="14856" width="10.7109375" style="556" customWidth="1"/>
    <col min="14857" max="14857" width="9.140625" style="556"/>
    <col min="14858" max="14858" width="10.7109375" style="556" customWidth="1"/>
    <col min="14859" max="14859" width="11.7109375" style="556" customWidth="1"/>
    <col min="14860" max="14860" width="10.7109375" style="556" customWidth="1"/>
    <col min="14861" max="14861" width="9.140625" style="556"/>
    <col min="14862" max="14862" width="2.7109375" style="556" customWidth="1"/>
    <col min="14863" max="14867" width="9.140625" style="556"/>
    <col min="14868" max="14870" width="10.7109375" style="556" customWidth="1"/>
    <col min="14871" max="14871" width="9.140625" style="556"/>
    <col min="14872" max="14874" width="10.7109375" style="556" customWidth="1"/>
    <col min="14875" max="14876" width="12.7109375" style="556" customWidth="1"/>
    <col min="14877" max="15105" width="9.140625" style="556"/>
    <col min="15106" max="15106" width="17.7109375" style="556" customWidth="1"/>
    <col min="15107" max="15112" width="10.7109375" style="556" customWidth="1"/>
    <col min="15113" max="15113" width="9.140625" style="556"/>
    <col min="15114" max="15114" width="10.7109375" style="556" customWidth="1"/>
    <col min="15115" max="15115" width="11.7109375" style="556" customWidth="1"/>
    <col min="15116" max="15116" width="10.7109375" style="556" customWidth="1"/>
    <col min="15117" max="15117" width="9.140625" style="556"/>
    <col min="15118" max="15118" width="2.7109375" style="556" customWidth="1"/>
    <col min="15119" max="15123" width="9.140625" style="556"/>
    <col min="15124" max="15126" width="10.7109375" style="556" customWidth="1"/>
    <col min="15127" max="15127" width="9.140625" style="556"/>
    <col min="15128" max="15130" width="10.7109375" style="556" customWidth="1"/>
    <col min="15131" max="15132" width="12.7109375" style="556" customWidth="1"/>
    <col min="15133" max="15361" width="9.140625" style="556"/>
    <col min="15362" max="15362" width="17.7109375" style="556" customWidth="1"/>
    <col min="15363" max="15368" width="10.7109375" style="556" customWidth="1"/>
    <col min="15369" max="15369" width="9.140625" style="556"/>
    <col min="15370" max="15370" width="10.7109375" style="556" customWidth="1"/>
    <col min="15371" max="15371" width="11.7109375" style="556" customWidth="1"/>
    <col min="15372" max="15372" width="10.7109375" style="556" customWidth="1"/>
    <col min="15373" max="15373" width="9.140625" style="556"/>
    <col min="15374" max="15374" width="2.7109375" style="556" customWidth="1"/>
    <col min="15375" max="15379" width="9.140625" style="556"/>
    <col min="15380" max="15382" width="10.7109375" style="556" customWidth="1"/>
    <col min="15383" max="15383" width="9.140625" style="556"/>
    <col min="15384" max="15386" width="10.7109375" style="556" customWidth="1"/>
    <col min="15387" max="15388" width="12.7109375" style="556" customWidth="1"/>
    <col min="15389" max="15617" width="9.140625" style="556"/>
    <col min="15618" max="15618" width="17.7109375" style="556" customWidth="1"/>
    <col min="15619" max="15624" width="10.7109375" style="556" customWidth="1"/>
    <col min="15625" max="15625" width="9.140625" style="556"/>
    <col min="15626" max="15626" width="10.7109375" style="556" customWidth="1"/>
    <col min="15627" max="15627" width="11.7109375" style="556" customWidth="1"/>
    <col min="15628" max="15628" width="10.7109375" style="556" customWidth="1"/>
    <col min="15629" max="15629" width="9.140625" style="556"/>
    <col min="15630" max="15630" width="2.7109375" style="556" customWidth="1"/>
    <col min="15631" max="15635" width="9.140625" style="556"/>
    <col min="15636" max="15638" width="10.7109375" style="556" customWidth="1"/>
    <col min="15639" max="15639" width="9.140625" style="556"/>
    <col min="15640" max="15642" width="10.7109375" style="556" customWidth="1"/>
    <col min="15643" max="15644" width="12.7109375" style="556" customWidth="1"/>
    <col min="15645" max="15873" width="9.140625" style="556"/>
    <col min="15874" max="15874" width="17.7109375" style="556" customWidth="1"/>
    <col min="15875" max="15880" width="10.7109375" style="556" customWidth="1"/>
    <col min="15881" max="15881" width="9.140625" style="556"/>
    <col min="15882" max="15882" width="10.7109375" style="556" customWidth="1"/>
    <col min="15883" max="15883" width="11.7109375" style="556" customWidth="1"/>
    <col min="15884" max="15884" width="10.7109375" style="556" customWidth="1"/>
    <col min="15885" max="15885" width="9.140625" style="556"/>
    <col min="15886" max="15886" width="2.7109375" style="556" customWidth="1"/>
    <col min="15887" max="15891" width="9.140625" style="556"/>
    <col min="15892" max="15894" width="10.7109375" style="556" customWidth="1"/>
    <col min="15895" max="15895" width="9.140625" style="556"/>
    <col min="15896" max="15898" width="10.7109375" style="556" customWidth="1"/>
    <col min="15899" max="15900" width="12.7109375" style="556" customWidth="1"/>
    <col min="15901" max="16129" width="9.140625" style="556"/>
    <col min="16130" max="16130" width="17.7109375" style="556" customWidth="1"/>
    <col min="16131" max="16136" width="10.7109375" style="556" customWidth="1"/>
    <col min="16137" max="16137" width="9.140625" style="556"/>
    <col min="16138" max="16138" width="10.7109375" style="556" customWidth="1"/>
    <col min="16139" max="16139" width="11.7109375" style="556" customWidth="1"/>
    <col min="16140" max="16140" width="10.7109375" style="556" customWidth="1"/>
    <col min="16141" max="16141" width="9.140625" style="556"/>
    <col min="16142" max="16142" width="2.7109375" style="556" customWidth="1"/>
    <col min="16143" max="16147" width="9.140625" style="556"/>
    <col min="16148" max="16150" width="10.7109375" style="556" customWidth="1"/>
    <col min="16151" max="16151" width="9.140625" style="556"/>
    <col min="16152" max="16154" width="10.7109375" style="556" customWidth="1"/>
    <col min="16155" max="16156" width="12.7109375" style="556" customWidth="1"/>
    <col min="16157" max="16384" width="9.140625" style="556"/>
  </cols>
  <sheetData>
    <row r="2" spans="2:28" ht="20.25" x14ac:dyDescent="0.3">
      <c r="B2" s="555" t="s">
        <v>718</v>
      </c>
    </row>
    <row r="3" spans="2:28" ht="13.5" thickBot="1" x14ac:dyDescent="0.25"/>
    <row r="4" spans="2:28" ht="13.5" thickBot="1" x14ac:dyDescent="0.25">
      <c r="U4" s="1299" t="s">
        <v>1140</v>
      </c>
      <c r="V4" s="1300"/>
      <c r="W4" s="1299" t="s">
        <v>1141</v>
      </c>
      <c r="X4" s="1300"/>
      <c r="Y4" s="1299" t="s">
        <v>1142</v>
      </c>
      <c r="Z4" s="1300"/>
      <c r="AA4" s="1299" t="s">
        <v>1143</v>
      </c>
      <c r="AB4" s="1300"/>
    </row>
    <row r="5" spans="2:28" ht="15.75" x14ac:dyDescent="0.25">
      <c r="B5" s="557" t="s">
        <v>708</v>
      </c>
      <c r="C5" s="559" t="s">
        <v>1</v>
      </c>
      <c r="D5" s="559" t="s">
        <v>15</v>
      </c>
      <c r="E5" s="666" t="s">
        <v>684</v>
      </c>
      <c r="F5" s="680"/>
      <c r="G5" s="559" t="s">
        <v>709</v>
      </c>
      <c r="H5" s="667"/>
      <c r="J5" s="606" t="s">
        <v>710</v>
      </c>
      <c r="K5" s="607"/>
      <c r="L5" s="563"/>
      <c r="N5" s="766"/>
      <c r="P5" s="682" t="s">
        <v>634</v>
      </c>
      <c r="Q5" s="631" t="s">
        <v>634</v>
      </c>
      <c r="R5" s="631" t="s">
        <v>355</v>
      </c>
      <c r="S5" s="631" t="s">
        <v>355</v>
      </c>
      <c r="T5" s="767" t="s">
        <v>504</v>
      </c>
      <c r="U5" s="681" t="s">
        <v>1</v>
      </c>
      <c r="V5" s="559" t="s">
        <v>15</v>
      </c>
      <c r="W5" s="683" t="s">
        <v>711</v>
      </c>
      <c r="X5" s="768" t="s">
        <v>711</v>
      </c>
      <c r="Y5" s="768" t="s">
        <v>712</v>
      </c>
      <c r="Z5" s="768" t="s">
        <v>712</v>
      </c>
      <c r="AA5" s="768" t="s">
        <v>1</v>
      </c>
      <c r="AB5" s="684" t="s">
        <v>15</v>
      </c>
    </row>
    <row r="6" spans="2:28" ht="15.75" x14ac:dyDescent="0.25">
      <c r="B6" s="769" t="s">
        <v>76</v>
      </c>
      <c r="C6" s="569" t="s">
        <v>1</v>
      </c>
      <c r="D6" s="569" t="s">
        <v>15</v>
      </c>
      <c r="E6" s="586" t="s">
        <v>1</v>
      </c>
      <c r="F6" s="685" t="s">
        <v>15</v>
      </c>
      <c r="G6" s="586" t="s">
        <v>1</v>
      </c>
      <c r="H6" s="587" t="s">
        <v>15</v>
      </c>
      <c r="J6" s="572" t="s">
        <v>531</v>
      </c>
      <c r="K6" s="609" t="s">
        <v>477</v>
      </c>
      <c r="L6" s="573" t="s">
        <v>359</v>
      </c>
      <c r="N6" s="766"/>
      <c r="P6" s="593" t="s">
        <v>3</v>
      </c>
      <c r="Q6" s="594" t="s">
        <v>521</v>
      </c>
      <c r="R6" s="594" t="s">
        <v>3</v>
      </c>
      <c r="S6" s="594" t="s">
        <v>521</v>
      </c>
      <c r="T6" s="770" t="s">
        <v>506</v>
      </c>
      <c r="U6" s="686" t="s">
        <v>359</v>
      </c>
      <c r="V6" s="569" t="s">
        <v>359</v>
      </c>
      <c r="W6" s="687" t="s">
        <v>1</v>
      </c>
      <c r="X6" s="771" t="s">
        <v>15</v>
      </c>
      <c r="Y6" s="771" t="s">
        <v>1</v>
      </c>
      <c r="Z6" s="771" t="s">
        <v>15</v>
      </c>
      <c r="AA6" s="771" t="s">
        <v>713</v>
      </c>
      <c r="AB6" s="688" t="s">
        <v>713</v>
      </c>
    </row>
    <row r="7" spans="2:28" ht="15.75" x14ac:dyDescent="0.25">
      <c r="B7" s="769"/>
      <c r="C7" s="569" t="s">
        <v>0</v>
      </c>
      <c r="D7" s="569" t="s">
        <v>0</v>
      </c>
      <c r="E7" s="586" t="s">
        <v>0</v>
      </c>
      <c r="F7" s="685" t="s">
        <v>0</v>
      </c>
      <c r="G7" s="586" t="s">
        <v>0</v>
      </c>
      <c r="H7" s="587" t="s">
        <v>0</v>
      </c>
      <c r="J7" s="572" t="s">
        <v>714</v>
      </c>
      <c r="K7" s="609" t="s">
        <v>484</v>
      </c>
      <c r="L7" s="573" t="s">
        <v>483</v>
      </c>
      <c r="N7" s="766"/>
      <c r="P7" s="593"/>
      <c r="Q7" s="594"/>
      <c r="R7" s="594"/>
      <c r="S7" s="594"/>
      <c r="T7" s="770" t="s">
        <v>3</v>
      </c>
      <c r="U7" s="686" t="s">
        <v>3</v>
      </c>
      <c r="V7" s="569" t="s">
        <v>3</v>
      </c>
      <c r="W7" s="687" t="s">
        <v>359</v>
      </c>
      <c r="X7" s="771" t="s">
        <v>359</v>
      </c>
      <c r="Y7" s="771" t="s">
        <v>359</v>
      </c>
      <c r="Z7" s="771" t="s">
        <v>359</v>
      </c>
      <c r="AA7" s="771" t="s">
        <v>715</v>
      </c>
      <c r="AB7" s="688" t="s">
        <v>715</v>
      </c>
    </row>
    <row r="8" spans="2:28" ht="15.75" x14ac:dyDescent="0.25">
      <c r="B8" s="769"/>
      <c r="C8" s="569"/>
      <c r="D8" s="569"/>
      <c r="E8" s="586"/>
      <c r="F8" s="685"/>
      <c r="G8" s="569"/>
      <c r="H8" s="587"/>
      <c r="J8" s="572"/>
      <c r="K8" s="609"/>
      <c r="L8" s="573"/>
      <c r="N8" s="766"/>
      <c r="P8" s="593"/>
      <c r="Q8" s="594"/>
      <c r="R8" s="594"/>
      <c r="S8" s="594"/>
      <c r="T8" s="770"/>
      <c r="U8" s="686"/>
      <c r="V8" s="569"/>
      <c r="W8" s="687"/>
      <c r="X8" s="771"/>
      <c r="Y8" s="771"/>
      <c r="Z8" s="771"/>
      <c r="AA8" s="771"/>
      <c r="AB8" s="688"/>
    </row>
    <row r="9" spans="2:28" ht="13.5" thickBot="1" x14ac:dyDescent="0.25">
      <c r="B9" s="577" t="s">
        <v>0</v>
      </c>
      <c r="C9" s="579" t="s">
        <v>0</v>
      </c>
      <c r="D9" s="579" t="s">
        <v>0</v>
      </c>
      <c r="E9" s="692" t="s">
        <v>0</v>
      </c>
      <c r="F9" s="693" t="s">
        <v>0</v>
      </c>
      <c r="G9" s="579" t="s">
        <v>0</v>
      </c>
      <c r="H9" s="695" t="s">
        <v>0</v>
      </c>
      <c r="J9" s="772" t="s">
        <v>0</v>
      </c>
      <c r="K9" s="626" t="s">
        <v>0</v>
      </c>
      <c r="L9" s="773" t="s">
        <v>0</v>
      </c>
      <c r="N9" s="766"/>
      <c r="P9" s="603" t="s">
        <v>0</v>
      </c>
      <c r="Q9" s="604" t="s">
        <v>0</v>
      </c>
      <c r="R9" s="604" t="s">
        <v>0</v>
      </c>
      <c r="S9" s="604" t="s">
        <v>0</v>
      </c>
      <c r="T9" s="774" t="s">
        <v>0</v>
      </c>
      <c r="U9" s="712" t="s">
        <v>0</v>
      </c>
      <c r="V9" s="775" t="s">
        <v>0</v>
      </c>
      <c r="W9" s="776" t="s">
        <v>0</v>
      </c>
      <c r="X9" s="777" t="s">
        <v>0</v>
      </c>
      <c r="Y9" s="777" t="s">
        <v>0</v>
      </c>
      <c r="Z9" s="777" t="s">
        <v>0</v>
      </c>
      <c r="AA9" s="777" t="s">
        <v>0</v>
      </c>
      <c r="AB9" s="778" t="s">
        <v>0</v>
      </c>
    </row>
    <row r="10" spans="2:28" x14ac:dyDescent="0.2">
      <c r="B10" s="567"/>
      <c r="C10" s="569"/>
      <c r="D10" s="569"/>
      <c r="E10" s="586"/>
      <c r="F10" s="569"/>
      <c r="G10" s="586"/>
      <c r="H10" s="587"/>
      <c r="J10" s="572"/>
      <c r="K10" s="609"/>
      <c r="L10" s="573"/>
      <c r="N10" s="766"/>
      <c r="P10" s="593"/>
      <c r="Q10" s="594"/>
      <c r="R10" s="594"/>
      <c r="S10" s="594"/>
      <c r="T10" s="770"/>
      <c r="U10" s="686"/>
      <c r="V10" s="569"/>
      <c r="W10" s="687"/>
      <c r="X10" s="771"/>
      <c r="Y10" s="771"/>
      <c r="Z10" s="771"/>
      <c r="AA10" s="771"/>
      <c r="AB10" s="688"/>
    </row>
    <row r="11" spans="2:28" x14ac:dyDescent="0.2">
      <c r="B11" s="567"/>
      <c r="C11" s="569"/>
      <c r="D11" s="569"/>
      <c r="E11" s="586"/>
      <c r="F11" s="569"/>
      <c r="G11" s="586"/>
      <c r="H11" s="587"/>
      <c r="J11" s="572"/>
      <c r="K11" s="609"/>
      <c r="L11" s="573"/>
      <c r="N11" s="766"/>
      <c r="P11" s="593"/>
      <c r="Q11" s="594"/>
      <c r="R11" s="594"/>
      <c r="S11" s="594"/>
      <c r="T11" s="770"/>
      <c r="U11" s="686"/>
      <c r="V11" s="569"/>
      <c r="W11" s="687" t="s">
        <v>0</v>
      </c>
      <c r="X11" s="771" t="s">
        <v>0</v>
      </c>
      <c r="Y11" s="771"/>
      <c r="Z11" s="771"/>
      <c r="AA11" s="771"/>
      <c r="AB11" s="688"/>
    </row>
    <row r="12" spans="2:28" x14ac:dyDescent="0.2">
      <c r="B12" s="567" t="s">
        <v>485</v>
      </c>
      <c r="C12" s="588">
        <v>0.4</v>
      </c>
      <c r="D12" s="588">
        <v>0.4</v>
      </c>
      <c r="E12" s="589">
        <v>20</v>
      </c>
      <c r="F12" s="650">
        <v>10</v>
      </c>
      <c r="G12" s="589">
        <v>20</v>
      </c>
      <c r="H12" s="590">
        <f>((1+F12/100)*(1+V12/100)-1)*100</f>
        <v>10.000000000000009</v>
      </c>
      <c r="J12" s="591">
        <f>(C12-D12)*((1+F12/100)/(1+F$19/100)-1)</f>
        <v>0</v>
      </c>
      <c r="K12" s="663">
        <f>C12*((1+E12/100)/(1+F12/100)-1)*(1+F12/100)/(1+T$19/100)</f>
        <v>3.8022813688212899E-2</v>
      </c>
      <c r="L12" s="592">
        <f>(C12-D12)*((1+V12/100)/(1+X$19/100)-1)</f>
        <v>0</v>
      </c>
      <c r="N12" s="766"/>
      <c r="P12" s="654">
        <f>+C12*E12</f>
        <v>8</v>
      </c>
      <c r="Q12" s="655">
        <f>+D12*F12</f>
        <v>4</v>
      </c>
      <c r="R12" s="655">
        <f>+C12*G12</f>
        <v>8</v>
      </c>
      <c r="S12" s="655">
        <f>+D12*H12</f>
        <v>4.0000000000000036</v>
      </c>
      <c r="T12" s="779">
        <f>+C12*F12</f>
        <v>4</v>
      </c>
      <c r="U12" s="703">
        <f>((1+G12/100)/(1+E12/100)-1)*100</f>
        <v>0</v>
      </c>
      <c r="V12" s="650">
        <v>0</v>
      </c>
      <c r="W12" s="780">
        <f>+C12*U12</f>
        <v>0</v>
      </c>
      <c r="X12" s="781">
        <f>+D12*V12</f>
        <v>0</v>
      </c>
      <c r="Y12" s="782">
        <f>+C12*U12*(1+E12/100)/(1+E$19/100)</f>
        <v>0</v>
      </c>
      <c r="Z12" s="782">
        <f>+D12*V12*(1+F12/100)/(1+F$19/100)</f>
        <v>0</v>
      </c>
      <c r="AA12" s="783" t="s">
        <v>0</v>
      </c>
      <c r="AB12" s="784" t="s">
        <v>0</v>
      </c>
    </row>
    <row r="13" spans="2:28" x14ac:dyDescent="0.2">
      <c r="B13" s="567"/>
      <c r="C13" s="588"/>
      <c r="D13" s="588"/>
      <c r="E13" s="589"/>
      <c r="F13" s="650"/>
      <c r="G13" s="589"/>
      <c r="H13" s="590"/>
      <c r="J13" s="591"/>
      <c r="K13" s="663"/>
      <c r="L13" s="573"/>
      <c r="N13" s="766"/>
      <c r="P13" s="654"/>
      <c r="Q13" s="655"/>
      <c r="R13" s="655"/>
      <c r="S13" s="655"/>
      <c r="T13" s="779"/>
      <c r="U13" s="703"/>
      <c r="V13" s="650"/>
      <c r="W13" s="687"/>
      <c r="X13" s="771"/>
      <c r="Y13" s="782"/>
      <c r="Z13" s="782"/>
      <c r="AA13" s="783"/>
      <c r="AB13" s="784"/>
    </row>
    <row r="14" spans="2:28" x14ac:dyDescent="0.2">
      <c r="B14" s="567" t="s">
        <v>486</v>
      </c>
      <c r="C14" s="588">
        <v>0.3</v>
      </c>
      <c r="D14" s="588">
        <v>0.2</v>
      </c>
      <c r="E14" s="589">
        <v>-5</v>
      </c>
      <c r="F14" s="650">
        <v>-4</v>
      </c>
      <c r="G14" s="589">
        <v>4.5</v>
      </c>
      <c r="H14" s="590">
        <f>((1+F14/100)*(1+V14/100)-1)*100</f>
        <v>5.600000000000005</v>
      </c>
      <c r="J14" s="591">
        <f>(C14-D14)*((1+F14/100)/(1+F$19/100)-1)</f>
        <v>-9.7744360902255675E-3</v>
      </c>
      <c r="K14" s="663">
        <f>C14*((1+E14/100)/(1+F14/100)-1)*(1+F14/100)/(1+T$19/100)</f>
        <v>-2.8517110266159593E-3</v>
      </c>
      <c r="L14" s="592">
        <f>(C14-D14)*((1+V14/100)/(1+X$19/100)-1)</f>
        <v>0</v>
      </c>
      <c r="N14" s="766"/>
      <c r="P14" s="654">
        <f>+C14*E14</f>
        <v>-1.5</v>
      </c>
      <c r="Q14" s="655">
        <f>+D14*F14</f>
        <v>-0.8</v>
      </c>
      <c r="R14" s="655">
        <f>+C14*G14</f>
        <v>1.3499999999999999</v>
      </c>
      <c r="S14" s="655">
        <f>+D14*H14</f>
        <v>1.120000000000001</v>
      </c>
      <c r="T14" s="779">
        <f>+C14*F14</f>
        <v>-1.2</v>
      </c>
      <c r="U14" s="703">
        <f>((1+G14/100)/(1+E14/100)-1)*100</f>
        <v>9.9999999999999858</v>
      </c>
      <c r="V14" s="650">
        <v>10</v>
      </c>
      <c r="W14" s="780">
        <f>+C14*U14</f>
        <v>2.9999999999999956</v>
      </c>
      <c r="X14" s="781">
        <f>+D14*V14</f>
        <v>2</v>
      </c>
      <c r="Y14" s="782">
        <f>+C14*U14*(1+E14/100)/(1+E$19/100)</f>
        <v>2.6315789473684172</v>
      </c>
      <c r="Z14" s="782">
        <f>+D14*V14*(1+F14/100)/(1+F$19/100)</f>
        <v>1.8045112781954886</v>
      </c>
      <c r="AA14" s="783" t="s">
        <v>0</v>
      </c>
      <c r="AB14" s="784" t="s">
        <v>0</v>
      </c>
    </row>
    <row r="15" spans="2:28" x14ac:dyDescent="0.2">
      <c r="B15" s="567"/>
      <c r="C15" s="588"/>
      <c r="D15" s="588"/>
      <c r="E15" s="589"/>
      <c r="F15" s="650"/>
      <c r="G15" s="589"/>
      <c r="H15" s="590"/>
      <c r="J15" s="591"/>
      <c r="K15" s="663"/>
      <c r="L15" s="573"/>
      <c r="N15" s="766"/>
      <c r="P15" s="654"/>
      <c r="Q15" s="655"/>
      <c r="R15" s="655"/>
      <c r="S15" s="655"/>
      <c r="T15" s="779"/>
      <c r="U15" s="703"/>
      <c r="V15" s="650"/>
      <c r="W15" s="687"/>
      <c r="X15" s="771"/>
      <c r="Y15" s="782"/>
      <c r="Z15" s="782"/>
      <c r="AA15" s="783"/>
      <c r="AB15" s="784"/>
    </row>
    <row r="16" spans="2:28" x14ac:dyDescent="0.2">
      <c r="B16" s="567" t="s">
        <v>487</v>
      </c>
      <c r="C16" s="588">
        <v>0.3</v>
      </c>
      <c r="D16" s="588">
        <v>0.4</v>
      </c>
      <c r="E16" s="589">
        <v>6</v>
      </c>
      <c r="F16" s="650">
        <v>8</v>
      </c>
      <c r="G16" s="589">
        <v>27.2</v>
      </c>
      <c r="H16" s="590">
        <f>((1+F16/100)*(1+V16/100)-1)*100</f>
        <v>29.600000000000005</v>
      </c>
      <c r="J16" s="591">
        <f>(C16-D16)*((1+F16/100)/(1+F$19/100)-1)</f>
        <v>-1.5037593984962522E-3</v>
      </c>
      <c r="K16" s="663">
        <f>C16*((1+E16/100)/(1+F16/100)-1)*(1+F16/100)/(1+T$19/100)</f>
        <v>-5.7034220532319307E-3</v>
      </c>
      <c r="L16" s="592">
        <f>(C16-D16)*((1+V16/100)/(1+X$19/100)-1)</f>
        <v>-9.0909090909090853E-3</v>
      </c>
      <c r="N16" s="766"/>
      <c r="P16" s="654">
        <f>+C16*E16</f>
        <v>1.7999999999999998</v>
      </c>
      <c r="Q16" s="655">
        <f>+D16*F16</f>
        <v>3.2</v>
      </c>
      <c r="R16" s="655">
        <f>+C16*G16</f>
        <v>8.16</v>
      </c>
      <c r="S16" s="655">
        <f>+D16*H16</f>
        <v>11.840000000000003</v>
      </c>
      <c r="T16" s="779">
        <f>+C16*F16</f>
        <v>2.4</v>
      </c>
      <c r="U16" s="703">
        <f>((1+G16/100)/(1+E16/100)-1)*100</f>
        <v>19.999999999999996</v>
      </c>
      <c r="V16" s="650">
        <v>20</v>
      </c>
      <c r="W16" s="780">
        <f>+C16*U16</f>
        <v>5.9999999999999991</v>
      </c>
      <c r="X16" s="781">
        <f>+D16*V16</f>
        <v>8</v>
      </c>
      <c r="Y16" s="782">
        <f>+C16*U16*(1+E16/100)/(1+E$19/100)</f>
        <v>5.8725761772853184</v>
      </c>
      <c r="Z16" s="782">
        <f>+D16*V16*(1+F16/100)/(1+F$19/100)</f>
        <v>8.1203007518797001</v>
      </c>
      <c r="AA16" s="783" t="s">
        <v>0</v>
      </c>
      <c r="AB16" s="784" t="s">
        <v>0</v>
      </c>
    </row>
    <row r="17" spans="2:28" ht="13.5" thickBot="1" x14ac:dyDescent="0.25">
      <c r="B17" s="657"/>
      <c r="C17" s="658"/>
      <c r="D17" s="658"/>
      <c r="E17" s="659"/>
      <c r="F17" s="706"/>
      <c r="G17" s="659"/>
      <c r="H17" s="660"/>
      <c r="J17" s="785"/>
      <c r="K17" s="786"/>
      <c r="L17" s="787"/>
      <c r="N17" s="766"/>
      <c r="P17" s="654"/>
      <c r="Q17" s="655"/>
      <c r="R17" s="655"/>
      <c r="S17" s="655"/>
      <c r="T17" s="779"/>
      <c r="U17" s="703"/>
      <c r="V17" s="650"/>
      <c r="W17" s="780"/>
      <c r="X17" s="781"/>
      <c r="Y17" s="781"/>
      <c r="Z17" s="781"/>
      <c r="AA17" s="783"/>
      <c r="AB17" s="784"/>
    </row>
    <row r="18" spans="2:28" x14ac:dyDescent="0.2">
      <c r="B18" s="664"/>
      <c r="C18" s="665"/>
      <c r="D18" s="665"/>
      <c r="E18" s="666"/>
      <c r="F18" s="559"/>
      <c r="G18" s="666"/>
      <c r="H18" s="667"/>
      <c r="J18" s="591"/>
      <c r="K18" s="663"/>
      <c r="L18" s="573"/>
      <c r="N18" s="766"/>
      <c r="P18" s="788"/>
      <c r="Q18" s="789"/>
      <c r="R18" s="789"/>
      <c r="S18" s="789"/>
      <c r="T18" s="790"/>
      <c r="U18" s="681"/>
      <c r="V18" s="791"/>
      <c r="W18" s="687"/>
      <c r="X18" s="771"/>
      <c r="Y18" s="771"/>
      <c r="Z18" s="771"/>
      <c r="AA18" s="771"/>
      <c r="AB18" s="688"/>
    </row>
    <row r="19" spans="2:28" ht="16.5" thickBot="1" x14ac:dyDescent="0.3">
      <c r="B19" s="595" t="s">
        <v>16</v>
      </c>
      <c r="C19" s="596">
        <f>SUM(C3:C16)</f>
        <v>1</v>
      </c>
      <c r="D19" s="596">
        <v>1</v>
      </c>
      <c r="E19" s="598">
        <f>+P19</f>
        <v>8.3000000000000007</v>
      </c>
      <c r="F19" s="792">
        <f>+Q19</f>
        <v>6.4</v>
      </c>
      <c r="G19" s="668">
        <f>+R19</f>
        <v>17.509999999999998</v>
      </c>
      <c r="H19" s="669">
        <f>+S19</f>
        <v>16.960000000000008</v>
      </c>
      <c r="J19" s="601">
        <f>SUM(J12:J17)</f>
        <v>-1.1278195488721819E-2</v>
      </c>
      <c r="K19" s="793">
        <f>SUM(K3:K17)</f>
        <v>2.9467680608365007E-2</v>
      </c>
      <c r="L19" s="602">
        <f>SUM(L3:L17)</f>
        <v>-9.0909090909090853E-3</v>
      </c>
      <c r="N19" s="766"/>
      <c r="P19" s="794">
        <f>SUM(P12:P16)</f>
        <v>8.3000000000000007</v>
      </c>
      <c r="Q19" s="795">
        <f>SUM(Q12:Q16)</f>
        <v>6.4</v>
      </c>
      <c r="R19" s="795">
        <f>SUM(R12:R16)</f>
        <v>17.509999999999998</v>
      </c>
      <c r="S19" s="795">
        <f>SUM(S12:S16)</f>
        <v>16.960000000000008</v>
      </c>
      <c r="T19" s="796">
        <f>SUM(T12:T16)</f>
        <v>5.1999999999999993</v>
      </c>
      <c r="U19" s="797">
        <f>((1+G19/100)/(1+E19/100)-1)*100</f>
        <v>8.5041551246537459</v>
      </c>
      <c r="V19" s="798">
        <f>((1+H19/100)/(1+F19/100)-1)*100</f>
        <v>9.9248120300751808</v>
      </c>
      <c r="W19" s="799">
        <f>SUM(W12:W16)</f>
        <v>8.9999999999999947</v>
      </c>
      <c r="X19" s="782">
        <f>SUM(X12:X16)</f>
        <v>10</v>
      </c>
      <c r="Y19" s="782">
        <f>SUM(Y12:Y16)</f>
        <v>8.5041551246537352</v>
      </c>
      <c r="Z19" s="782">
        <f>SUM(Z12:Z16)</f>
        <v>9.9248120300751879</v>
      </c>
      <c r="AA19" s="783">
        <f>+(1+Y19/100)/(1+W19/100)-1</f>
        <v>-4.5490355536352833E-3</v>
      </c>
      <c r="AB19" s="784">
        <f>+(1+X19/100)/(1+Z19/100)-1</f>
        <v>6.8399452804390748E-4</v>
      </c>
    </row>
    <row r="20" spans="2:28" x14ac:dyDescent="0.2">
      <c r="K20" s="562"/>
      <c r="L20" s="563"/>
      <c r="N20" s="766"/>
      <c r="W20" s="687"/>
      <c r="X20" s="800" t="s">
        <v>223</v>
      </c>
      <c r="Y20" s="801">
        <f>+(1+G19/100)/(1+E19/100)-1</f>
        <v>8.504155124653745E-2</v>
      </c>
      <c r="Z20" s="801">
        <f>+(1+H19/100)/(1+F19/100)-1</f>
        <v>9.9248120300751808E-2</v>
      </c>
      <c r="AA20" s="783" t="s">
        <v>0</v>
      </c>
      <c r="AB20" s="784" t="s">
        <v>0</v>
      </c>
    </row>
    <row r="21" spans="2:28" ht="13.5" thickBot="1" x14ac:dyDescent="0.25">
      <c r="K21" s="613" t="s">
        <v>715</v>
      </c>
      <c r="L21" s="615">
        <f>+AB21</f>
        <v>-3.8681525410179107E-3</v>
      </c>
      <c r="N21" s="766"/>
      <c r="W21" s="776"/>
      <c r="X21" s="777"/>
      <c r="Y21" s="777"/>
      <c r="Z21" s="777" t="s">
        <v>716</v>
      </c>
      <c r="AA21" s="777"/>
      <c r="AB21" s="802">
        <f>(1+AA19)*(1+AB19)-1</f>
        <v>-3.8681525410179107E-3</v>
      </c>
    </row>
    <row r="22" spans="2:28" ht="13.5" thickBot="1" x14ac:dyDescent="0.25">
      <c r="N22" s="766"/>
      <c r="P22" s="556" t="s">
        <v>0</v>
      </c>
      <c r="U22" s="803"/>
      <c r="V22" s="556" t="s">
        <v>0</v>
      </c>
    </row>
    <row r="23" spans="2:28" ht="15.75" x14ac:dyDescent="0.25">
      <c r="J23" s="606" t="s">
        <v>507</v>
      </c>
      <c r="K23" s="676"/>
      <c r="L23" s="608">
        <f>(1+G19/100)/(1+H19/100)-1</f>
        <v>4.7024623803009202E-3</v>
      </c>
      <c r="N23" s="766"/>
    </row>
    <row r="24" spans="2:28" x14ac:dyDescent="0.2">
      <c r="J24" s="572"/>
      <c r="K24" s="609"/>
      <c r="L24" s="804"/>
      <c r="N24" s="766"/>
      <c r="P24" s="556" t="s">
        <v>223</v>
      </c>
    </row>
    <row r="25" spans="2:28" x14ac:dyDescent="0.2">
      <c r="J25" s="572" t="s">
        <v>476</v>
      </c>
      <c r="K25" s="609"/>
      <c r="L25" s="610">
        <f>+J19</f>
        <v>-1.1278195488721819E-2</v>
      </c>
      <c r="N25" s="766"/>
      <c r="P25" s="764">
        <f>+(1+T19/100)/(1+F19/100)-1</f>
        <v>-1.1278195488721776E-2</v>
      </c>
    </row>
    <row r="26" spans="2:28" x14ac:dyDescent="0.2">
      <c r="I26" s="600"/>
      <c r="J26" s="572" t="s">
        <v>484</v>
      </c>
      <c r="K26" s="609"/>
      <c r="L26" s="610">
        <f>+K19</f>
        <v>2.9467680608365007E-2</v>
      </c>
      <c r="N26" s="766"/>
      <c r="P26" s="805">
        <f>+(1+E19/100)/(1+T19/100)-1</f>
        <v>2.946768060836491E-2</v>
      </c>
    </row>
    <row r="27" spans="2:28" ht="12" customHeight="1" x14ac:dyDescent="0.2">
      <c r="J27" s="572" t="s">
        <v>717</v>
      </c>
      <c r="K27" s="609"/>
      <c r="L27" s="610">
        <f>+L19</f>
        <v>-9.0909090909090853E-3</v>
      </c>
      <c r="N27" s="766"/>
      <c r="P27" s="765">
        <f>+(1+W19/100)/(1+X19/100)-1</f>
        <v>-9.0909090909092605E-3</v>
      </c>
    </row>
    <row r="28" spans="2:28" x14ac:dyDescent="0.2">
      <c r="J28" s="572" t="s">
        <v>715</v>
      </c>
      <c r="K28" s="609"/>
      <c r="L28" s="610">
        <f>+L21</f>
        <v>-3.8681525410179107E-3</v>
      </c>
      <c r="N28" s="766"/>
    </row>
    <row r="29" spans="2:28" ht="13.5" thickBot="1" x14ac:dyDescent="0.25">
      <c r="J29" s="613" t="s">
        <v>141</v>
      </c>
      <c r="K29" s="614"/>
      <c r="L29" s="615">
        <f>(1+L23)/((1+L25)*(1+L26)*(1+L27)*(1+L28))-1</f>
        <v>0</v>
      </c>
      <c r="N29" s="766"/>
    </row>
    <row r="30" spans="2:28" x14ac:dyDescent="0.2">
      <c r="N30" s="766"/>
      <c r="P30" s="556" t="s">
        <v>0</v>
      </c>
      <c r="U30" s="803"/>
      <c r="V30" s="556" t="s">
        <v>0</v>
      </c>
    </row>
  </sheetData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2769" r:id="rId4">
          <objectPr defaultSize="0" autoPict="0" r:id="rId5">
            <anchor moveWithCells="1" sizeWithCells="1">
              <from>
                <xdr:col>15</xdr:col>
                <xdr:colOff>257175</xdr:colOff>
                <xdr:row>7</xdr:row>
                <xdr:rowOff>28575</xdr:rowOff>
              </from>
              <to>
                <xdr:col>15</xdr:col>
                <xdr:colOff>409575</xdr:colOff>
                <xdr:row>8</xdr:row>
                <xdr:rowOff>47625</xdr:rowOff>
              </to>
            </anchor>
          </objectPr>
        </oleObject>
      </mc:Choice>
      <mc:Fallback>
        <oleObject progId="Equation.3" shapeId="32769" r:id="rId4"/>
      </mc:Fallback>
    </mc:AlternateContent>
    <mc:AlternateContent xmlns:mc="http://schemas.openxmlformats.org/markup-compatibility/2006">
      <mc:Choice Requires="x14">
        <oleObject progId="Equation.3" shapeId="32770" r:id="rId6">
          <objectPr defaultSize="0" autoPict="0" r:id="rId7">
            <anchor moveWithCells="1" sizeWithCells="1">
              <from>
                <xdr:col>16</xdr:col>
                <xdr:colOff>104775</xdr:colOff>
                <xdr:row>7</xdr:row>
                <xdr:rowOff>28575</xdr:rowOff>
              </from>
              <to>
                <xdr:col>16</xdr:col>
                <xdr:colOff>285750</xdr:colOff>
                <xdr:row>8</xdr:row>
                <xdr:rowOff>47625</xdr:rowOff>
              </to>
            </anchor>
          </objectPr>
        </oleObject>
      </mc:Choice>
      <mc:Fallback>
        <oleObject progId="Equation.3" shapeId="32770" r:id="rId6"/>
      </mc:Fallback>
    </mc:AlternateContent>
    <mc:AlternateContent xmlns:mc="http://schemas.openxmlformats.org/markup-compatibility/2006">
      <mc:Choice Requires="x14">
        <oleObject progId="Equation.3" shapeId="32771" r:id="rId8">
          <objectPr defaultSize="0" autoPict="0" r:id="rId9">
            <anchor moveWithCells="1" sizeWithCells="1">
              <from>
                <xdr:col>17</xdr:col>
                <xdr:colOff>142875</xdr:colOff>
                <xdr:row>7</xdr:row>
                <xdr:rowOff>47625</xdr:rowOff>
              </from>
              <to>
                <xdr:col>17</xdr:col>
                <xdr:colOff>295275</xdr:colOff>
                <xdr:row>8</xdr:row>
                <xdr:rowOff>9525</xdr:rowOff>
              </to>
            </anchor>
          </objectPr>
        </oleObject>
      </mc:Choice>
      <mc:Fallback>
        <oleObject progId="Equation.3" shapeId="32771" r:id="rId8"/>
      </mc:Fallback>
    </mc:AlternateContent>
    <mc:AlternateContent xmlns:mc="http://schemas.openxmlformats.org/markup-compatibility/2006">
      <mc:Choice Requires="x14">
        <oleObject progId="Equation.3" shapeId="32772" r:id="rId10">
          <objectPr defaultSize="0" autoPict="0" r:id="rId11">
            <anchor moveWithCells="1" sizeWithCells="1">
              <from>
                <xdr:col>18</xdr:col>
                <xdr:colOff>123825</xdr:colOff>
                <xdr:row>7</xdr:row>
                <xdr:rowOff>47625</xdr:rowOff>
              </from>
              <to>
                <xdr:col>18</xdr:col>
                <xdr:colOff>247650</xdr:colOff>
                <xdr:row>8</xdr:row>
                <xdr:rowOff>28575</xdr:rowOff>
              </to>
            </anchor>
          </objectPr>
        </oleObject>
      </mc:Choice>
      <mc:Fallback>
        <oleObject progId="Equation.3" shapeId="32772" r:id="rId10"/>
      </mc:Fallback>
    </mc:AlternateContent>
    <mc:AlternateContent xmlns:mc="http://schemas.openxmlformats.org/markup-compatibility/2006">
      <mc:Choice Requires="x14">
        <oleObject progId="Equation.3" shapeId="32773" r:id="rId12">
          <objectPr defaultSize="0" autoPict="0" r:id="rId13">
            <anchor moveWithCells="1" sizeWithCells="1">
              <from>
                <xdr:col>19</xdr:col>
                <xdr:colOff>276225</xdr:colOff>
                <xdr:row>7</xdr:row>
                <xdr:rowOff>19050</xdr:rowOff>
              </from>
              <to>
                <xdr:col>19</xdr:col>
                <xdr:colOff>495300</xdr:colOff>
                <xdr:row>8</xdr:row>
                <xdr:rowOff>47625</xdr:rowOff>
              </to>
            </anchor>
          </objectPr>
        </oleObject>
      </mc:Choice>
      <mc:Fallback>
        <oleObject progId="Equation.3" shapeId="32773" r:id="rId12"/>
      </mc:Fallback>
    </mc:AlternateContent>
    <mc:AlternateContent xmlns:mc="http://schemas.openxmlformats.org/markup-compatibility/2006">
      <mc:Choice Requires="x14">
        <oleObject progId="Equation.3" shapeId="32774" r:id="rId14">
          <objectPr defaultSize="0" autoPict="0" r:id="rId15">
            <anchor moveWithCells="1" sizeWithCells="1">
              <from>
                <xdr:col>22</xdr:col>
                <xdr:colOff>238125</xdr:colOff>
                <xdr:row>7</xdr:row>
                <xdr:rowOff>38100</xdr:rowOff>
              </from>
              <to>
                <xdr:col>22</xdr:col>
                <xdr:colOff>466725</xdr:colOff>
                <xdr:row>8</xdr:row>
                <xdr:rowOff>66675</xdr:rowOff>
              </to>
            </anchor>
          </objectPr>
        </oleObject>
      </mc:Choice>
      <mc:Fallback>
        <oleObject progId="Equation.3" shapeId="32774" r:id="rId14"/>
      </mc:Fallback>
    </mc:AlternateContent>
    <mc:AlternateContent xmlns:mc="http://schemas.openxmlformats.org/markup-compatibility/2006">
      <mc:Choice Requires="x14">
        <oleObject progId="Equation.3" shapeId="32775" r:id="rId16">
          <objectPr defaultSize="0" autoPict="0" r:id="rId17">
            <anchor moveWithCells="1" sizeWithCells="1">
              <from>
                <xdr:col>23</xdr:col>
                <xdr:colOff>228600</xdr:colOff>
                <xdr:row>7</xdr:row>
                <xdr:rowOff>38100</xdr:rowOff>
              </from>
              <to>
                <xdr:col>23</xdr:col>
                <xdr:colOff>409575</xdr:colOff>
                <xdr:row>8</xdr:row>
                <xdr:rowOff>66675</xdr:rowOff>
              </to>
            </anchor>
          </objectPr>
        </oleObject>
      </mc:Choice>
      <mc:Fallback>
        <oleObject progId="Equation.3" shapeId="32775" r:id="rId16"/>
      </mc:Fallback>
    </mc:AlternateContent>
    <mc:AlternateContent xmlns:mc="http://schemas.openxmlformats.org/markup-compatibility/2006">
      <mc:Choice Requires="x14">
        <oleObject progId="Equation.3" shapeId="32776" r:id="rId18">
          <objectPr defaultSize="0" autoPict="0" r:id="rId19">
            <anchor moveWithCells="1" sizeWithCells="1">
              <from>
                <xdr:col>20</xdr:col>
                <xdr:colOff>276225</xdr:colOff>
                <xdr:row>7</xdr:row>
                <xdr:rowOff>47625</xdr:rowOff>
              </from>
              <to>
                <xdr:col>20</xdr:col>
                <xdr:colOff>438150</xdr:colOff>
                <xdr:row>8</xdr:row>
                <xdr:rowOff>76200</xdr:rowOff>
              </to>
            </anchor>
          </objectPr>
        </oleObject>
      </mc:Choice>
      <mc:Fallback>
        <oleObject progId="Equation.3" shapeId="32776" r:id="rId18"/>
      </mc:Fallback>
    </mc:AlternateContent>
    <mc:AlternateContent xmlns:mc="http://schemas.openxmlformats.org/markup-compatibility/2006">
      <mc:Choice Requires="x14">
        <oleObject progId="Equation.3" shapeId="32777" r:id="rId20">
          <objectPr defaultSize="0" autoPict="0" r:id="rId19">
            <anchor moveWithCells="1" sizeWithCells="1">
              <from>
                <xdr:col>24</xdr:col>
                <xdr:colOff>276225</xdr:colOff>
                <xdr:row>7</xdr:row>
                <xdr:rowOff>47625</xdr:rowOff>
              </from>
              <to>
                <xdr:col>24</xdr:col>
                <xdr:colOff>438150</xdr:colOff>
                <xdr:row>8</xdr:row>
                <xdr:rowOff>76200</xdr:rowOff>
              </to>
            </anchor>
          </objectPr>
        </oleObject>
      </mc:Choice>
      <mc:Fallback>
        <oleObject progId="Equation.3" shapeId="32777" r:id="rId20"/>
      </mc:Fallback>
    </mc:AlternateContent>
    <mc:AlternateContent xmlns:mc="http://schemas.openxmlformats.org/markup-compatibility/2006">
      <mc:Choice Requires="x14">
        <oleObject progId="Equation.3" shapeId="32778" r:id="rId21">
          <objectPr defaultSize="0" autoPict="0" r:id="rId22">
            <anchor moveWithCells="1" sizeWithCells="1">
              <from>
                <xdr:col>21</xdr:col>
                <xdr:colOff>180975</xdr:colOff>
                <xdr:row>7</xdr:row>
                <xdr:rowOff>28575</xdr:rowOff>
              </from>
              <to>
                <xdr:col>21</xdr:col>
                <xdr:colOff>361950</xdr:colOff>
                <xdr:row>8</xdr:row>
                <xdr:rowOff>57150</xdr:rowOff>
              </to>
            </anchor>
          </objectPr>
        </oleObject>
      </mc:Choice>
      <mc:Fallback>
        <oleObject progId="Equation.3" shapeId="32778" r:id="rId21"/>
      </mc:Fallback>
    </mc:AlternateContent>
    <mc:AlternateContent xmlns:mc="http://schemas.openxmlformats.org/markup-compatibility/2006">
      <mc:Choice Requires="x14">
        <oleObject progId="Equation.3" shapeId="32779" r:id="rId23">
          <objectPr defaultSize="0" autoPict="0" r:id="rId22">
            <anchor moveWithCells="1" sizeWithCells="1">
              <from>
                <xdr:col>25</xdr:col>
                <xdr:colOff>209550</xdr:colOff>
                <xdr:row>7</xdr:row>
                <xdr:rowOff>38100</xdr:rowOff>
              </from>
              <to>
                <xdr:col>25</xdr:col>
                <xdr:colOff>390525</xdr:colOff>
                <xdr:row>8</xdr:row>
                <xdr:rowOff>66675</xdr:rowOff>
              </to>
            </anchor>
          </objectPr>
        </oleObject>
      </mc:Choice>
      <mc:Fallback>
        <oleObject progId="Equation.3" shapeId="32779" r:id="rId23"/>
      </mc:Fallback>
    </mc:AlternateContent>
    <mc:AlternateContent xmlns:mc="http://schemas.openxmlformats.org/markup-compatibility/2006">
      <mc:Choice Requires="x14">
        <oleObject progId="Equation.3" shapeId="32780" r:id="rId24">
          <objectPr defaultSize="0" autoPict="0" r:id="rId25">
            <anchor moveWithCells="1" sizeWithCells="1">
              <from>
                <xdr:col>2</xdr:col>
                <xdr:colOff>200025</xdr:colOff>
                <xdr:row>7</xdr:row>
                <xdr:rowOff>38100</xdr:rowOff>
              </from>
              <to>
                <xdr:col>2</xdr:col>
                <xdr:colOff>381000</xdr:colOff>
                <xdr:row>8</xdr:row>
                <xdr:rowOff>104775</xdr:rowOff>
              </to>
            </anchor>
          </objectPr>
        </oleObject>
      </mc:Choice>
      <mc:Fallback>
        <oleObject progId="Equation.3" shapeId="32780" r:id="rId24"/>
      </mc:Fallback>
    </mc:AlternateContent>
    <mc:AlternateContent xmlns:mc="http://schemas.openxmlformats.org/markup-compatibility/2006">
      <mc:Choice Requires="x14">
        <oleObject progId="Equation.3" shapeId="32781" r:id="rId26">
          <objectPr defaultSize="0" autoPict="0" r:id="rId27">
            <anchor moveWithCells="1" sizeWithCells="1">
              <from>
                <xdr:col>3</xdr:col>
                <xdr:colOff>190500</xdr:colOff>
                <xdr:row>7</xdr:row>
                <xdr:rowOff>38100</xdr:rowOff>
              </from>
              <to>
                <xdr:col>3</xdr:col>
                <xdr:colOff>381000</xdr:colOff>
                <xdr:row>8</xdr:row>
                <xdr:rowOff>104775</xdr:rowOff>
              </to>
            </anchor>
          </objectPr>
        </oleObject>
      </mc:Choice>
      <mc:Fallback>
        <oleObject progId="Equation.3" shapeId="32781" r:id="rId26"/>
      </mc:Fallback>
    </mc:AlternateContent>
    <mc:AlternateContent xmlns:mc="http://schemas.openxmlformats.org/markup-compatibility/2006">
      <mc:Choice Requires="x14">
        <oleObject progId="Equation.3" shapeId="32782" r:id="rId28">
          <objectPr defaultSize="0" autoPict="0" r:id="rId29">
            <anchor moveWithCells="1" sizeWithCells="1">
              <from>
                <xdr:col>4</xdr:col>
                <xdr:colOff>352425</xdr:colOff>
                <xdr:row>7</xdr:row>
                <xdr:rowOff>19050</xdr:rowOff>
              </from>
              <to>
                <xdr:col>4</xdr:col>
                <xdr:colOff>533400</xdr:colOff>
                <xdr:row>8</xdr:row>
                <xdr:rowOff>85725</xdr:rowOff>
              </to>
            </anchor>
          </objectPr>
        </oleObject>
      </mc:Choice>
      <mc:Fallback>
        <oleObject progId="Equation.3" shapeId="32782" r:id="rId28"/>
      </mc:Fallback>
    </mc:AlternateContent>
    <mc:AlternateContent xmlns:mc="http://schemas.openxmlformats.org/markup-compatibility/2006">
      <mc:Choice Requires="x14">
        <oleObject progId="Equation.3" shapeId="32783" r:id="rId30">
          <objectPr defaultSize="0" autoPict="0" r:id="rId31">
            <anchor moveWithCells="1" sizeWithCells="1">
              <from>
                <xdr:col>5</xdr:col>
                <xdr:colOff>304800</xdr:colOff>
                <xdr:row>7</xdr:row>
                <xdr:rowOff>38100</xdr:rowOff>
              </from>
              <to>
                <xdr:col>5</xdr:col>
                <xdr:colOff>514350</xdr:colOff>
                <xdr:row>8</xdr:row>
                <xdr:rowOff>104775</xdr:rowOff>
              </to>
            </anchor>
          </objectPr>
        </oleObject>
      </mc:Choice>
      <mc:Fallback>
        <oleObject progId="Equation.3" shapeId="32783" r:id="rId30"/>
      </mc:Fallback>
    </mc:AlternateContent>
    <mc:AlternateContent xmlns:mc="http://schemas.openxmlformats.org/markup-compatibility/2006">
      <mc:Choice Requires="x14">
        <oleObject progId="Equation.3" shapeId="32784" r:id="rId32">
          <objectPr defaultSize="0" autoPict="0" r:id="rId33">
            <anchor moveWithCells="1" sizeWithCells="1">
              <from>
                <xdr:col>6</xdr:col>
                <xdr:colOff>342900</xdr:colOff>
                <xdr:row>7</xdr:row>
                <xdr:rowOff>19050</xdr:rowOff>
              </from>
              <to>
                <xdr:col>6</xdr:col>
                <xdr:colOff>476250</xdr:colOff>
                <xdr:row>8</xdr:row>
                <xdr:rowOff>85725</xdr:rowOff>
              </to>
            </anchor>
          </objectPr>
        </oleObject>
      </mc:Choice>
      <mc:Fallback>
        <oleObject progId="Equation.3" shapeId="32784" r:id="rId32"/>
      </mc:Fallback>
    </mc:AlternateContent>
    <mc:AlternateContent xmlns:mc="http://schemas.openxmlformats.org/markup-compatibility/2006">
      <mc:Choice Requires="x14">
        <oleObject progId="Equation.3" shapeId="32785" r:id="rId34">
          <objectPr defaultSize="0" autoPict="0" r:id="rId35">
            <anchor moveWithCells="1" sizeWithCells="1">
              <from>
                <xdr:col>7</xdr:col>
                <xdr:colOff>285750</xdr:colOff>
                <xdr:row>7</xdr:row>
                <xdr:rowOff>38100</xdr:rowOff>
              </from>
              <to>
                <xdr:col>7</xdr:col>
                <xdr:colOff>438150</xdr:colOff>
                <xdr:row>8</xdr:row>
                <xdr:rowOff>104775</xdr:rowOff>
              </to>
            </anchor>
          </objectPr>
        </oleObject>
      </mc:Choice>
      <mc:Fallback>
        <oleObject progId="Equation.3" shapeId="32785" r:id="rId34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A053-5C95-4CC7-80C7-D8E2604E0458}">
  <dimension ref="B2:AD31"/>
  <sheetViews>
    <sheetView topLeftCell="F1" workbookViewId="0">
      <selection activeCell="P33" sqref="P33"/>
    </sheetView>
  </sheetViews>
  <sheetFormatPr defaultRowHeight="12.75" x14ac:dyDescent="0.2"/>
  <cols>
    <col min="1" max="1" width="9.140625" style="556"/>
    <col min="2" max="2" width="17.7109375" style="556" customWidth="1"/>
    <col min="3" max="8" width="10.7109375" style="556" customWidth="1"/>
    <col min="9" max="9" width="9.140625" style="556"/>
    <col min="10" max="10" width="10.7109375" style="556" customWidth="1"/>
    <col min="11" max="12" width="11.7109375" style="556" customWidth="1"/>
    <col min="13" max="13" width="10.7109375" style="556" customWidth="1"/>
    <col min="14" max="14" width="9.140625" style="556"/>
    <col min="15" max="15" width="2.7109375" style="556" customWidth="1"/>
    <col min="16" max="20" width="9.140625" style="556"/>
    <col min="21" max="22" width="10.7109375" style="556" customWidth="1"/>
    <col min="23" max="23" width="10.28515625" style="556" customWidth="1"/>
    <col min="24" max="24" width="11.28515625" style="556" customWidth="1"/>
    <col min="25" max="25" width="9.140625" style="556"/>
    <col min="26" max="28" width="10.7109375" style="556" customWidth="1"/>
    <col min="29" max="30" width="12.7109375" style="556" customWidth="1"/>
    <col min="31" max="257" width="9.140625" style="556"/>
    <col min="258" max="258" width="17.7109375" style="556" customWidth="1"/>
    <col min="259" max="264" width="10.7109375" style="556" customWidth="1"/>
    <col min="265" max="265" width="9.140625" style="556"/>
    <col min="266" max="266" width="10.7109375" style="556" customWidth="1"/>
    <col min="267" max="268" width="11.7109375" style="556" customWidth="1"/>
    <col min="269" max="269" width="10.7109375" style="556" customWidth="1"/>
    <col min="270" max="270" width="9.140625" style="556"/>
    <col min="271" max="271" width="2.7109375" style="556" customWidth="1"/>
    <col min="272" max="276" width="9.140625" style="556"/>
    <col min="277" max="279" width="10.7109375" style="556" customWidth="1"/>
    <col min="280" max="281" width="9.140625" style="556"/>
    <col min="282" max="284" width="10.7109375" style="556" customWidth="1"/>
    <col min="285" max="286" width="12.7109375" style="556" customWidth="1"/>
    <col min="287" max="513" width="9.140625" style="556"/>
    <col min="514" max="514" width="17.7109375" style="556" customWidth="1"/>
    <col min="515" max="520" width="10.7109375" style="556" customWidth="1"/>
    <col min="521" max="521" width="9.140625" style="556"/>
    <col min="522" max="522" width="10.7109375" style="556" customWidth="1"/>
    <col min="523" max="524" width="11.7109375" style="556" customWidth="1"/>
    <col min="525" max="525" width="10.7109375" style="556" customWidth="1"/>
    <col min="526" max="526" width="9.140625" style="556"/>
    <col min="527" max="527" width="2.7109375" style="556" customWidth="1"/>
    <col min="528" max="532" width="9.140625" style="556"/>
    <col min="533" max="535" width="10.7109375" style="556" customWidth="1"/>
    <col min="536" max="537" width="9.140625" style="556"/>
    <col min="538" max="540" width="10.7109375" style="556" customWidth="1"/>
    <col min="541" max="542" width="12.7109375" style="556" customWidth="1"/>
    <col min="543" max="769" width="9.140625" style="556"/>
    <col min="770" max="770" width="17.7109375" style="556" customWidth="1"/>
    <col min="771" max="776" width="10.7109375" style="556" customWidth="1"/>
    <col min="777" max="777" width="9.140625" style="556"/>
    <col min="778" max="778" width="10.7109375" style="556" customWidth="1"/>
    <col min="779" max="780" width="11.7109375" style="556" customWidth="1"/>
    <col min="781" max="781" width="10.7109375" style="556" customWidth="1"/>
    <col min="782" max="782" width="9.140625" style="556"/>
    <col min="783" max="783" width="2.7109375" style="556" customWidth="1"/>
    <col min="784" max="788" width="9.140625" style="556"/>
    <col min="789" max="791" width="10.7109375" style="556" customWidth="1"/>
    <col min="792" max="793" width="9.140625" style="556"/>
    <col min="794" max="796" width="10.7109375" style="556" customWidth="1"/>
    <col min="797" max="798" width="12.7109375" style="556" customWidth="1"/>
    <col min="799" max="1025" width="9.140625" style="556"/>
    <col min="1026" max="1026" width="17.7109375" style="556" customWidth="1"/>
    <col min="1027" max="1032" width="10.7109375" style="556" customWidth="1"/>
    <col min="1033" max="1033" width="9.140625" style="556"/>
    <col min="1034" max="1034" width="10.7109375" style="556" customWidth="1"/>
    <col min="1035" max="1036" width="11.7109375" style="556" customWidth="1"/>
    <col min="1037" max="1037" width="10.7109375" style="556" customWidth="1"/>
    <col min="1038" max="1038" width="9.140625" style="556"/>
    <col min="1039" max="1039" width="2.7109375" style="556" customWidth="1"/>
    <col min="1040" max="1044" width="9.140625" style="556"/>
    <col min="1045" max="1047" width="10.7109375" style="556" customWidth="1"/>
    <col min="1048" max="1049" width="9.140625" style="556"/>
    <col min="1050" max="1052" width="10.7109375" style="556" customWidth="1"/>
    <col min="1053" max="1054" width="12.7109375" style="556" customWidth="1"/>
    <col min="1055" max="1281" width="9.140625" style="556"/>
    <col min="1282" max="1282" width="17.7109375" style="556" customWidth="1"/>
    <col min="1283" max="1288" width="10.7109375" style="556" customWidth="1"/>
    <col min="1289" max="1289" width="9.140625" style="556"/>
    <col min="1290" max="1290" width="10.7109375" style="556" customWidth="1"/>
    <col min="1291" max="1292" width="11.7109375" style="556" customWidth="1"/>
    <col min="1293" max="1293" width="10.7109375" style="556" customWidth="1"/>
    <col min="1294" max="1294" width="9.140625" style="556"/>
    <col min="1295" max="1295" width="2.7109375" style="556" customWidth="1"/>
    <col min="1296" max="1300" width="9.140625" style="556"/>
    <col min="1301" max="1303" width="10.7109375" style="556" customWidth="1"/>
    <col min="1304" max="1305" width="9.140625" style="556"/>
    <col min="1306" max="1308" width="10.7109375" style="556" customWidth="1"/>
    <col min="1309" max="1310" width="12.7109375" style="556" customWidth="1"/>
    <col min="1311" max="1537" width="9.140625" style="556"/>
    <col min="1538" max="1538" width="17.7109375" style="556" customWidth="1"/>
    <col min="1539" max="1544" width="10.7109375" style="556" customWidth="1"/>
    <col min="1545" max="1545" width="9.140625" style="556"/>
    <col min="1546" max="1546" width="10.7109375" style="556" customWidth="1"/>
    <col min="1547" max="1548" width="11.7109375" style="556" customWidth="1"/>
    <col min="1549" max="1549" width="10.7109375" style="556" customWidth="1"/>
    <col min="1550" max="1550" width="9.140625" style="556"/>
    <col min="1551" max="1551" width="2.7109375" style="556" customWidth="1"/>
    <col min="1552" max="1556" width="9.140625" style="556"/>
    <col min="1557" max="1559" width="10.7109375" style="556" customWidth="1"/>
    <col min="1560" max="1561" width="9.140625" style="556"/>
    <col min="1562" max="1564" width="10.7109375" style="556" customWidth="1"/>
    <col min="1565" max="1566" width="12.7109375" style="556" customWidth="1"/>
    <col min="1567" max="1793" width="9.140625" style="556"/>
    <col min="1794" max="1794" width="17.7109375" style="556" customWidth="1"/>
    <col min="1795" max="1800" width="10.7109375" style="556" customWidth="1"/>
    <col min="1801" max="1801" width="9.140625" style="556"/>
    <col min="1802" max="1802" width="10.7109375" style="556" customWidth="1"/>
    <col min="1803" max="1804" width="11.7109375" style="556" customWidth="1"/>
    <col min="1805" max="1805" width="10.7109375" style="556" customWidth="1"/>
    <col min="1806" max="1806" width="9.140625" style="556"/>
    <col min="1807" max="1807" width="2.7109375" style="556" customWidth="1"/>
    <col min="1808" max="1812" width="9.140625" style="556"/>
    <col min="1813" max="1815" width="10.7109375" style="556" customWidth="1"/>
    <col min="1816" max="1817" width="9.140625" style="556"/>
    <col min="1818" max="1820" width="10.7109375" style="556" customWidth="1"/>
    <col min="1821" max="1822" width="12.7109375" style="556" customWidth="1"/>
    <col min="1823" max="2049" width="9.140625" style="556"/>
    <col min="2050" max="2050" width="17.7109375" style="556" customWidth="1"/>
    <col min="2051" max="2056" width="10.7109375" style="556" customWidth="1"/>
    <col min="2057" max="2057" width="9.140625" style="556"/>
    <col min="2058" max="2058" width="10.7109375" style="556" customWidth="1"/>
    <col min="2059" max="2060" width="11.7109375" style="556" customWidth="1"/>
    <col min="2061" max="2061" width="10.7109375" style="556" customWidth="1"/>
    <col min="2062" max="2062" width="9.140625" style="556"/>
    <col min="2063" max="2063" width="2.7109375" style="556" customWidth="1"/>
    <col min="2064" max="2068" width="9.140625" style="556"/>
    <col min="2069" max="2071" width="10.7109375" style="556" customWidth="1"/>
    <col min="2072" max="2073" width="9.140625" style="556"/>
    <col min="2074" max="2076" width="10.7109375" style="556" customWidth="1"/>
    <col min="2077" max="2078" width="12.7109375" style="556" customWidth="1"/>
    <col min="2079" max="2305" width="9.140625" style="556"/>
    <col min="2306" max="2306" width="17.7109375" style="556" customWidth="1"/>
    <col min="2307" max="2312" width="10.7109375" style="556" customWidth="1"/>
    <col min="2313" max="2313" width="9.140625" style="556"/>
    <col min="2314" max="2314" width="10.7109375" style="556" customWidth="1"/>
    <col min="2315" max="2316" width="11.7109375" style="556" customWidth="1"/>
    <col min="2317" max="2317" width="10.7109375" style="556" customWidth="1"/>
    <col min="2318" max="2318" width="9.140625" style="556"/>
    <col min="2319" max="2319" width="2.7109375" style="556" customWidth="1"/>
    <col min="2320" max="2324" width="9.140625" style="556"/>
    <col min="2325" max="2327" width="10.7109375" style="556" customWidth="1"/>
    <col min="2328" max="2329" width="9.140625" style="556"/>
    <col min="2330" max="2332" width="10.7109375" style="556" customWidth="1"/>
    <col min="2333" max="2334" width="12.7109375" style="556" customWidth="1"/>
    <col min="2335" max="2561" width="9.140625" style="556"/>
    <col min="2562" max="2562" width="17.7109375" style="556" customWidth="1"/>
    <col min="2563" max="2568" width="10.7109375" style="556" customWidth="1"/>
    <col min="2569" max="2569" width="9.140625" style="556"/>
    <col min="2570" max="2570" width="10.7109375" style="556" customWidth="1"/>
    <col min="2571" max="2572" width="11.7109375" style="556" customWidth="1"/>
    <col min="2573" max="2573" width="10.7109375" style="556" customWidth="1"/>
    <col min="2574" max="2574" width="9.140625" style="556"/>
    <col min="2575" max="2575" width="2.7109375" style="556" customWidth="1"/>
    <col min="2576" max="2580" width="9.140625" style="556"/>
    <col min="2581" max="2583" width="10.7109375" style="556" customWidth="1"/>
    <col min="2584" max="2585" width="9.140625" style="556"/>
    <col min="2586" max="2588" width="10.7109375" style="556" customWidth="1"/>
    <col min="2589" max="2590" width="12.7109375" style="556" customWidth="1"/>
    <col min="2591" max="2817" width="9.140625" style="556"/>
    <col min="2818" max="2818" width="17.7109375" style="556" customWidth="1"/>
    <col min="2819" max="2824" width="10.7109375" style="556" customWidth="1"/>
    <col min="2825" max="2825" width="9.140625" style="556"/>
    <col min="2826" max="2826" width="10.7109375" style="556" customWidth="1"/>
    <col min="2827" max="2828" width="11.7109375" style="556" customWidth="1"/>
    <col min="2829" max="2829" width="10.7109375" style="556" customWidth="1"/>
    <col min="2830" max="2830" width="9.140625" style="556"/>
    <col min="2831" max="2831" width="2.7109375" style="556" customWidth="1"/>
    <col min="2832" max="2836" width="9.140625" style="556"/>
    <col min="2837" max="2839" width="10.7109375" style="556" customWidth="1"/>
    <col min="2840" max="2841" width="9.140625" style="556"/>
    <col min="2842" max="2844" width="10.7109375" style="556" customWidth="1"/>
    <col min="2845" max="2846" width="12.7109375" style="556" customWidth="1"/>
    <col min="2847" max="3073" width="9.140625" style="556"/>
    <col min="3074" max="3074" width="17.7109375" style="556" customWidth="1"/>
    <col min="3075" max="3080" width="10.7109375" style="556" customWidth="1"/>
    <col min="3081" max="3081" width="9.140625" style="556"/>
    <col min="3082" max="3082" width="10.7109375" style="556" customWidth="1"/>
    <col min="3083" max="3084" width="11.7109375" style="556" customWidth="1"/>
    <col min="3085" max="3085" width="10.7109375" style="556" customWidth="1"/>
    <col min="3086" max="3086" width="9.140625" style="556"/>
    <col min="3087" max="3087" width="2.7109375" style="556" customWidth="1"/>
    <col min="3088" max="3092" width="9.140625" style="556"/>
    <col min="3093" max="3095" width="10.7109375" style="556" customWidth="1"/>
    <col min="3096" max="3097" width="9.140625" style="556"/>
    <col min="3098" max="3100" width="10.7109375" style="556" customWidth="1"/>
    <col min="3101" max="3102" width="12.7109375" style="556" customWidth="1"/>
    <col min="3103" max="3329" width="9.140625" style="556"/>
    <col min="3330" max="3330" width="17.7109375" style="556" customWidth="1"/>
    <col min="3331" max="3336" width="10.7109375" style="556" customWidth="1"/>
    <col min="3337" max="3337" width="9.140625" style="556"/>
    <col min="3338" max="3338" width="10.7109375" style="556" customWidth="1"/>
    <col min="3339" max="3340" width="11.7109375" style="556" customWidth="1"/>
    <col min="3341" max="3341" width="10.7109375" style="556" customWidth="1"/>
    <col min="3342" max="3342" width="9.140625" style="556"/>
    <col min="3343" max="3343" width="2.7109375" style="556" customWidth="1"/>
    <col min="3344" max="3348" width="9.140625" style="556"/>
    <col min="3349" max="3351" width="10.7109375" style="556" customWidth="1"/>
    <col min="3352" max="3353" width="9.140625" style="556"/>
    <col min="3354" max="3356" width="10.7109375" style="556" customWidth="1"/>
    <col min="3357" max="3358" width="12.7109375" style="556" customWidth="1"/>
    <col min="3359" max="3585" width="9.140625" style="556"/>
    <col min="3586" max="3586" width="17.7109375" style="556" customWidth="1"/>
    <col min="3587" max="3592" width="10.7109375" style="556" customWidth="1"/>
    <col min="3593" max="3593" width="9.140625" style="556"/>
    <col min="3594" max="3594" width="10.7109375" style="556" customWidth="1"/>
    <col min="3595" max="3596" width="11.7109375" style="556" customWidth="1"/>
    <col min="3597" max="3597" width="10.7109375" style="556" customWidth="1"/>
    <col min="3598" max="3598" width="9.140625" style="556"/>
    <col min="3599" max="3599" width="2.7109375" style="556" customWidth="1"/>
    <col min="3600" max="3604" width="9.140625" style="556"/>
    <col min="3605" max="3607" width="10.7109375" style="556" customWidth="1"/>
    <col min="3608" max="3609" width="9.140625" style="556"/>
    <col min="3610" max="3612" width="10.7109375" style="556" customWidth="1"/>
    <col min="3613" max="3614" width="12.7109375" style="556" customWidth="1"/>
    <col min="3615" max="3841" width="9.140625" style="556"/>
    <col min="3842" max="3842" width="17.7109375" style="556" customWidth="1"/>
    <col min="3843" max="3848" width="10.7109375" style="556" customWidth="1"/>
    <col min="3849" max="3849" width="9.140625" style="556"/>
    <col min="3850" max="3850" width="10.7109375" style="556" customWidth="1"/>
    <col min="3851" max="3852" width="11.7109375" style="556" customWidth="1"/>
    <col min="3853" max="3853" width="10.7109375" style="556" customWidth="1"/>
    <col min="3854" max="3854" width="9.140625" style="556"/>
    <col min="3855" max="3855" width="2.7109375" style="556" customWidth="1"/>
    <col min="3856" max="3860" width="9.140625" style="556"/>
    <col min="3861" max="3863" width="10.7109375" style="556" customWidth="1"/>
    <col min="3864" max="3865" width="9.140625" style="556"/>
    <col min="3866" max="3868" width="10.7109375" style="556" customWidth="1"/>
    <col min="3869" max="3870" width="12.7109375" style="556" customWidth="1"/>
    <col min="3871" max="4097" width="9.140625" style="556"/>
    <col min="4098" max="4098" width="17.7109375" style="556" customWidth="1"/>
    <col min="4099" max="4104" width="10.7109375" style="556" customWidth="1"/>
    <col min="4105" max="4105" width="9.140625" style="556"/>
    <col min="4106" max="4106" width="10.7109375" style="556" customWidth="1"/>
    <col min="4107" max="4108" width="11.7109375" style="556" customWidth="1"/>
    <col min="4109" max="4109" width="10.7109375" style="556" customWidth="1"/>
    <col min="4110" max="4110" width="9.140625" style="556"/>
    <col min="4111" max="4111" width="2.7109375" style="556" customWidth="1"/>
    <col min="4112" max="4116" width="9.140625" style="556"/>
    <col min="4117" max="4119" width="10.7109375" style="556" customWidth="1"/>
    <col min="4120" max="4121" width="9.140625" style="556"/>
    <col min="4122" max="4124" width="10.7109375" style="556" customWidth="1"/>
    <col min="4125" max="4126" width="12.7109375" style="556" customWidth="1"/>
    <col min="4127" max="4353" width="9.140625" style="556"/>
    <col min="4354" max="4354" width="17.7109375" style="556" customWidth="1"/>
    <col min="4355" max="4360" width="10.7109375" style="556" customWidth="1"/>
    <col min="4361" max="4361" width="9.140625" style="556"/>
    <col min="4362" max="4362" width="10.7109375" style="556" customWidth="1"/>
    <col min="4363" max="4364" width="11.7109375" style="556" customWidth="1"/>
    <col min="4365" max="4365" width="10.7109375" style="556" customWidth="1"/>
    <col min="4366" max="4366" width="9.140625" style="556"/>
    <col min="4367" max="4367" width="2.7109375" style="556" customWidth="1"/>
    <col min="4368" max="4372" width="9.140625" style="556"/>
    <col min="4373" max="4375" width="10.7109375" style="556" customWidth="1"/>
    <col min="4376" max="4377" width="9.140625" style="556"/>
    <col min="4378" max="4380" width="10.7109375" style="556" customWidth="1"/>
    <col min="4381" max="4382" width="12.7109375" style="556" customWidth="1"/>
    <col min="4383" max="4609" width="9.140625" style="556"/>
    <col min="4610" max="4610" width="17.7109375" style="556" customWidth="1"/>
    <col min="4611" max="4616" width="10.7109375" style="556" customWidth="1"/>
    <col min="4617" max="4617" width="9.140625" style="556"/>
    <col min="4618" max="4618" width="10.7109375" style="556" customWidth="1"/>
    <col min="4619" max="4620" width="11.7109375" style="556" customWidth="1"/>
    <col min="4621" max="4621" width="10.7109375" style="556" customWidth="1"/>
    <col min="4622" max="4622" width="9.140625" style="556"/>
    <col min="4623" max="4623" width="2.7109375" style="556" customWidth="1"/>
    <col min="4624" max="4628" width="9.140625" style="556"/>
    <col min="4629" max="4631" width="10.7109375" style="556" customWidth="1"/>
    <col min="4632" max="4633" width="9.140625" style="556"/>
    <col min="4634" max="4636" width="10.7109375" style="556" customWidth="1"/>
    <col min="4637" max="4638" width="12.7109375" style="556" customWidth="1"/>
    <col min="4639" max="4865" width="9.140625" style="556"/>
    <col min="4866" max="4866" width="17.7109375" style="556" customWidth="1"/>
    <col min="4867" max="4872" width="10.7109375" style="556" customWidth="1"/>
    <col min="4873" max="4873" width="9.140625" style="556"/>
    <col min="4874" max="4874" width="10.7109375" style="556" customWidth="1"/>
    <col min="4875" max="4876" width="11.7109375" style="556" customWidth="1"/>
    <col min="4877" max="4877" width="10.7109375" style="556" customWidth="1"/>
    <col min="4878" max="4878" width="9.140625" style="556"/>
    <col min="4879" max="4879" width="2.7109375" style="556" customWidth="1"/>
    <col min="4880" max="4884" width="9.140625" style="556"/>
    <col min="4885" max="4887" width="10.7109375" style="556" customWidth="1"/>
    <col min="4888" max="4889" width="9.140625" style="556"/>
    <col min="4890" max="4892" width="10.7109375" style="556" customWidth="1"/>
    <col min="4893" max="4894" width="12.7109375" style="556" customWidth="1"/>
    <col min="4895" max="5121" width="9.140625" style="556"/>
    <col min="5122" max="5122" width="17.7109375" style="556" customWidth="1"/>
    <col min="5123" max="5128" width="10.7109375" style="556" customWidth="1"/>
    <col min="5129" max="5129" width="9.140625" style="556"/>
    <col min="5130" max="5130" width="10.7109375" style="556" customWidth="1"/>
    <col min="5131" max="5132" width="11.7109375" style="556" customWidth="1"/>
    <col min="5133" max="5133" width="10.7109375" style="556" customWidth="1"/>
    <col min="5134" max="5134" width="9.140625" style="556"/>
    <col min="5135" max="5135" width="2.7109375" style="556" customWidth="1"/>
    <col min="5136" max="5140" width="9.140625" style="556"/>
    <col min="5141" max="5143" width="10.7109375" style="556" customWidth="1"/>
    <col min="5144" max="5145" width="9.140625" style="556"/>
    <col min="5146" max="5148" width="10.7109375" style="556" customWidth="1"/>
    <col min="5149" max="5150" width="12.7109375" style="556" customWidth="1"/>
    <col min="5151" max="5377" width="9.140625" style="556"/>
    <col min="5378" max="5378" width="17.7109375" style="556" customWidth="1"/>
    <col min="5379" max="5384" width="10.7109375" style="556" customWidth="1"/>
    <col min="5385" max="5385" width="9.140625" style="556"/>
    <col min="5386" max="5386" width="10.7109375" style="556" customWidth="1"/>
    <col min="5387" max="5388" width="11.7109375" style="556" customWidth="1"/>
    <col min="5389" max="5389" width="10.7109375" style="556" customWidth="1"/>
    <col min="5390" max="5390" width="9.140625" style="556"/>
    <col min="5391" max="5391" width="2.7109375" style="556" customWidth="1"/>
    <col min="5392" max="5396" width="9.140625" style="556"/>
    <col min="5397" max="5399" width="10.7109375" style="556" customWidth="1"/>
    <col min="5400" max="5401" width="9.140625" style="556"/>
    <col min="5402" max="5404" width="10.7109375" style="556" customWidth="1"/>
    <col min="5405" max="5406" width="12.7109375" style="556" customWidth="1"/>
    <col min="5407" max="5633" width="9.140625" style="556"/>
    <col min="5634" max="5634" width="17.7109375" style="556" customWidth="1"/>
    <col min="5635" max="5640" width="10.7109375" style="556" customWidth="1"/>
    <col min="5641" max="5641" width="9.140625" style="556"/>
    <col min="5642" max="5642" width="10.7109375" style="556" customWidth="1"/>
    <col min="5643" max="5644" width="11.7109375" style="556" customWidth="1"/>
    <col min="5645" max="5645" width="10.7109375" style="556" customWidth="1"/>
    <col min="5646" max="5646" width="9.140625" style="556"/>
    <col min="5647" max="5647" width="2.7109375" style="556" customWidth="1"/>
    <col min="5648" max="5652" width="9.140625" style="556"/>
    <col min="5653" max="5655" width="10.7109375" style="556" customWidth="1"/>
    <col min="5656" max="5657" width="9.140625" style="556"/>
    <col min="5658" max="5660" width="10.7109375" style="556" customWidth="1"/>
    <col min="5661" max="5662" width="12.7109375" style="556" customWidth="1"/>
    <col min="5663" max="5889" width="9.140625" style="556"/>
    <col min="5890" max="5890" width="17.7109375" style="556" customWidth="1"/>
    <col min="5891" max="5896" width="10.7109375" style="556" customWidth="1"/>
    <col min="5897" max="5897" width="9.140625" style="556"/>
    <col min="5898" max="5898" width="10.7109375" style="556" customWidth="1"/>
    <col min="5899" max="5900" width="11.7109375" style="556" customWidth="1"/>
    <col min="5901" max="5901" width="10.7109375" style="556" customWidth="1"/>
    <col min="5902" max="5902" width="9.140625" style="556"/>
    <col min="5903" max="5903" width="2.7109375" style="556" customWidth="1"/>
    <col min="5904" max="5908" width="9.140625" style="556"/>
    <col min="5909" max="5911" width="10.7109375" style="556" customWidth="1"/>
    <col min="5912" max="5913" width="9.140625" style="556"/>
    <col min="5914" max="5916" width="10.7109375" style="556" customWidth="1"/>
    <col min="5917" max="5918" width="12.7109375" style="556" customWidth="1"/>
    <col min="5919" max="6145" width="9.140625" style="556"/>
    <col min="6146" max="6146" width="17.7109375" style="556" customWidth="1"/>
    <col min="6147" max="6152" width="10.7109375" style="556" customWidth="1"/>
    <col min="6153" max="6153" width="9.140625" style="556"/>
    <col min="6154" max="6154" width="10.7109375" style="556" customWidth="1"/>
    <col min="6155" max="6156" width="11.7109375" style="556" customWidth="1"/>
    <col min="6157" max="6157" width="10.7109375" style="556" customWidth="1"/>
    <col min="6158" max="6158" width="9.140625" style="556"/>
    <col min="6159" max="6159" width="2.7109375" style="556" customWidth="1"/>
    <col min="6160" max="6164" width="9.140625" style="556"/>
    <col min="6165" max="6167" width="10.7109375" style="556" customWidth="1"/>
    <col min="6168" max="6169" width="9.140625" style="556"/>
    <col min="6170" max="6172" width="10.7109375" style="556" customWidth="1"/>
    <col min="6173" max="6174" width="12.7109375" style="556" customWidth="1"/>
    <col min="6175" max="6401" width="9.140625" style="556"/>
    <col min="6402" max="6402" width="17.7109375" style="556" customWidth="1"/>
    <col min="6403" max="6408" width="10.7109375" style="556" customWidth="1"/>
    <col min="6409" max="6409" width="9.140625" style="556"/>
    <col min="6410" max="6410" width="10.7109375" style="556" customWidth="1"/>
    <col min="6411" max="6412" width="11.7109375" style="556" customWidth="1"/>
    <col min="6413" max="6413" width="10.7109375" style="556" customWidth="1"/>
    <col min="6414" max="6414" width="9.140625" style="556"/>
    <col min="6415" max="6415" width="2.7109375" style="556" customWidth="1"/>
    <col min="6416" max="6420" width="9.140625" style="556"/>
    <col min="6421" max="6423" width="10.7109375" style="556" customWidth="1"/>
    <col min="6424" max="6425" width="9.140625" style="556"/>
    <col min="6426" max="6428" width="10.7109375" style="556" customWidth="1"/>
    <col min="6429" max="6430" width="12.7109375" style="556" customWidth="1"/>
    <col min="6431" max="6657" width="9.140625" style="556"/>
    <col min="6658" max="6658" width="17.7109375" style="556" customWidth="1"/>
    <col min="6659" max="6664" width="10.7109375" style="556" customWidth="1"/>
    <col min="6665" max="6665" width="9.140625" style="556"/>
    <col min="6666" max="6666" width="10.7109375" style="556" customWidth="1"/>
    <col min="6667" max="6668" width="11.7109375" style="556" customWidth="1"/>
    <col min="6669" max="6669" width="10.7109375" style="556" customWidth="1"/>
    <col min="6670" max="6670" width="9.140625" style="556"/>
    <col min="6671" max="6671" width="2.7109375" style="556" customWidth="1"/>
    <col min="6672" max="6676" width="9.140625" style="556"/>
    <col min="6677" max="6679" width="10.7109375" style="556" customWidth="1"/>
    <col min="6680" max="6681" width="9.140625" style="556"/>
    <col min="6682" max="6684" width="10.7109375" style="556" customWidth="1"/>
    <col min="6685" max="6686" width="12.7109375" style="556" customWidth="1"/>
    <col min="6687" max="6913" width="9.140625" style="556"/>
    <col min="6914" max="6914" width="17.7109375" style="556" customWidth="1"/>
    <col min="6915" max="6920" width="10.7109375" style="556" customWidth="1"/>
    <col min="6921" max="6921" width="9.140625" style="556"/>
    <col min="6922" max="6922" width="10.7109375" style="556" customWidth="1"/>
    <col min="6923" max="6924" width="11.7109375" style="556" customWidth="1"/>
    <col min="6925" max="6925" width="10.7109375" style="556" customWidth="1"/>
    <col min="6926" max="6926" width="9.140625" style="556"/>
    <col min="6927" max="6927" width="2.7109375" style="556" customWidth="1"/>
    <col min="6928" max="6932" width="9.140625" style="556"/>
    <col min="6933" max="6935" width="10.7109375" style="556" customWidth="1"/>
    <col min="6936" max="6937" width="9.140625" style="556"/>
    <col min="6938" max="6940" width="10.7109375" style="556" customWidth="1"/>
    <col min="6941" max="6942" width="12.7109375" style="556" customWidth="1"/>
    <col min="6943" max="7169" width="9.140625" style="556"/>
    <col min="7170" max="7170" width="17.7109375" style="556" customWidth="1"/>
    <col min="7171" max="7176" width="10.7109375" style="556" customWidth="1"/>
    <col min="7177" max="7177" width="9.140625" style="556"/>
    <col min="7178" max="7178" width="10.7109375" style="556" customWidth="1"/>
    <col min="7179" max="7180" width="11.7109375" style="556" customWidth="1"/>
    <col min="7181" max="7181" width="10.7109375" style="556" customWidth="1"/>
    <col min="7182" max="7182" width="9.140625" style="556"/>
    <col min="7183" max="7183" width="2.7109375" style="556" customWidth="1"/>
    <col min="7184" max="7188" width="9.140625" style="556"/>
    <col min="7189" max="7191" width="10.7109375" style="556" customWidth="1"/>
    <col min="7192" max="7193" width="9.140625" style="556"/>
    <col min="7194" max="7196" width="10.7109375" style="556" customWidth="1"/>
    <col min="7197" max="7198" width="12.7109375" style="556" customWidth="1"/>
    <col min="7199" max="7425" width="9.140625" style="556"/>
    <col min="7426" max="7426" width="17.7109375" style="556" customWidth="1"/>
    <col min="7427" max="7432" width="10.7109375" style="556" customWidth="1"/>
    <col min="7433" max="7433" width="9.140625" style="556"/>
    <col min="7434" max="7434" width="10.7109375" style="556" customWidth="1"/>
    <col min="7435" max="7436" width="11.7109375" style="556" customWidth="1"/>
    <col min="7437" max="7437" width="10.7109375" style="556" customWidth="1"/>
    <col min="7438" max="7438" width="9.140625" style="556"/>
    <col min="7439" max="7439" width="2.7109375" style="556" customWidth="1"/>
    <col min="7440" max="7444" width="9.140625" style="556"/>
    <col min="7445" max="7447" width="10.7109375" style="556" customWidth="1"/>
    <col min="7448" max="7449" width="9.140625" style="556"/>
    <col min="7450" max="7452" width="10.7109375" style="556" customWidth="1"/>
    <col min="7453" max="7454" width="12.7109375" style="556" customWidth="1"/>
    <col min="7455" max="7681" width="9.140625" style="556"/>
    <col min="7682" max="7682" width="17.7109375" style="556" customWidth="1"/>
    <col min="7683" max="7688" width="10.7109375" style="556" customWidth="1"/>
    <col min="7689" max="7689" width="9.140625" style="556"/>
    <col min="7690" max="7690" width="10.7109375" style="556" customWidth="1"/>
    <col min="7691" max="7692" width="11.7109375" style="556" customWidth="1"/>
    <col min="7693" max="7693" width="10.7109375" style="556" customWidth="1"/>
    <col min="7694" max="7694" width="9.140625" style="556"/>
    <col min="7695" max="7695" width="2.7109375" style="556" customWidth="1"/>
    <col min="7696" max="7700" width="9.140625" style="556"/>
    <col min="7701" max="7703" width="10.7109375" style="556" customWidth="1"/>
    <col min="7704" max="7705" width="9.140625" style="556"/>
    <col min="7706" max="7708" width="10.7109375" style="556" customWidth="1"/>
    <col min="7709" max="7710" width="12.7109375" style="556" customWidth="1"/>
    <col min="7711" max="7937" width="9.140625" style="556"/>
    <col min="7938" max="7938" width="17.7109375" style="556" customWidth="1"/>
    <col min="7939" max="7944" width="10.7109375" style="556" customWidth="1"/>
    <col min="7945" max="7945" width="9.140625" style="556"/>
    <col min="7946" max="7946" width="10.7109375" style="556" customWidth="1"/>
    <col min="7947" max="7948" width="11.7109375" style="556" customWidth="1"/>
    <col min="7949" max="7949" width="10.7109375" style="556" customWidth="1"/>
    <col min="7950" max="7950" width="9.140625" style="556"/>
    <col min="7951" max="7951" width="2.7109375" style="556" customWidth="1"/>
    <col min="7952" max="7956" width="9.140625" style="556"/>
    <col min="7957" max="7959" width="10.7109375" style="556" customWidth="1"/>
    <col min="7960" max="7961" width="9.140625" style="556"/>
    <col min="7962" max="7964" width="10.7109375" style="556" customWidth="1"/>
    <col min="7965" max="7966" width="12.7109375" style="556" customWidth="1"/>
    <col min="7967" max="8193" width="9.140625" style="556"/>
    <col min="8194" max="8194" width="17.7109375" style="556" customWidth="1"/>
    <col min="8195" max="8200" width="10.7109375" style="556" customWidth="1"/>
    <col min="8201" max="8201" width="9.140625" style="556"/>
    <col min="8202" max="8202" width="10.7109375" style="556" customWidth="1"/>
    <col min="8203" max="8204" width="11.7109375" style="556" customWidth="1"/>
    <col min="8205" max="8205" width="10.7109375" style="556" customWidth="1"/>
    <col min="8206" max="8206" width="9.140625" style="556"/>
    <col min="8207" max="8207" width="2.7109375" style="556" customWidth="1"/>
    <col min="8208" max="8212" width="9.140625" style="556"/>
    <col min="8213" max="8215" width="10.7109375" style="556" customWidth="1"/>
    <col min="8216" max="8217" width="9.140625" style="556"/>
    <col min="8218" max="8220" width="10.7109375" style="556" customWidth="1"/>
    <col min="8221" max="8222" width="12.7109375" style="556" customWidth="1"/>
    <col min="8223" max="8449" width="9.140625" style="556"/>
    <col min="8450" max="8450" width="17.7109375" style="556" customWidth="1"/>
    <col min="8451" max="8456" width="10.7109375" style="556" customWidth="1"/>
    <col min="8457" max="8457" width="9.140625" style="556"/>
    <col min="8458" max="8458" width="10.7109375" style="556" customWidth="1"/>
    <col min="8459" max="8460" width="11.7109375" style="556" customWidth="1"/>
    <col min="8461" max="8461" width="10.7109375" style="556" customWidth="1"/>
    <col min="8462" max="8462" width="9.140625" style="556"/>
    <col min="8463" max="8463" width="2.7109375" style="556" customWidth="1"/>
    <col min="8464" max="8468" width="9.140625" style="556"/>
    <col min="8469" max="8471" width="10.7109375" style="556" customWidth="1"/>
    <col min="8472" max="8473" width="9.140625" style="556"/>
    <col min="8474" max="8476" width="10.7109375" style="556" customWidth="1"/>
    <col min="8477" max="8478" width="12.7109375" style="556" customWidth="1"/>
    <col min="8479" max="8705" width="9.140625" style="556"/>
    <col min="8706" max="8706" width="17.7109375" style="556" customWidth="1"/>
    <col min="8707" max="8712" width="10.7109375" style="556" customWidth="1"/>
    <col min="8713" max="8713" width="9.140625" style="556"/>
    <col min="8714" max="8714" width="10.7109375" style="556" customWidth="1"/>
    <col min="8715" max="8716" width="11.7109375" style="556" customWidth="1"/>
    <col min="8717" max="8717" width="10.7109375" style="556" customWidth="1"/>
    <col min="8718" max="8718" width="9.140625" style="556"/>
    <col min="8719" max="8719" width="2.7109375" style="556" customWidth="1"/>
    <col min="8720" max="8724" width="9.140625" style="556"/>
    <col min="8725" max="8727" width="10.7109375" style="556" customWidth="1"/>
    <col min="8728" max="8729" width="9.140625" style="556"/>
    <col min="8730" max="8732" width="10.7109375" style="556" customWidth="1"/>
    <col min="8733" max="8734" width="12.7109375" style="556" customWidth="1"/>
    <col min="8735" max="8961" width="9.140625" style="556"/>
    <col min="8962" max="8962" width="17.7109375" style="556" customWidth="1"/>
    <col min="8963" max="8968" width="10.7109375" style="556" customWidth="1"/>
    <col min="8969" max="8969" width="9.140625" style="556"/>
    <col min="8970" max="8970" width="10.7109375" style="556" customWidth="1"/>
    <col min="8971" max="8972" width="11.7109375" style="556" customWidth="1"/>
    <col min="8973" max="8973" width="10.7109375" style="556" customWidth="1"/>
    <col min="8974" max="8974" width="9.140625" style="556"/>
    <col min="8975" max="8975" width="2.7109375" style="556" customWidth="1"/>
    <col min="8976" max="8980" width="9.140625" style="556"/>
    <col min="8981" max="8983" width="10.7109375" style="556" customWidth="1"/>
    <col min="8984" max="8985" width="9.140625" style="556"/>
    <col min="8986" max="8988" width="10.7109375" style="556" customWidth="1"/>
    <col min="8989" max="8990" width="12.7109375" style="556" customWidth="1"/>
    <col min="8991" max="9217" width="9.140625" style="556"/>
    <col min="9218" max="9218" width="17.7109375" style="556" customWidth="1"/>
    <col min="9219" max="9224" width="10.7109375" style="556" customWidth="1"/>
    <col min="9225" max="9225" width="9.140625" style="556"/>
    <col min="9226" max="9226" width="10.7109375" style="556" customWidth="1"/>
    <col min="9227" max="9228" width="11.7109375" style="556" customWidth="1"/>
    <col min="9229" max="9229" width="10.7109375" style="556" customWidth="1"/>
    <col min="9230" max="9230" width="9.140625" style="556"/>
    <col min="9231" max="9231" width="2.7109375" style="556" customWidth="1"/>
    <col min="9232" max="9236" width="9.140625" style="556"/>
    <col min="9237" max="9239" width="10.7109375" style="556" customWidth="1"/>
    <col min="9240" max="9241" width="9.140625" style="556"/>
    <col min="9242" max="9244" width="10.7109375" style="556" customWidth="1"/>
    <col min="9245" max="9246" width="12.7109375" style="556" customWidth="1"/>
    <col min="9247" max="9473" width="9.140625" style="556"/>
    <col min="9474" max="9474" width="17.7109375" style="556" customWidth="1"/>
    <col min="9475" max="9480" width="10.7109375" style="556" customWidth="1"/>
    <col min="9481" max="9481" width="9.140625" style="556"/>
    <col min="9482" max="9482" width="10.7109375" style="556" customWidth="1"/>
    <col min="9483" max="9484" width="11.7109375" style="556" customWidth="1"/>
    <col min="9485" max="9485" width="10.7109375" style="556" customWidth="1"/>
    <col min="9486" max="9486" width="9.140625" style="556"/>
    <col min="9487" max="9487" width="2.7109375" style="556" customWidth="1"/>
    <col min="9488" max="9492" width="9.140625" style="556"/>
    <col min="9493" max="9495" width="10.7109375" style="556" customWidth="1"/>
    <col min="9496" max="9497" width="9.140625" style="556"/>
    <col min="9498" max="9500" width="10.7109375" style="556" customWidth="1"/>
    <col min="9501" max="9502" width="12.7109375" style="556" customWidth="1"/>
    <col min="9503" max="9729" width="9.140625" style="556"/>
    <col min="9730" max="9730" width="17.7109375" style="556" customWidth="1"/>
    <col min="9731" max="9736" width="10.7109375" style="556" customWidth="1"/>
    <col min="9737" max="9737" width="9.140625" style="556"/>
    <col min="9738" max="9738" width="10.7109375" style="556" customWidth="1"/>
    <col min="9739" max="9740" width="11.7109375" style="556" customWidth="1"/>
    <col min="9741" max="9741" width="10.7109375" style="556" customWidth="1"/>
    <col min="9742" max="9742" width="9.140625" style="556"/>
    <col min="9743" max="9743" width="2.7109375" style="556" customWidth="1"/>
    <col min="9744" max="9748" width="9.140625" style="556"/>
    <col min="9749" max="9751" width="10.7109375" style="556" customWidth="1"/>
    <col min="9752" max="9753" width="9.140625" style="556"/>
    <col min="9754" max="9756" width="10.7109375" style="556" customWidth="1"/>
    <col min="9757" max="9758" width="12.7109375" style="556" customWidth="1"/>
    <col min="9759" max="9985" width="9.140625" style="556"/>
    <col min="9986" max="9986" width="17.7109375" style="556" customWidth="1"/>
    <col min="9987" max="9992" width="10.7109375" style="556" customWidth="1"/>
    <col min="9993" max="9993" width="9.140625" style="556"/>
    <col min="9994" max="9994" width="10.7109375" style="556" customWidth="1"/>
    <col min="9995" max="9996" width="11.7109375" style="556" customWidth="1"/>
    <col min="9997" max="9997" width="10.7109375" style="556" customWidth="1"/>
    <col min="9998" max="9998" width="9.140625" style="556"/>
    <col min="9999" max="9999" width="2.7109375" style="556" customWidth="1"/>
    <col min="10000" max="10004" width="9.140625" style="556"/>
    <col min="10005" max="10007" width="10.7109375" style="556" customWidth="1"/>
    <col min="10008" max="10009" width="9.140625" style="556"/>
    <col min="10010" max="10012" width="10.7109375" style="556" customWidth="1"/>
    <col min="10013" max="10014" width="12.7109375" style="556" customWidth="1"/>
    <col min="10015" max="10241" width="9.140625" style="556"/>
    <col min="10242" max="10242" width="17.7109375" style="556" customWidth="1"/>
    <col min="10243" max="10248" width="10.7109375" style="556" customWidth="1"/>
    <col min="10249" max="10249" width="9.140625" style="556"/>
    <col min="10250" max="10250" width="10.7109375" style="556" customWidth="1"/>
    <col min="10251" max="10252" width="11.7109375" style="556" customWidth="1"/>
    <col min="10253" max="10253" width="10.7109375" style="556" customWidth="1"/>
    <col min="10254" max="10254" width="9.140625" style="556"/>
    <col min="10255" max="10255" width="2.7109375" style="556" customWidth="1"/>
    <col min="10256" max="10260" width="9.140625" style="556"/>
    <col min="10261" max="10263" width="10.7109375" style="556" customWidth="1"/>
    <col min="10264" max="10265" width="9.140625" style="556"/>
    <col min="10266" max="10268" width="10.7109375" style="556" customWidth="1"/>
    <col min="10269" max="10270" width="12.7109375" style="556" customWidth="1"/>
    <col min="10271" max="10497" width="9.140625" style="556"/>
    <col min="10498" max="10498" width="17.7109375" style="556" customWidth="1"/>
    <col min="10499" max="10504" width="10.7109375" style="556" customWidth="1"/>
    <col min="10505" max="10505" width="9.140625" style="556"/>
    <col min="10506" max="10506" width="10.7109375" style="556" customWidth="1"/>
    <col min="10507" max="10508" width="11.7109375" style="556" customWidth="1"/>
    <col min="10509" max="10509" width="10.7109375" style="556" customWidth="1"/>
    <col min="10510" max="10510" width="9.140625" style="556"/>
    <col min="10511" max="10511" width="2.7109375" style="556" customWidth="1"/>
    <col min="10512" max="10516" width="9.140625" style="556"/>
    <col min="10517" max="10519" width="10.7109375" style="556" customWidth="1"/>
    <col min="10520" max="10521" width="9.140625" style="556"/>
    <col min="10522" max="10524" width="10.7109375" style="556" customWidth="1"/>
    <col min="10525" max="10526" width="12.7109375" style="556" customWidth="1"/>
    <col min="10527" max="10753" width="9.140625" style="556"/>
    <col min="10754" max="10754" width="17.7109375" style="556" customWidth="1"/>
    <col min="10755" max="10760" width="10.7109375" style="556" customWidth="1"/>
    <col min="10761" max="10761" width="9.140625" style="556"/>
    <col min="10762" max="10762" width="10.7109375" style="556" customWidth="1"/>
    <col min="10763" max="10764" width="11.7109375" style="556" customWidth="1"/>
    <col min="10765" max="10765" width="10.7109375" style="556" customWidth="1"/>
    <col min="10766" max="10766" width="9.140625" style="556"/>
    <col min="10767" max="10767" width="2.7109375" style="556" customWidth="1"/>
    <col min="10768" max="10772" width="9.140625" style="556"/>
    <col min="10773" max="10775" width="10.7109375" style="556" customWidth="1"/>
    <col min="10776" max="10777" width="9.140625" style="556"/>
    <col min="10778" max="10780" width="10.7109375" style="556" customWidth="1"/>
    <col min="10781" max="10782" width="12.7109375" style="556" customWidth="1"/>
    <col min="10783" max="11009" width="9.140625" style="556"/>
    <col min="11010" max="11010" width="17.7109375" style="556" customWidth="1"/>
    <col min="11011" max="11016" width="10.7109375" style="556" customWidth="1"/>
    <col min="11017" max="11017" width="9.140625" style="556"/>
    <col min="11018" max="11018" width="10.7109375" style="556" customWidth="1"/>
    <col min="11019" max="11020" width="11.7109375" style="556" customWidth="1"/>
    <col min="11021" max="11021" width="10.7109375" style="556" customWidth="1"/>
    <col min="11022" max="11022" width="9.140625" style="556"/>
    <col min="11023" max="11023" width="2.7109375" style="556" customWidth="1"/>
    <col min="11024" max="11028" width="9.140625" style="556"/>
    <col min="11029" max="11031" width="10.7109375" style="556" customWidth="1"/>
    <col min="11032" max="11033" width="9.140625" style="556"/>
    <col min="11034" max="11036" width="10.7109375" style="556" customWidth="1"/>
    <col min="11037" max="11038" width="12.7109375" style="556" customWidth="1"/>
    <col min="11039" max="11265" width="9.140625" style="556"/>
    <col min="11266" max="11266" width="17.7109375" style="556" customWidth="1"/>
    <col min="11267" max="11272" width="10.7109375" style="556" customWidth="1"/>
    <col min="11273" max="11273" width="9.140625" style="556"/>
    <col min="11274" max="11274" width="10.7109375" style="556" customWidth="1"/>
    <col min="11275" max="11276" width="11.7109375" style="556" customWidth="1"/>
    <col min="11277" max="11277" width="10.7109375" style="556" customWidth="1"/>
    <col min="11278" max="11278" width="9.140625" style="556"/>
    <col min="11279" max="11279" width="2.7109375" style="556" customWidth="1"/>
    <col min="11280" max="11284" width="9.140625" style="556"/>
    <col min="11285" max="11287" width="10.7109375" style="556" customWidth="1"/>
    <col min="11288" max="11289" width="9.140625" style="556"/>
    <col min="11290" max="11292" width="10.7109375" style="556" customWidth="1"/>
    <col min="11293" max="11294" width="12.7109375" style="556" customWidth="1"/>
    <col min="11295" max="11521" width="9.140625" style="556"/>
    <col min="11522" max="11522" width="17.7109375" style="556" customWidth="1"/>
    <col min="11523" max="11528" width="10.7109375" style="556" customWidth="1"/>
    <col min="11529" max="11529" width="9.140625" style="556"/>
    <col min="11530" max="11530" width="10.7109375" style="556" customWidth="1"/>
    <col min="11531" max="11532" width="11.7109375" style="556" customWidth="1"/>
    <col min="11533" max="11533" width="10.7109375" style="556" customWidth="1"/>
    <col min="11534" max="11534" width="9.140625" style="556"/>
    <col min="11535" max="11535" width="2.7109375" style="556" customWidth="1"/>
    <col min="11536" max="11540" width="9.140625" style="556"/>
    <col min="11541" max="11543" width="10.7109375" style="556" customWidth="1"/>
    <col min="11544" max="11545" width="9.140625" style="556"/>
    <col min="11546" max="11548" width="10.7109375" style="556" customWidth="1"/>
    <col min="11549" max="11550" width="12.7109375" style="556" customWidth="1"/>
    <col min="11551" max="11777" width="9.140625" style="556"/>
    <col min="11778" max="11778" width="17.7109375" style="556" customWidth="1"/>
    <col min="11779" max="11784" width="10.7109375" style="556" customWidth="1"/>
    <col min="11785" max="11785" width="9.140625" style="556"/>
    <col min="11786" max="11786" width="10.7109375" style="556" customWidth="1"/>
    <col min="11787" max="11788" width="11.7109375" style="556" customWidth="1"/>
    <col min="11789" max="11789" width="10.7109375" style="556" customWidth="1"/>
    <col min="11790" max="11790" width="9.140625" style="556"/>
    <col min="11791" max="11791" width="2.7109375" style="556" customWidth="1"/>
    <col min="11792" max="11796" width="9.140625" style="556"/>
    <col min="11797" max="11799" width="10.7109375" style="556" customWidth="1"/>
    <col min="11800" max="11801" width="9.140625" style="556"/>
    <col min="11802" max="11804" width="10.7109375" style="556" customWidth="1"/>
    <col min="11805" max="11806" width="12.7109375" style="556" customWidth="1"/>
    <col min="11807" max="12033" width="9.140625" style="556"/>
    <col min="12034" max="12034" width="17.7109375" style="556" customWidth="1"/>
    <col min="12035" max="12040" width="10.7109375" style="556" customWidth="1"/>
    <col min="12041" max="12041" width="9.140625" style="556"/>
    <col min="12042" max="12042" width="10.7109375" style="556" customWidth="1"/>
    <col min="12043" max="12044" width="11.7109375" style="556" customWidth="1"/>
    <col min="12045" max="12045" width="10.7109375" style="556" customWidth="1"/>
    <col min="12046" max="12046" width="9.140625" style="556"/>
    <col min="12047" max="12047" width="2.7109375" style="556" customWidth="1"/>
    <col min="12048" max="12052" width="9.140625" style="556"/>
    <col min="12053" max="12055" width="10.7109375" style="556" customWidth="1"/>
    <col min="12056" max="12057" width="9.140625" style="556"/>
    <col min="12058" max="12060" width="10.7109375" style="556" customWidth="1"/>
    <col min="12061" max="12062" width="12.7109375" style="556" customWidth="1"/>
    <col min="12063" max="12289" width="9.140625" style="556"/>
    <col min="12290" max="12290" width="17.7109375" style="556" customWidth="1"/>
    <col min="12291" max="12296" width="10.7109375" style="556" customWidth="1"/>
    <col min="12297" max="12297" width="9.140625" style="556"/>
    <col min="12298" max="12298" width="10.7109375" style="556" customWidth="1"/>
    <col min="12299" max="12300" width="11.7109375" style="556" customWidth="1"/>
    <col min="12301" max="12301" width="10.7109375" style="556" customWidth="1"/>
    <col min="12302" max="12302" width="9.140625" style="556"/>
    <col min="12303" max="12303" width="2.7109375" style="556" customWidth="1"/>
    <col min="12304" max="12308" width="9.140625" style="556"/>
    <col min="12309" max="12311" width="10.7109375" style="556" customWidth="1"/>
    <col min="12312" max="12313" width="9.140625" style="556"/>
    <col min="12314" max="12316" width="10.7109375" style="556" customWidth="1"/>
    <col min="12317" max="12318" width="12.7109375" style="556" customWidth="1"/>
    <col min="12319" max="12545" width="9.140625" style="556"/>
    <col min="12546" max="12546" width="17.7109375" style="556" customWidth="1"/>
    <col min="12547" max="12552" width="10.7109375" style="556" customWidth="1"/>
    <col min="12553" max="12553" width="9.140625" style="556"/>
    <col min="12554" max="12554" width="10.7109375" style="556" customWidth="1"/>
    <col min="12555" max="12556" width="11.7109375" style="556" customWidth="1"/>
    <col min="12557" max="12557" width="10.7109375" style="556" customWidth="1"/>
    <col min="12558" max="12558" width="9.140625" style="556"/>
    <col min="12559" max="12559" width="2.7109375" style="556" customWidth="1"/>
    <col min="12560" max="12564" width="9.140625" style="556"/>
    <col min="12565" max="12567" width="10.7109375" style="556" customWidth="1"/>
    <col min="12568" max="12569" width="9.140625" style="556"/>
    <col min="12570" max="12572" width="10.7109375" style="556" customWidth="1"/>
    <col min="12573" max="12574" width="12.7109375" style="556" customWidth="1"/>
    <col min="12575" max="12801" width="9.140625" style="556"/>
    <col min="12802" max="12802" width="17.7109375" style="556" customWidth="1"/>
    <col min="12803" max="12808" width="10.7109375" style="556" customWidth="1"/>
    <col min="12809" max="12809" width="9.140625" style="556"/>
    <col min="12810" max="12810" width="10.7109375" style="556" customWidth="1"/>
    <col min="12811" max="12812" width="11.7109375" style="556" customWidth="1"/>
    <col min="12813" max="12813" width="10.7109375" style="556" customWidth="1"/>
    <col min="12814" max="12814" width="9.140625" style="556"/>
    <col min="12815" max="12815" width="2.7109375" style="556" customWidth="1"/>
    <col min="12816" max="12820" width="9.140625" style="556"/>
    <col min="12821" max="12823" width="10.7109375" style="556" customWidth="1"/>
    <col min="12824" max="12825" width="9.140625" style="556"/>
    <col min="12826" max="12828" width="10.7109375" style="556" customWidth="1"/>
    <col min="12829" max="12830" width="12.7109375" style="556" customWidth="1"/>
    <col min="12831" max="13057" width="9.140625" style="556"/>
    <col min="13058" max="13058" width="17.7109375" style="556" customWidth="1"/>
    <col min="13059" max="13064" width="10.7109375" style="556" customWidth="1"/>
    <col min="13065" max="13065" width="9.140625" style="556"/>
    <col min="13066" max="13066" width="10.7109375" style="556" customWidth="1"/>
    <col min="13067" max="13068" width="11.7109375" style="556" customWidth="1"/>
    <col min="13069" max="13069" width="10.7109375" style="556" customWidth="1"/>
    <col min="13070" max="13070" width="9.140625" style="556"/>
    <col min="13071" max="13071" width="2.7109375" style="556" customWidth="1"/>
    <col min="13072" max="13076" width="9.140625" style="556"/>
    <col min="13077" max="13079" width="10.7109375" style="556" customWidth="1"/>
    <col min="13080" max="13081" width="9.140625" style="556"/>
    <col min="13082" max="13084" width="10.7109375" style="556" customWidth="1"/>
    <col min="13085" max="13086" width="12.7109375" style="556" customWidth="1"/>
    <col min="13087" max="13313" width="9.140625" style="556"/>
    <col min="13314" max="13314" width="17.7109375" style="556" customWidth="1"/>
    <col min="13315" max="13320" width="10.7109375" style="556" customWidth="1"/>
    <col min="13321" max="13321" width="9.140625" style="556"/>
    <col min="13322" max="13322" width="10.7109375" style="556" customWidth="1"/>
    <col min="13323" max="13324" width="11.7109375" style="556" customWidth="1"/>
    <col min="13325" max="13325" width="10.7109375" style="556" customWidth="1"/>
    <col min="13326" max="13326" width="9.140625" style="556"/>
    <col min="13327" max="13327" width="2.7109375" style="556" customWidth="1"/>
    <col min="13328" max="13332" width="9.140625" style="556"/>
    <col min="13333" max="13335" width="10.7109375" style="556" customWidth="1"/>
    <col min="13336" max="13337" width="9.140625" style="556"/>
    <col min="13338" max="13340" width="10.7109375" style="556" customWidth="1"/>
    <col min="13341" max="13342" width="12.7109375" style="556" customWidth="1"/>
    <col min="13343" max="13569" width="9.140625" style="556"/>
    <col min="13570" max="13570" width="17.7109375" style="556" customWidth="1"/>
    <col min="13571" max="13576" width="10.7109375" style="556" customWidth="1"/>
    <col min="13577" max="13577" width="9.140625" style="556"/>
    <col min="13578" max="13578" width="10.7109375" style="556" customWidth="1"/>
    <col min="13579" max="13580" width="11.7109375" style="556" customWidth="1"/>
    <col min="13581" max="13581" width="10.7109375" style="556" customWidth="1"/>
    <col min="13582" max="13582" width="9.140625" style="556"/>
    <col min="13583" max="13583" width="2.7109375" style="556" customWidth="1"/>
    <col min="13584" max="13588" width="9.140625" style="556"/>
    <col min="13589" max="13591" width="10.7109375" style="556" customWidth="1"/>
    <col min="13592" max="13593" width="9.140625" style="556"/>
    <col min="13594" max="13596" width="10.7109375" style="556" customWidth="1"/>
    <col min="13597" max="13598" width="12.7109375" style="556" customWidth="1"/>
    <col min="13599" max="13825" width="9.140625" style="556"/>
    <col min="13826" max="13826" width="17.7109375" style="556" customWidth="1"/>
    <col min="13827" max="13832" width="10.7109375" style="556" customWidth="1"/>
    <col min="13833" max="13833" width="9.140625" style="556"/>
    <col min="13834" max="13834" width="10.7109375" style="556" customWidth="1"/>
    <col min="13835" max="13836" width="11.7109375" style="556" customWidth="1"/>
    <col min="13837" max="13837" width="10.7109375" style="556" customWidth="1"/>
    <col min="13838" max="13838" width="9.140625" style="556"/>
    <col min="13839" max="13839" width="2.7109375" style="556" customWidth="1"/>
    <col min="13840" max="13844" width="9.140625" style="556"/>
    <col min="13845" max="13847" width="10.7109375" style="556" customWidth="1"/>
    <col min="13848" max="13849" width="9.140625" style="556"/>
    <col min="13850" max="13852" width="10.7109375" style="556" customWidth="1"/>
    <col min="13853" max="13854" width="12.7109375" style="556" customWidth="1"/>
    <col min="13855" max="14081" width="9.140625" style="556"/>
    <col min="14082" max="14082" width="17.7109375" style="556" customWidth="1"/>
    <col min="14083" max="14088" width="10.7109375" style="556" customWidth="1"/>
    <col min="14089" max="14089" width="9.140625" style="556"/>
    <col min="14090" max="14090" width="10.7109375" style="556" customWidth="1"/>
    <col min="14091" max="14092" width="11.7109375" style="556" customWidth="1"/>
    <col min="14093" max="14093" width="10.7109375" style="556" customWidth="1"/>
    <col min="14094" max="14094" width="9.140625" style="556"/>
    <col min="14095" max="14095" width="2.7109375" style="556" customWidth="1"/>
    <col min="14096" max="14100" width="9.140625" style="556"/>
    <col min="14101" max="14103" width="10.7109375" style="556" customWidth="1"/>
    <col min="14104" max="14105" width="9.140625" style="556"/>
    <col min="14106" max="14108" width="10.7109375" style="556" customWidth="1"/>
    <col min="14109" max="14110" width="12.7109375" style="556" customWidth="1"/>
    <col min="14111" max="14337" width="9.140625" style="556"/>
    <col min="14338" max="14338" width="17.7109375" style="556" customWidth="1"/>
    <col min="14339" max="14344" width="10.7109375" style="556" customWidth="1"/>
    <col min="14345" max="14345" width="9.140625" style="556"/>
    <col min="14346" max="14346" width="10.7109375" style="556" customWidth="1"/>
    <col min="14347" max="14348" width="11.7109375" style="556" customWidth="1"/>
    <col min="14349" max="14349" width="10.7109375" style="556" customWidth="1"/>
    <col min="14350" max="14350" width="9.140625" style="556"/>
    <col min="14351" max="14351" width="2.7109375" style="556" customWidth="1"/>
    <col min="14352" max="14356" width="9.140625" style="556"/>
    <col min="14357" max="14359" width="10.7109375" style="556" customWidth="1"/>
    <col min="14360" max="14361" width="9.140625" style="556"/>
    <col min="14362" max="14364" width="10.7109375" style="556" customWidth="1"/>
    <col min="14365" max="14366" width="12.7109375" style="556" customWidth="1"/>
    <col min="14367" max="14593" width="9.140625" style="556"/>
    <col min="14594" max="14594" width="17.7109375" style="556" customWidth="1"/>
    <col min="14595" max="14600" width="10.7109375" style="556" customWidth="1"/>
    <col min="14601" max="14601" width="9.140625" style="556"/>
    <col min="14602" max="14602" width="10.7109375" style="556" customWidth="1"/>
    <col min="14603" max="14604" width="11.7109375" style="556" customWidth="1"/>
    <col min="14605" max="14605" width="10.7109375" style="556" customWidth="1"/>
    <col min="14606" max="14606" width="9.140625" style="556"/>
    <col min="14607" max="14607" width="2.7109375" style="556" customWidth="1"/>
    <col min="14608" max="14612" width="9.140625" style="556"/>
    <col min="14613" max="14615" width="10.7109375" style="556" customWidth="1"/>
    <col min="14616" max="14617" width="9.140625" style="556"/>
    <col min="14618" max="14620" width="10.7109375" style="556" customWidth="1"/>
    <col min="14621" max="14622" width="12.7109375" style="556" customWidth="1"/>
    <col min="14623" max="14849" width="9.140625" style="556"/>
    <col min="14850" max="14850" width="17.7109375" style="556" customWidth="1"/>
    <col min="14851" max="14856" width="10.7109375" style="556" customWidth="1"/>
    <col min="14857" max="14857" width="9.140625" style="556"/>
    <col min="14858" max="14858" width="10.7109375" style="556" customWidth="1"/>
    <col min="14859" max="14860" width="11.7109375" style="556" customWidth="1"/>
    <col min="14861" max="14861" width="10.7109375" style="556" customWidth="1"/>
    <col min="14862" max="14862" width="9.140625" style="556"/>
    <col min="14863" max="14863" width="2.7109375" style="556" customWidth="1"/>
    <col min="14864" max="14868" width="9.140625" style="556"/>
    <col min="14869" max="14871" width="10.7109375" style="556" customWidth="1"/>
    <col min="14872" max="14873" width="9.140625" style="556"/>
    <col min="14874" max="14876" width="10.7109375" style="556" customWidth="1"/>
    <col min="14877" max="14878" width="12.7109375" style="556" customWidth="1"/>
    <col min="14879" max="15105" width="9.140625" style="556"/>
    <col min="15106" max="15106" width="17.7109375" style="556" customWidth="1"/>
    <col min="15107" max="15112" width="10.7109375" style="556" customWidth="1"/>
    <col min="15113" max="15113" width="9.140625" style="556"/>
    <col min="15114" max="15114" width="10.7109375" style="556" customWidth="1"/>
    <col min="15115" max="15116" width="11.7109375" style="556" customWidth="1"/>
    <col min="15117" max="15117" width="10.7109375" style="556" customWidth="1"/>
    <col min="15118" max="15118" width="9.140625" style="556"/>
    <col min="15119" max="15119" width="2.7109375" style="556" customWidth="1"/>
    <col min="15120" max="15124" width="9.140625" style="556"/>
    <col min="15125" max="15127" width="10.7109375" style="556" customWidth="1"/>
    <col min="15128" max="15129" width="9.140625" style="556"/>
    <col min="15130" max="15132" width="10.7109375" style="556" customWidth="1"/>
    <col min="15133" max="15134" width="12.7109375" style="556" customWidth="1"/>
    <col min="15135" max="15361" width="9.140625" style="556"/>
    <col min="15362" max="15362" width="17.7109375" style="556" customWidth="1"/>
    <col min="15363" max="15368" width="10.7109375" style="556" customWidth="1"/>
    <col min="15369" max="15369" width="9.140625" style="556"/>
    <col min="15370" max="15370" width="10.7109375" style="556" customWidth="1"/>
    <col min="15371" max="15372" width="11.7109375" style="556" customWidth="1"/>
    <col min="15373" max="15373" width="10.7109375" style="556" customWidth="1"/>
    <col min="15374" max="15374" width="9.140625" style="556"/>
    <col min="15375" max="15375" width="2.7109375" style="556" customWidth="1"/>
    <col min="15376" max="15380" width="9.140625" style="556"/>
    <col min="15381" max="15383" width="10.7109375" style="556" customWidth="1"/>
    <col min="15384" max="15385" width="9.140625" style="556"/>
    <col min="15386" max="15388" width="10.7109375" style="556" customWidth="1"/>
    <col min="15389" max="15390" width="12.7109375" style="556" customWidth="1"/>
    <col min="15391" max="15617" width="9.140625" style="556"/>
    <col min="15618" max="15618" width="17.7109375" style="556" customWidth="1"/>
    <col min="15619" max="15624" width="10.7109375" style="556" customWidth="1"/>
    <col min="15625" max="15625" width="9.140625" style="556"/>
    <col min="15626" max="15626" width="10.7109375" style="556" customWidth="1"/>
    <col min="15627" max="15628" width="11.7109375" style="556" customWidth="1"/>
    <col min="15629" max="15629" width="10.7109375" style="556" customWidth="1"/>
    <col min="15630" max="15630" width="9.140625" style="556"/>
    <col min="15631" max="15631" width="2.7109375" style="556" customWidth="1"/>
    <col min="15632" max="15636" width="9.140625" style="556"/>
    <col min="15637" max="15639" width="10.7109375" style="556" customWidth="1"/>
    <col min="15640" max="15641" width="9.140625" style="556"/>
    <col min="15642" max="15644" width="10.7109375" style="556" customWidth="1"/>
    <col min="15645" max="15646" width="12.7109375" style="556" customWidth="1"/>
    <col min="15647" max="15873" width="9.140625" style="556"/>
    <col min="15874" max="15874" width="17.7109375" style="556" customWidth="1"/>
    <col min="15875" max="15880" width="10.7109375" style="556" customWidth="1"/>
    <col min="15881" max="15881" width="9.140625" style="556"/>
    <col min="15882" max="15882" width="10.7109375" style="556" customWidth="1"/>
    <col min="15883" max="15884" width="11.7109375" style="556" customWidth="1"/>
    <col min="15885" max="15885" width="10.7109375" style="556" customWidth="1"/>
    <col min="15886" max="15886" width="9.140625" style="556"/>
    <col min="15887" max="15887" width="2.7109375" style="556" customWidth="1"/>
    <col min="15888" max="15892" width="9.140625" style="556"/>
    <col min="15893" max="15895" width="10.7109375" style="556" customWidth="1"/>
    <col min="15896" max="15897" width="9.140625" style="556"/>
    <col min="15898" max="15900" width="10.7109375" style="556" customWidth="1"/>
    <col min="15901" max="15902" width="12.7109375" style="556" customWidth="1"/>
    <col min="15903" max="16129" width="9.140625" style="556"/>
    <col min="16130" max="16130" width="17.7109375" style="556" customWidth="1"/>
    <col min="16131" max="16136" width="10.7109375" style="556" customWidth="1"/>
    <col min="16137" max="16137" width="9.140625" style="556"/>
    <col min="16138" max="16138" width="10.7109375" style="556" customWidth="1"/>
    <col min="16139" max="16140" width="11.7109375" style="556" customWidth="1"/>
    <col min="16141" max="16141" width="10.7109375" style="556" customWidth="1"/>
    <col min="16142" max="16142" width="9.140625" style="556"/>
    <col min="16143" max="16143" width="2.7109375" style="556" customWidth="1"/>
    <col min="16144" max="16148" width="9.140625" style="556"/>
    <col min="16149" max="16151" width="10.7109375" style="556" customWidth="1"/>
    <col min="16152" max="16153" width="9.140625" style="556"/>
    <col min="16154" max="16156" width="10.7109375" style="556" customWidth="1"/>
    <col min="16157" max="16158" width="12.7109375" style="556" customWidth="1"/>
    <col min="16159" max="16384" width="9.140625" style="556"/>
  </cols>
  <sheetData>
    <row r="2" spans="2:30" ht="20.25" x14ac:dyDescent="0.3">
      <c r="B2" s="555" t="s">
        <v>726</v>
      </c>
    </row>
    <row r="3" spans="2:30" ht="13.5" thickBot="1" x14ac:dyDescent="0.25"/>
    <row r="4" spans="2:30" ht="13.5" thickBot="1" x14ac:dyDescent="0.25">
      <c r="W4" s="600" t="s">
        <v>0</v>
      </c>
      <c r="X4" s="1301" t="s">
        <v>1144</v>
      </c>
    </row>
    <row r="5" spans="2:30" ht="15.75" x14ac:dyDescent="0.25">
      <c r="B5" s="557" t="s">
        <v>708</v>
      </c>
      <c r="C5" s="666" t="s">
        <v>1</v>
      </c>
      <c r="D5" s="680" t="s">
        <v>15</v>
      </c>
      <c r="E5" s="666" t="s">
        <v>684</v>
      </c>
      <c r="F5" s="680"/>
      <c r="G5" s="559" t="s">
        <v>709</v>
      </c>
      <c r="H5" s="667"/>
      <c r="J5" s="606" t="s">
        <v>724</v>
      </c>
      <c r="K5" s="607"/>
      <c r="L5" s="607"/>
      <c r="M5" s="563"/>
      <c r="O5" s="766"/>
      <c r="Q5" s="682" t="s">
        <v>634</v>
      </c>
      <c r="R5" s="631" t="s">
        <v>634</v>
      </c>
      <c r="S5" s="631" t="s">
        <v>355</v>
      </c>
      <c r="T5" s="631" t="s">
        <v>355</v>
      </c>
      <c r="U5" s="767" t="s">
        <v>504</v>
      </c>
      <c r="V5" s="681" t="s">
        <v>1</v>
      </c>
      <c r="W5" s="667" t="s">
        <v>15</v>
      </c>
      <c r="X5" s="683" t="s">
        <v>711</v>
      </c>
      <c r="Y5" s="768" t="s">
        <v>504</v>
      </c>
      <c r="Z5" s="768" t="s">
        <v>711</v>
      </c>
      <c r="AA5" s="768" t="s">
        <v>712</v>
      </c>
      <c r="AB5" s="768" t="s">
        <v>712</v>
      </c>
      <c r="AC5" s="768" t="s">
        <v>1</v>
      </c>
      <c r="AD5" s="684" t="s">
        <v>15</v>
      </c>
    </row>
    <row r="6" spans="2:30" ht="15.75" x14ac:dyDescent="0.25">
      <c r="B6" s="769" t="s">
        <v>76</v>
      </c>
      <c r="C6" s="586" t="s">
        <v>1</v>
      </c>
      <c r="D6" s="685" t="s">
        <v>15</v>
      </c>
      <c r="E6" s="586" t="s">
        <v>1</v>
      </c>
      <c r="F6" s="685" t="s">
        <v>15</v>
      </c>
      <c r="G6" s="586" t="s">
        <v>1</v>
      </c>
      <c r="H6" s="587" t="s">
        <v>15</v>
      </c>
      <c r="J6" s="572" t="s">
        <v>531</v>
      </c>
      <c r="K6" s="609" t="s">
        <v>477</v>
      </c>
      <c r="L6" s="609" t="s">
        <v>359</v>
      </c>
      <c r="M6" s="573" t="s">
        <v>359</v>
      </c>
      <c r="O6" s="766"/>
      <c r="Q6" s="593" t="s">
        <v>3</v>
      </c>
      <c r="R6" s="594" t="s">
        <v>521</v>
      </c>
      <c r="S6" s="594" t="s">
        <v>3</v>
      </c>
      <c r="T6" s="594" t="s">
        <v>521</v>
      </c>
      <c r="U6" s="770" t="s">
        <v>506</v>
      </c>
      <c r="V6" s="686" t="s">
        <v>359</v>
      </c>
      <c r="W6" s="587" t="s">
        <v>359</v>
      </c>
      <c r="X6" s="687" t="s">
        <v>1</v>
      </c>
      <c r="Y6" s="771" t="s">
        <v>506</v>
      </c>
      <c r="Z6" s="771" t="s">
        <v>15</v>
      </c>
      <c r="AA6" s="771" t="s">
        <v>1</v>
      </c>
      <c r="AB6" s="771" t="s">
        <v>15</v>
      </c>
      <c r="AC6" s="771" t="s">
        <v>713</v>
      </c>
      <c r="AD6" s="688" t="s">
        <v>713</v>
      </c>
    </row>
    <row r="7" spans="2:30" ht="15.75" x14ac:dyDescent="0.25">
      <c r="B7" s="769"/>
      <c r="C7" s="586" t="s">
        <v>0</v>
      </c>
      <c r="D7" s="685" t="s">
        <v>0</v>
      </c>
      <c r="E7" s="586" t="s">
        <v>0</v>
      </c>
      <c r="F7" s="685" t="s">
        <v>0</v>
      </c>
      <c r="G7" s="586" t="s">
        <v>0</v>
      </c>
      <c r="H7" s="587" t="s">
        <v>0</v>
      </c>
      <c r="J7" s="572" t="s">
        <v>714</v>
      </c>
      <c r="K7" s="609" t="s">
        <v>484</v>
      </c>
      <c r="L7" s="609" t="s">
        <v>483</v>
      </c>
      <c r="M7" s="573" t="s">
        <v>520</v>
      </c>
      <c r="O7" s="766"/>
      <c r="Q7" s="593"/>
      <c r="R7" s="594"/>
      <c r="S7" s="594"/>
      <c r="T7" s="594"/>
      <c r="U7" s="770" t="s">
        <v>3</v>
      </c>
      <c r="V7" s="686" t="s">
        <v>3</v>
      </c>
      <c r="W7" s="587" t="s">
        <v>3</v>
      </c>
      <c r="X7" s="687" t="s">
        <v>359</v>
      </c>
      <c r="Y7" s="771" t="s">
        <v>359</v>
      </c>
      <c r="Z7" s="771" t="s">
        <v>359</v>
      </c>
      <c r="AA7" s="771" t="s">
        <v>359</v>
      </c>
      <c r="AB7" s="771" t="s">
        <v>359</v>
      </c>
      <c r="AC7" s="771" t="s">
        <v>715</v>
      </c>
      <c r="AD7" s="688" t="s">
        <v>715</v>
      </c>
    </row>
    <row r="8" spans="2:30" ht="15.75" x14ac:dyDescent="0.25">
      <c r="B8" s="769"/>
      <c r="C8" s="586"/>
      <c r="D8" s="685"/>
      <c r="E8" s="586"/>
      <c r="F8" s="685"/>
      <c r="G8" s="569"/>
      <c r="H8" s="587"/>
      <c r="J8" s="572"/>
      <c r="K8" s="609"/>
      <c r="L8" s="609"/>
      <c r="M8" s="573"/>
      <c r="O8" s="766"/>
      <c r="Q8" s="593"/>
      <c r="R8" s="594"/>
      <c r="S8" s="594"/>
      <c r="T8" s="594"/>
      <c r="U8" s="770"/>
      <c r="V8" s="686"/>
      <c r="W8" s="587"/>
      <c r="X8" s="687"/>
      <c r="Y8" s="771"/>
      <c r="Z8" s="771"/>
      <c r="AA8" s="771"/>
      <c r="AB8" s="771"/>
      <c r="AC8" s="771"/>
      <c r="AD8" s="688"/>
    </row>
    <row r="9" spans="2:30" ht="13.5" thickBot="1" x14ac:dyDescent="0.25">
      <c r="B9" s="595" t="s">
        <v>0</v>
      </c>
      <c r="C9" s="806" t="s">
        <v>0</v>
      </c>
      <c r="D9" s="807" t="s">
        <v>0</v>
      </c>
      <c r="E9" s="806" t="s">
        <v>0</v>
      </c>
      <c r="F9" s="807" t="s">
        <v>0</v>
      </c>
      <c r="G9" s="775" t="s">
        <v>0</v>
      </c>
      <c r="H9" s="713" t="s">
        <v>0</v>
      </c>
      <c r="J9" s="772" t="s">
        <v>0</v>
      </c>
      <c r="K9" s="626" t="s">
        <v>0</v>
      </c>
      <c r="L9" s="626" t="s">
        <v>0</v>
      </c>
      <c r="M9" s="773" t="s">
        <v>0</v>
      </c>
      <c r="O9" s="766"/>
      <c r="Q9" s="603" t="s">
        <v>0</v>
      </c>
      <c r="R9" s="604" t="s">
        <v>0</v>
      </c>
      <c r="S9" s="604" t="s">
        <v>0</v>
      </c>
      <c r="T9" s="604" t="s">
        <v>0</v>
      </c>
      <c r="U9" s="774" t="s">
        <v>0</v>
      </c>
      <c r="V9" s="712" t="s">
        <v>0</v>
      </c>
      <c r="W9" s="713" t="s">
        <v>0</v>
      </c>
      <c r="X9" s="776" t="s">
        <v>0</v>
      </c>
      <c r="Y9" s="777"/>
      <c r="Z9" s="777" t="s">
        <v>0</v>
      </c>
      <c r="AA9" s="777" t="s">
        <v>0</v>
      </c>
      <c r="AB9" s="777" t="s">
        <v>0</v>
      </c>
      <c r="AC9" s="777" t="s">
        <v>0</v>
      </c>
      <c r="AD9" s="778" t="s">
        <v>0</v>
      </c>
    </row>
    <row r="10" spans="2:30" x14ac:dyDescent="0.2">
      <c r="B10" s="567"/>
      <c r="C10" s="569"/>
      <c r="D10" s="569"/>
      <c r="E10" s="586"/>
      <c r="F10" s="569"/>
      <c r="G10" s="586"/>
      <c r="H10" s="587"/>
      <c r="J10" s="808"/>
      <c r="K10" s="809"/>
      <c r="L10" s="809"/>
      <c r="M10" s="810"/>
      <c r="O10" s="766"/>
      <c r="Q10" s="593"/>
      <c r="R10" s="594"/>
      <c r="S10" s="594"/>
      <c r="T10" s="594"/>
      <c r="U10" s="770"/>
      <c r="V10" s="686"/>
      <c r="W10" s="569"/>
      <c r="X10" s="687"/>
      <c r="Y10" s="771"/>
      <c r="Z10" s="771"/>
      <c r="AA10" s="771"/>
      <c r="AB10" s="771"/>
      <c r="AC10" s="771"/>
      <c r="AD10" s="688"/>
    </row>
    <row r="11" spans="2:30" x14ac:dyDescent="0.2">
      <c r="B11" s="567"/>
      <c r="C11" s="569"/>
      <c r="D11" s="569"/>
      <c r="E11" s="586"/>
      <c r="F11" s="569"/>
      <c r="G11" s="586"/>
      <c r="H11" s="587"/>
      <c r="J11" s="572"/>
      <c r="K11" s="609"/>
      <c r="L11" s="609"/>
      <c r="M11" s="573"/>
      <c r="O11" s="766"/>
      <c r="Q11" s="593"/>
      <c r="R11" s="594"/>
      <c r="S11" s="594"/>
      <c r="T11" s="594"/>
      <c r="U11" s="770"/>
      <c r="V11" s="686"/>
      <c r="W11" s="569"/>
      <c r="X11" s="687" t="s">
        <v>0</v>
      </c>
      <c r="Y11" s="771"/>
      <c r="Z11" s="771" t="s">
        <v>0</v>
      </c>
      <c r="AA11" s="771"/>
      <c r="AB11" s="771"/>
      <c r="AC11" s="771"/>
      <c r="AD11" s="688"/>
    </row>
    <row r="12" spans="2:30" x14ac:dyDescent="0.2">
      <c r="B12" s="567" t="s">
        <v>485</v>
      </c>
      <c r="C12" s="588">
        <v>0.4</v>
      </c>
      <c r="D12" s="588">
        <v>0.4</v>
      </c>
      <c r="E12" s="589">
        <v>20</v>
      </c>
      <c r="F12" s="650">
        <v>10</v>
      </c>
      <c r="G12" s="589">
        <v>20</v>
      </c>
      <c r="H12" s="590">
        <f>((1+F12/100)*(1+W12/100)-1)*100</f>
        <v>10.000000000000009</v>
      </c>
      <c r="J12" s="591">
        <f>(C12-D12)*((1+F12/100)/(1+F$19/100)-1)</f>
        <v>0</v>
      </c>
      <c r="K12" s="663">
        <f>C12*((1+E12/100)/(1+F12/100)-1)*(1+F12/100)/(1+U$19/100)</f>
        <v>3.8022813688212899E-2</v>
      </c>
      <c r="L12" s="663">
        <f>(C12-D12)*((1+W12/100)/(1+Z$19/100)-1)</f>
        <v>0</v>
      </c>
      <c r="M12" s="592">
        <f>C12*((1+V12/100)/(1+W12/100)-1)*(1+W12/100)/(1+Y$19/100)</f>
        <v>0</v>
      </c>
      <c r="O12" s="766"/>
      <c r="Q12" s="654">
        <f>+C12*E12</f>
        <v>8</v>
      </c>
      <c r="R12" s="655">
        <f>+D12*F12</f>
        <v>4</v>
      </c>
      <c r="S12" s="655">
        <f>+C12*G12</f>
        <v>8</v>
      </c>
      <c r="T12" s="655">
        <f>+D12*H12</f>
        <v>4.0000000000000036</v>
      </c>
      <c r="U12" s="779">
        <f>+C12*F12</f>
        <v>4</v>
      </c>
      <c r="V12" s="703">
        <f>((1+G12/100)/(1+E12/100)-1)*100</f>
        <v>0</v>
      </c>
      <c r="W12" s="650">
        <v>0</v>
      </c>
      <c r="X12" s="780">
        <f>+C12*V12</f>
        <v>0</v>
      </c>
      <c r="Y12" s="781">
        <f>+C12*W12</f>
        <v>0</v>
      </c>
      <c r="Z12" s="781">
        <f>+D12*W12</f>
        <v>0</v>
      </c>
      <c r="AA12" s="782">
        <f>+C12*V12*(1+E12/100)/(1+E$19/100)</f>
        <v>0</v>
      </c>
      <c r="AB12" s="782">
        <f>+D12*W12*(1+F12/100)/(1+F$19/100)</f>
        <v>0</v>
      </c>
      <c r="AC12" s="783" t="s">
        <v>0</v>
      </c>
      <c r="AD12" s="784" t="s">
        <v>0</v>
      </c>
    </row>
    <row r="13" spans="2:30" x14ac:dyDescent="0.2">
      <c r="B13" s="567"/>
      <c r="C13" s="588"/>
      <c r="D13" s="588"/>
      <c r="E13" s="589"/>
      <c r="F13" s="650"/>
      <c r="G13" s="589"/>
      <c r="H13" s="590"/>
      <c r="J13" s="591"/>
      <c r="K13" s="663"/>
      <c r="L13" s="609"/>
      <c r="M13" s="573"/>
      <c r="O13" s="766"/>
      <c r="Q13" s="654"/>
      <c r="R13" s="655"/>
      <c r="S13" s="655"/>
      <c r="T13" s="655"/>
      <c r="U13" s="779"/>
      <c r="V13" s="703"/>
      <c r="W13" s="650"/>
      <c r="X13" s="687"/>
      <c r="Y13" s="771"/>
      <c r="Z13" s="771"/>
      <c r="AA13" s="782"/>
      <c r="AB13" s="782"/>
      <c r="AC13" s="783"/>
      <c r="AD13" s="784"/>
    </row>
    <row r="14" spans="2:30" x14ac:dyDescent="0.2">
      <c r="B14" s="567" t="s">
        <v>486</v>
      </c>
      <c r="C14" s="588">
        <v>0.3</v>
      </c>
      <c r="D14" s="588">
        <v>0.2</v>
      </c>
      <c r="E14" s="589">
        <v>-5</v>
      </c>
      <c r="F14" s="650">
        <v>-4</v>
      </c>
      <c r="G14" s="589">
        <v>4.7</v>
      </c>
      <c r="H14" s="590">
        <f>((1+F14/100)*(1+W14/100)-1)*100</f>
        <v>5.600000000000005</v>
      </c>
      <c r="J14" s="591">
        <f>(C14-D14)*((1+F14/100)/(1+F$19/100)-1)</f>
        <v>-9.7744360902255675E-3</v>
      </c>
      <c r="K14" s="663">
        <f>C14*((1+E14/100)/(1+F14/100)-1)*(1+F14/100)/(1+U$19/100)</f>
        <v>-2.8517110266159593E-3</v>
      </c>
      <c r="L14" s="663">
        <f>(C14-D14)*((1+W14/100)/(1+Z$19/100)-1)</f>
        <v>0</v>
      </c>
      <c r="M14" s="592">
        <f>C14*((1+V14/100)/(1+W14/100)-1)*(1+W14/100)/(1+Y$19/100)</f>
        <v>5.7943022694349506E-4</v>
      </c>
      <c r="O14" s="766"/>
      <c r="Q14" s="654">
        <f>+C14*E14</f>
        <v>-1.5</v>
      </c>
      <c r="R14" s="655">
        <f>+D14*F14</f>
        <v>-0.8</v>
      </c>
      <c r="S14" s="655">
        <f>+C14*G14</f>
        <v>1.41</v>
      </c>
      <c r="T14" s="655">
        <f>+D14*H14</f>
        <v>1.120000000000001</v>
      </c>
      <c r="U14" s="779">
        <f>+C14*F14</f>
        <v>-1.2</v>
      </c>
      <c r="V14" s="703">
        <f>((1+G14/100)/(1+E14/100)-1)*100</f>
        <v>10.210526315789469</v>
      </c>
      <c r="W14" s="650">
        <v>10</v>
      </c>
      <c r="X14" s="780">
        <f>+C14*V14</f>
        <v>3.0631578947368405</v>
      </c>
      <c r="Y14" s="781">
        <f>+C14*W14</f>
        <v>3</v>
      </c>
      <c r="Z14" s="781">
        <f>+D14*W14</f>
        <v>2</v>
      </c>
      <c r="AA14" s="782">
        <f>+C14*V14*(1+E14/100)/(1+E$19/100)</f>
        <v>2.6869806094182813</v>
      </c>
      <c r="AB14" s="782">
        <f>+D14*W14*(1+F14/100)/(1+F$19/100)</f>
        <v>1.8045112781954886</v>
      </c>
      <c r="AC14" s="783" t="s">
        <v>0</v>
      </c>
      <c r="AD14" s="784" t="s">
        <v>0</v>
      </c>
    </row>
    <row r="15" spans="2:30" x14ac:dyDescent="0.2">
      <c r="B15" s="567"/>
      <c r="C15" s="588"/>
      <c r="D15" s="588"/>
      <c r="E15" s="589"/>
      <c r="F15" s="650"/>
      <c r="G15" s="589"/>
      <c r="H15" s="590"/>
      <c r="J15" s="591"/>
      <c r="K15" s="663"/>
      <c r="L15" s="609"/>
      <c r="M15" s="573"/>
      <c r="O15" s="766"/>
      <c r="Q15" s="654"/>
      <c r="R15" s="655"/>
      <c r="S15" s="655"/>
      <c r="T15" s="655"/>
      <c r="U15" s="779"/>
      <c r="V15" s="703"/>
      <c r="W15" s="650"/>
      <c r="X15" s="687"/>
      <c r="Y15" s="771"/>
      <c r="Z15" s="771"/>
      <c r="AA15" s="782"/>
      <c r="AB15" s="782"/>
      <c r="AC15" s="783"/>
      <c r="AD15" s="784"/>
    </row>
    <row r="16" spans="2:30" x14ac:dyDescent="0.2">
      <c r="B16" s="567" t="s">
        <v>487</v>
      </c>
      <c r="C16" s="588">
        <v>0.3</v>
      </c>
      <c r="D16" s="588">
        <v>0.4</v>
      </c>
      <c r="E16" s="589">
        <v>6</v>
      </c>
      <c r="F16" s="650">
        <v>8</v>
      </c>
      <c r="G16" s="589">
        <v>28</v>
      </c>
      <c r="H16" s="590">
        <f>((1+F16/100)*(1+W16/100)-1)*100</f>
        <v>29.600000000000005</v>
      </c>
      <c r="J16" s="591">
        <f>(C16-D16)*((1+F16/100)/(1+F$19/100)-1)</f>
        <v>-1.5037593984962522E-3</v>
      </c>
      <c r="K16" s="663">
        <f>C16*((1+E16/100)/(1+F16/100)-1)*(1+F16/100)/(1+U$19/100)</f>
        <v>-5.7034220532319307E-3</v>
      </c>
      <c r="L16" s="663">
        <f>(C16-D16)*((1+W16/100)/(1+Z$19/100)-1)</f>
        <v>-9.0909090909090853E-3</v>
      </c>
      <c r="M16" s="592">
        <f>C16*((1+V16/100)/(1+W16/100)-1)*(1+W16/100)/(1+Y$19/100)</f>
        <v>2.0772027003635096E-3</v>
      </c>
      <c r="O16" s="766"/>
      <c r="Q16" s="654">
        <f>+C16*E16</f>
        <v>1.7999999999999998</v>
      </c>
      <c r="R16" s="655">
        <f>+D16*F16</f>
        <v>3.2</v>
      </c>
      <c r="S16" s="655">
        <f>+C16*G16</f>
        <v>8.4</v>
      </c>
      <c r="T16" s="655">
        <f>+D16*H16</f>
        <v>11.840000000000003</v>
      </c>
      <c r="U16" s="779">
        <f>+C16*F16</f>
        <v>2.4</v>
      </c>
      <c r="V16" s="703">
        <f>((1+G16/100)/(1+E16/100)-1)*100</f>
        <v>20.75471698113207</v>
      </c>
      <c r="W16" s="650">
        <v>20</v>
      </c>
      <c r="X16" s="780">
        <f>+C16*V16</f>
        <v>6.2264150943396208</v>
      </c>
      <c r="Y16" s="781">
        <f>+C16*W16</f>
        <v>6</v>
      </c>
      <c r="Z16" s="781">
        <f>+D16*W16</f>
        <v>8</v>
      </c>
      <c r="AA16" s="782">
        <f>+C16*V16*(1+E16/100)/(1+E$19/100)</f>
        <v>6.0941828254847632</v>
      </c>
      <c r="AB16" s="782">
        <f>+D16*W16*(1+F16/100)/(1+F$19/100)</f>
        <v>8.1203007518797001</v>
      </c>
      <c r="AC16" s="783" t="s">
        <v>0</v>
      </c>
      <c r="AD16" s="784" t="s">
        <v>0</v>
      </c>
    </row>
    <row r="17" spans="2:30" ht="13.5" thickBot="1" x14ac:dyDescent="0.25">
      <c r="B17" s="657"/>
      <c r="C17" s="658"/>
      <c r="D17" s="658"/>
      <c r="E17" s="659"/>
      <c r="F17" s="706"/>
      <c r="G17" s="659"/>
      <c r="H17" s="660"/>
      <c r="J17" s="785"/>
      <c r="K17" s="786"/>
      <c r="L17" s="786"/>
      <c r="M17" s="787"/>
      <c r="O17" s="766"/>
      <c r="Q17" s="654"/>
      <c r="R17" s="655"/>
      <c r="S17" s="655"/>
      <c r="T17" s="655"/>
      <c r="U17" s="779"/>
      <c r="V17" s="703"/>
      <c r="W17" s="650"/>
      <c r="X17" s="780"/>
      <c r="Y17" s="781"/>
      <c r="Z17" s="781"/>
      <c r="AA17" s="781"/>
      <c r="AB17" s="781"/>
      <c r="AC17" s="783"/>
      <c r="AD17" s="784"/>
    </row>
    <row r="18" spans="2:30" x14ac:dyDescent="0.2">
      <c r="B18" s="664"/>
      <c r="C18" s="665"/>
      <c r="D18" s="665"/>
      <c r="E18" s="666"/>
      <c r="F18" s="559"/>
      <c r="G18" s="666"/>
      <c r="H18" s="667"/>
      <c r="J18" s="591"/>
      <c r="K18" s="663"/>
      <c r="L18" s="609"/>
      <c r="M18" s="573"/>
      <c r="O18" s="766"/>
      <c r="Q18" s="788"/>
      <c r="R18" s="789"/>
      <c r="S18" s="789"/>
      <c r="T18" s="789"/>
      <c r="U18" s="790"/>
      <c r="V18" s="681"/>
      <c r="W18" s="811"/>
      <c r="X18" s="771"/>
      <c r="Y18" s="771"/>
      <c r="Z18" s="771"/>
      <c r="AA18" s="771"/>
      <c r="AB18" s="771"/>
      <c r="AC18" s="771"/>
      <c r="AD18" s="688"/>
    </row>
    <row r="19" spans="2:30" ht="16.5" thickBot="1" x14ac:dyDescent="0.3">
      <c r="B19" s="595" t="s">
        <v>16</v>
      </c>
      <c r="C19" s="596">
        <f>SUM(C3:C16)</f>
        <v>1</v>
      </c>
      <c r="D19" s="596">
        <v>1</v>
      </c>
      <c r="E19" s="598">
        <f>+Q19</f>
        <v>8.3000000000000007</v>
      </c>
      <c r="F19" s="792">
        <f>+R19</f>
        <v>6.4</v>
      </c>
      <c r="G19" s="668">
        <f>+S19</f>
        <v>17.810000000000002</v>
      </c>
      <c r="H19" s="669">
        <f>+T19</f>
        <v>16.960000000000008</v>
      </c>
      <c r="J19" s="601">
        <f>SUM(J12:J17)</f>
        <v>-1.1278195488721819E-2</v>
      </c>
      <c r="K19" s="793">
        <f>SUM(K3:K17)</f>
        <v>2.9467680608365007E-2</v>
      </c>
      <c r="L19" s="793">
        <f>SUM(L3:L17)</f>
        <v>-9.0909090909090853E-3</v>
      </c>
      <c r="M19" s="602">
        <f>SUM(M3:M17)</f>
        <v>2.6566329273070045E-3</v>
      </c>
      <c r="O19" s="766"/>
      <c r="Q19" s="794">
        <f>SUM(Q12:Q16)</f>
        <v>8.3000000000000007</v>
      </c>
      <c r="R19" s="795">
        <f>SUM(R12:R16)</f>
        <v>6.4</v>
      </c>
      <c r="S19" s="795">
        <f>SUM(S12:S16)</f>
        <v>17.810000000000002</v>
      </c>
      <c r="T19" s="795">
        <f>SUM(T12:T16)</f>
        <v>16.960000000000008</v>
      </c>
      <c r="U19" s="796">
        <f>SUM(U12:U16)</f>
        <v>5.1999999999999993</v>
      </c>
      <c r="V19" s="797">
        <f>((1+G19/100)/(1+E19/100)-1)*100</f>
        <v>8.7811634349030712</v>
      </c>
      <c r="W19" s="812">
        <f>((1+H19/100)/(1+F19/100)-1)*100</f>
        <v>9.9248120300751808</v>
      </c>
      <c r="X19" s="782">
        <f>SUM(X12:X16)</f>
        <v>9.2895729890764613</v>
      </c>
      <c r="Y19" s="782">
        <f>SUM(Y12:Y16)</f>
        <v>9</v>
      </c>
      <c r="Z19" s="782">
        <f>SUM(Z12:Z16)</f>
        <v>10</v>
      </c>
      <c r="AA19" s="782">
        <f>SUM(AA12:AA16)</f>
        <v>8.7811634349030445</v>
      </c>
      <c r="AB19" s="782">
        <f>SUM(AB12:AB16)</f>
        <v>9.9248120300751879</v>
      </c>
      <c r="AC19" s="783">
        <f>+(1+AA19/100)/(1+X19/100)-1</f>
        <v>-4.6519493147276769E-3</v>
      </c>
      <c r="AD19" s="784">
        <f>+(1+Z19/100)/(1+AB19/100)-1</f>
        <v>6.8399452804390748E-4</v>
      </c>
    </row>
    <row r="20" spans="2:30" x14ac:dyDescent="0.2">
      <c r="K20" s="572"/>
      <c r="L20" s="609"/>
      <c r="M20" s="573"/>
      <c r="O20" s="766"/>
      <c r="X20" s="687"/>
      <c r="Y20" s="771"/>
      <c r="Z20" s="800" t="s">
        <v>223</v>
      </c>
      <c r="AA20" s="801">
        <f>+(1+G19/100)/(1+E19/100)-1</f>
        <v>8.7811634349030721E-2</v>
      </c>
      <c r="AB20" s="801">
        <f>+(1+H19/100)/(1+F19/100)-1</f>
        <v>9.9248120300751808E-2</v>
      </c>
      <c r="AC20" s="783" t="s">
        <v>0</v>
      </c>
      <c r="AD20" s="784" t="s">
        <v>0</v>
      </c>
    </row>
    <row r="21" spans="2:30" ht="13.5" thickBot="1" x14ac:dyDescent="0.25">
      <c r="K21" s="613" t="s">
        <v>715</v>
      </c>
      <c r="L21" s="614"/>
      <c r="M21" s="615">
        <f>+AD21</f>
        <v>-3.9711366945597293E-3</v>
      </c>
      <c r="O21" s="766"/>
      <c r="X21" s="776"/>
      <c r="Y21" s="777"/>
      <c r="Z21" s="777"/>
      <c r="AA21" s="777"/>
      <c r="AB21" s="777" t="s">
        <v>716</v>
      </c>
      <c r="AC21" s="777"/>
      <c r="AD21" s="802">
        <f>(1+AC19)*(1+AD19)-1</f>
        <v>-3.9711366945597293E-3</v>
      </c>
    </row>
    <row r="22" spans="2:30" ht="13.5" thickBot="1" x14ac:dyDescent="0.25">
      <c r="O22" s="766"/>
      <c r="Q22" s="556" t="s">
        <v>0</v>
      </c>
      <c r="V22" s="803"/>
      <c r="W22" s="556" t="s">
        <v>0</v>
      </c>
    </row>
    <row r="23" spans="2:30" ht="16.5" thickBot="1" x14ac:dyDescent="0.3">
      <c r="J23" s="606" t="s">
        <v>507</v>
      </c>
      <c r="K23" s="676"/>
      <c r="L23" s="676"/>
      <c r="M23" s="608">
        <f>(1+G19/100)/(1+H19/100)-1</f>
        <v>7.2674418604652402E-3</v>
      </c>
      <c r="O23" s="766"/>
      <c r="T23" s="556" t="s">
        <v>703</v>
      </c>
      <c r="V23" s="813">
        <f>(1+V19/100)/(1+W19/100)-1</f>
        <v>-1.0403916768665589E-2</v>
      </c>
    </row>
    <row r="24" spans="2:30" x14ac:dyDescent="0.2">
      <c r="J24" s="572"/>
      <c r="K24" s="609"/>
      <c r="L24" s="609"/>
      <c r="M24" s="804"/>
      <c r="O24" s="766"/>
      <c r="Q24" s="556" t="s">
        <v>223</v>
      </c>
    </row>
    <row r="25" spans="2:30" x14ac:dyDescent="0.2">
      <c r="J25" s="572" t="s">
        <v>476</v>
      </c>
      <c r="K25" s="609"/>
      <c r="L25" s="609"/>
      <c r="M25" s="610">
        <f>+J19</f>
        <v>-1.1278195488721819E-2</v>
      </c>
      <c r="O25" s="766"/>
      <c r="Q25" s="764">
        <f>+(1+U19/100)/(1+F19/100)-1</f>
        <v>-1.1278195488721776E-2</v>
      </c>
      <c r="T25" s="556" t="s">
        <v>717</v>
      </c>
      <c r="V25" s="814">
        <f>(1+L19)*(1+M19)-1</f>
        <v>-6.4584273720320606E-3</v>
      </c>
    </row>
    <row r="26" spans="2:30" x14ac:dyDescent="0.2">
      <c r="I26" s="600"/>
      <c r="J26" s="572" t="s">
        <v>484</v>
      </c>
      <c r="K26" s="609"/>
      <c r="L26" s="609"/>
      <c r="M26" s="610">
        <f>+K19</f>
        <v>2.9467680608365007E-2</v>
      </c>
      <c r="O26" s="766"/>
      <c r="Q26" s="805">
        <f>+(1+E19/100)/(1+U19/100)-1</f>
        <v>2.946768060836491E-2</v>
      </c>
    </row>
    <row r="27" spans="2:30" x14ac:dyDescent="0.2">
      <c r="J27" s="572" t="s">
        <v>707</v>
      </c>
      <c r="K27" s="609"/>
      <c r="L27" s="609"/>
      <c r="M27" s="610">
        <f>L19</f>
        <v>-9.0909090909090853E-3</v>
      </c>
      <c r="O27" s="766"/>
      <c r="Q27" s="805">
        <f>+(1+Y19/100)/(1+Z19/100)-1</f>
        <v>-9.0909090909091494E-3</v>
      </c>
      <c r="T27" s="556" t="s">
        <v>223</v>
      </c>
      <c r="V27" s="814">
        <f>(1+V25)*(1+AD21)-1</f>
        <v>-1.0403916768665589E-2</v>
      </c>
    </row>
    <row r="28" spans="2:30" x14ac:dyDescent="0.2">
      <c r="J28" s="572" t="s">
        <v>725</v>
      </c>
      <c r="K28" s="609"/>
      <c r="L28" s="609"/>
      <c r="M28" s="610">
        <f>+M19</f>
        <v>2.6566329273070045E-3</v>
      </c>
      <c r="O28" s="766"/>
      <c r="Q28" s="765">
        <f>+(1+X19/100)/(1+Y19/100)-1</f>
        <v>2.6566329273070011E-3</v>
      </c>
    </row>
    <row r="29" spans="2:30" x14ac:dyDescent="0.2">
      <c r="J29" s="572" t="s">
        <v>715</v>
      </c>
      <c r="K29" s="609"/>
      <c r="L29" s="609"/>
      <c r="M29" s="610">
        <f>+M21</f>
        <v>-3.9711366945597293E-3</v>
      </c>
      <c r="O29" s="766"/>
    </row>
    <row r="30" spans="2:30" ht="13.5" thickBot="1" x14ac:dyDescent="0.25">
      <c r="J30" s="613" t="s">
        <v>141</v>
      </c>
      <c r="K30" s="614"/>
      <c r="L30" s="614"/>
      <c r="M30" s="615">
        <f>(1+M23)/((1+M25)*(1+M26)*(1+M27)*(1+M28)*(1+M29))-1</f>
        <v>0</v>
      </c>
      <c r="O30" s="766"/>
    </row>
    <row r="31" spans="2:30" x14ac:dyDescent="0.2">
      <c r="O31" s="766"/>
      <c r="Q31" s="556" t="s">
        <v>0</v>
      </c>
      <c r="V31" s="803"/>
      <c r="W31" s="556" t="s">
        <v>0</v>
      </c>
    </row>
  </sheetData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24</xdr:col>
                <xdr:colOff>171450</xdr:colOff>
                <xdr:row>7</xdr:row>
                <xdr:rowOff>38100</xdr:rowOff>
              </from>
              <to>
                <xdr:col>24</xdr:col>
                <xdr:colOff>400050</xdr:colOff>
                <xdr:row>8</xdr:row>
                <xdr:rowOff>66675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23</xdr:col>
                <xdr:colOff>209550</xdr:colOff>
                <xdr:row>7</xdr:row>
                <xdr:rowOff>47625</xdr:rowOff>
              </from>
              <to>
                <xdr:col>23</xdr:col>
                <xdr:colOff>371475</xdr:colOff>
                <xdr:row>8</xdr:row>
                <xdr:rowOff>76200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26</xdr:col>
                <xdr:colOff>314325</xdr:colOff>
                <xdr:row>7</xdr:row>
                <xdr:rowOff>47625</xdr:rowOff>
              </from>
              <to>
                <xdr:col>26</xdr:col>
                <xdr:colOff>476250</xdr:colOff>
                <xdr:row>8</xdr:row>
                <xdr:rowOff>76200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27</xdr:col>
                <xdr:colOff>238125</xdr:colOff>
                <xdr:row>7</xdr:row>
                <xdr:rowOff>28575</xdr:rowOff>
              </from>
              <to>
                <xdr:col>27</xdr:col>
                <xdr:colOff>419100</xdr:colOff>
                <xdr:row>8</xdr:row>
                <xdr:rowOff>57150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18</xdr:col>
                <xdr:colOff>209550</xdr:colOff>
                <xdr:row>7</xdr:row>
                <xdr:rowOff>19050</xdr:rowOff>
              </from>
              <to>
                <xdr:col>18</xdr:col>
                <xdr:colOff>361950</xdr:colOff>
                <xdr:row>7</xdr:row>
                <xdr:rowOff>180975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25</xdr:col>
                <xdr:colOff>266700</xdr:colOff>
                <xdr:row>7</xdr:row>
                <xdr:rowOff>38100</xdr:rowOff>
              </from>
              <to>
                <xdr:col>25</xdr:col>
                <xdr:colOff>447675</xdr:colOff>
                <xdr:row>8</xdr:row>
                <xdr:rowOff>66675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16</xdr:col>
                <xdr:colOff>257175</xdr:colOff>
                <xdr:row>6</xdr:row>
                <xdr:rowOff>161925</xdr:rowOff>
              </from>
              <to>
                <xdr:col>16</xdr:col>
                <xdr:colOff>409575</xdr:colOff>
                <xdr:row>7</xdr:row>
                <xdr:rowOff>180975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17</xdr:col>
                <xdr:colOff>171450</xdr:colOff>
                <xdr:row>6</xdr:row>
                <xdr:rowOff>161925</xdr:rowOff>
              </from>
              <to>
                <xdr:col>17</xdr:col>
                <xdr:colOff>352425</xdr:colOff>
                <xdr:row>7</xdr:row>
                <xdr:rowOff>180975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19</xdr:col>
                <xdr:colOff>228600</xdr:colOff>
                <xdr:row>7</xdr:row>
                <xdr:rowOff>0</xdr:rowOff>
              </from>
              <to>
                <xdr:col>19</xdr:col>
                <xdr:colOff>352425</xdr:colOff>
                <xdr:row>7</xdr:row>
                <xdr:rowOff>180975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20</xdr:col>
                <xdr:colOff>209550</xdr:colOff>
                <xdr:row>7</xdr:row>
                <xdr:rowOff>19050</xdr:rowOff>
              </from>
              <to>
                <xdr:col>20</xdr:col>
                <xdr:colOff>428625</xdr:colOff>
                <xdr:row>8</xdr:row>
                <xdr:rowOff>47625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21</xdr:col>
                <xdr:colOff>304800</xdr:colOff>
                <xdr:row>7</xdr:row>
                <xdr:rowOff>85725</xdr:rowOff>
              </from>
              <to>
                <xdr:col>21</xdr:col>
                <xdr:colOff>457200</xdr:colOff>
                <xdr:row>8</xdr:row>
                <xdr:rowOff>114300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22</xdr:col>
                <xdr:colOff>200025</xdr:colOff>
                <xdr:row>7</xdr:row>
                <xdr:rowOff>66675</xdr:rowOff>
              </from>
              <to>
                <xdr:col>22</xdr:col>
                <xdr:colOff>352425</xdr:colOff>
                <xdr:row>8</xdr:row>
                <xdr:rowOff>95250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2</xdr:col>
                <xdr:colOff>228600</xdr:colOff>
                <xdr:row>7</xdr:row>
                <xdr:rowOff>38100</xdr:rowOff>
              </from>
              <to>
                <xdr:col>2</xdr:col>
                <xdr:colOff>409575</xdr:colOff>
                <xdr:row>8</xdr:row>
                <xdr:rowOff>66675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3</xdr:col>
                <xdr:colOff>238125</xdr:colOff>
                <xdr:row>7</xdr:row>
                <xdr:rowOff>66675</xdr:rowOff>
              </from>
              <to>
                <xdr:col>3</xdr:col>
                <xdr:colOff>428625</xdr:colOff>
                <xdr:row>8</xdr:row>
                <xdr:rowOff>95250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4</xdr:col>
                <xdr:colOff>352425</xdr:colOff>
                <xdr:row>7</xdr:row>
                <xdr:rowOff>57150</xdr:rowOff>
              </from>
              <to>
                <xdr:col>4</xdr:col>
                <xdr:colOff>533400</xdr:colOff>
                <xdr:row>8</xdr:row>
                <xdr:rowOff>85725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5</xdr:col>
                <xdr:colOff>247650</xdr:colOff>
                <xdr:row>7</xdr:row>
                <xdr:rowOff>47625</xdr:rowOff>
              </from>
              <to>
                <xdr:col>5</xdr:col>
                <xdr:colOff>438150</xdr:colOff>
                <xdr:row>8</xdr:row>
                <xdr:rowOff>76200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6</xdr:col>
                <xdr:colOff>333375</xdr:colOff>
                <xdr:row>7</xdr:row>
                <xdr:rowOff>47625</xdr:rowOff>
              </from>
              <to>
                <xdr:col>6</xdr:col>
                <xdr:colOff>457200</xdr:colOff>
                <xdr:row>8</xdr:row>
                <xdr:rowOff>76200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7</xdr:col>
                <xdr:colOff>247650</xdr:colOff>
                <xdr:row>7</xdr:row>
                <xdr:rowOff>28575</xdr:rowOff>
              </from>
              <to>
                <xdr:col>7</xdr:col>
                <xdr:colOff>390525</xdr:colOff>
                <xdr:row>8</xdr:row>
                <xdr:rowOff>57150</xdr:rowOff>
              </to>
            </anchor>
          </objectPr>
        </oleObject>
      </mc:Choice>
      <mc:Fallback>
        <oleObject progId="Equation.3" shapeId="33810" r:id="rId38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4AA-B509-4405-AB58-FA81A38C02A1}">
  <dimension ref="B2:AI31"/>
  <sheetViews>
    <sheetView workbookViewId="0">
      <selection activeCell="T24" sqref="T24"/>
    </sheetView>
  </sheetViews>
  <sheetFormatPr defaultRowHeight="12.75" x14ac:dyDescent="0.2"/>
  <cols>
    <col min="1" max="1" width="9.140625" style="556"/>
    <col min="2" max="2" width="17.7109375" style="556" customWidth="1"/>
    <col min="3" max="8" width="10.7109375" style="556" customWidth="1"/>
    <col min="9" max="9" width="9.140625" style="556"/>
    <col min="10" max="10" width="10.7109375" style="556" customWidth="1"/>
    <col min="11" max="12" width="11.7109375" style="556" customWidth="1"/>
    <col min="13" max="13" width="10.7109375" style="556" customWidth="1"/>
    <col min="14" max="14" width="9.140625" style="556"/>
    <col min="15" max="15" width="2.7109375" style="556" customWidth="1"/>
    <col min="16" max="20" width="9.140625" style="556"/>
    <col min="21" max="22" width="10.7109375" style="556" customWidth="1"/>
    <col min="23" max="23" width="12.7109375" style="556" customWidth="1"/>
    <col min="24" max="24" width="12.28515625" style="556" customWidth="1"/>
    <col min="25" max="27" width="10.7109375" style="556" customWidth="1"/>
    <col min="28" max="30" width="9.140625" style="556"/>
    <col min="31" max="33" width="10.7109375" style="556" customWidth="1"/>
    <col min="34" max="35" width="12.7109375" style="556" customWidth="1"/>
    <col min="36" max="257" width="9.140625" style="556"/>
    <col min="258" max="258" width="17.7109375" style="556" customWidth="1"/>
    <col min="259" max="264" width="10.7109375" style="556" customWidth="1"/>
    <col min="265" max="265" width="9.140625" style="556"/>
    <col min="266" max="266" width="10.7109375" style="556" customWidth="1"/>
    <col min="267" max="268" width="11.7109375" style="556" customWidth="1"/>
    <col min="269" max="269" width="10.7109375" style="556" customWidth="1"/>
    <col min="270" max="270" width="9.140625" style="556"/>
    <col min="271" max="271" width="2.7109375" style="556" customWidth="1"/>
    <col min="272" max="276" width="9.140625" style="556"/>
    <col min="277" max="278" width="10.7109375" style="556" customWidth="1"/>
    <col min="279" max="279" width="12.7109375" style="556" customWidth="1"/>
    <col min="280" max="283" width="10.7109375" style="556" customWidth="1"/>
    <col min="284" max="286" width="9.140625" style="556"/>
    <col min="287" max="289" width="10.7109375" style="556" customWidth="1"/>
    <col min="290" max="291" width="12.7109375" style="556" customWidth="1"/>
    <col min="292" max="513" width="9.140625" style="556"/>
    <col min="514" max="514" width="17.7109375" style="556" customWidth="1"/>
    <col min="515" max="520" width="10.7109375" style="556" customWidth="1"/>
    <col min="521" max="521" width="9.140625" style="556"/>
    <col min="522" max="522" width="10.7109375" style="556" customWidth="1"/>
    <col min="523" max="524" width="11.7109375" style="556" customWidth="1"/>
    <col min="525" max="525" width="10.7109375" style="556" customWidth="1"/>
    <col min="526" max="526" width="9.140625" style="556"/>
    <col min="527" max="527" width="2.7109375" style="556" customWidth="1"/>
    <col min="528" max="532" width="9.140625" style="556"/>
    <col min="533" max="534" width="10.7109375" style="556" customWidth="1"/>
    <col min="535" max="535" width="12.7109375" style="556" customWidth="1"/>
    <col min="536" max="539" width="10.7109375" style="556" customWidth="1"/>
    <col min="540" max="542" width="9.140625" style="556"/>
    <col min="543" max="545" width="10.7109375" style="556" customWidth="1"/>
    <col min="546" max="547" width="12.7109375" style="556" customWidth="1"/>
    <col min="548" max="769" width="9.140625" style="556"/>
    <col min="770" max="770" width="17.7109375" style="556" customWidth="1"/>
    <col min="771" max="776" width="10.7109375" style="556" customWidth="1"/>
    <col min="777" max="777" width="9.140625" style="556"/>
    <col min="778" max="778" width="10.7109375" style="556" customWidth="1"/>
    <col min="779" max="780" width="11.7109375" style="556" customWidth="1"/>
    <col min="781" max="781" width="10.7109375" style="556" customWidth="1"/>
    <col min="782" max="782" width="9.140625" style="556"/>
    <col min="783" max="783" width="2.7109375" style="556" customWidth="1"/>
    <col min="784" max="788" width="9.140625" style="556"/>
    <col min="789" max="790" width="10.7109375" style="556" customWidth="1"/>
    <col min="791" max="791" width="12.7109375" style="556" customWidth="1"/>
    <col min="792" max="795" width="10.7109375" style="556" customWidth="1"/>
    <col min="796" max="798" width="9.140625" style="556"/>
    <col min="799" max="801" width="10.7109375" style="556" customWidth="1"/>
    <col min="802" max="803" width="12.7109375" style="556" customWidth="1"/>
    <col min="804" max="1025" width="9.140625" style="556"/>
    <col min="1026" max="1026" width="17.7109375" style="556" customWidth="1"/>
    <col min="1027" max="1032" width="10.7109375" style="556" customWidth="1"/>
    <col min="1033" max="1033" width="9.140625" style="556"/>
    <col min="1034" max="1034" width="10.7109375" style="556" customWidth="1"/>
    <col min="1035" max="1036" width="11.7109375" style="556" customWidth="1"/>
    <col min="1037" max="1037" width="10.7109375" style="556" customWidth="1"/>
    <col min="1038" max="1038" width="9.140625" style="556"/>
    <col min="1039" max="1039" width="2.7109375" style="556" customWidth="1"/>
    <col min="1040" max="1044" width="9.140625" style="556"/>
    <col min="1045" max="1046" width="10.7109375" style="556" customWidth="1"/>
    <col min="1047" max="1047" width="12.7109375" style="556" customWidth="1"/>
    <col min="1048" max="1051" width="10.7109375" style="556" customWidth="1"/>
    <col min="1052" max="1054" width="9.140625" style="556"/>
    <col min="1055" max="1057" width="10.7109375" style="556" customWidth="1"/>
    <col min="1058" max="1059" width="12.7109375" style="556" customWidth="1"/>
    <col min="1060" max="1281" width="9.140625" style="556"/>
    <col min="1282" max="1282" width="17.7109375" style="556" customWidth="1"/>
    <col min="1283" max="1288" width="10.7109375" style="556" customWidth="1"/>
    <col min="1289" max="1289" width="9.140625" style="556"/>
    <col min="1290" max="1290" width="10.7109375" style="556" customWidth="1"/>
    <col min="1291" max="1292" width="11.7109375" style="556" customWidth="1"/>
    <col min="1293" max="1293" width="10.7109375" style="556" customWidth="1"/>
    <col min="1294" max="1294" width="9.140625" style="556"/>
    <col min="1295" max="1295" width="2.7109375" style="556" customWidth="1"/>
    <col min="1296" max="1300" width="9.140625" style="556"/>
    <col min="1301" max="1302" width="10.7109375" style="556" customWidth="1"/>
    <col min="1303" max="1303" width="12.7109375" style="556" customWidth="1"/>
    <col min="1304" max="1307" width="10.7109375" style="556" customWidth="1"/>
    <col min="1308" max="1310" width="9.140625" style="556"/>
    <col min="1311" max="1313" width="10.7109375" style="556" customWidth="1"/>
    <col min="1314" max="1315" width="12.7109375" style="556" customWidth="1"/>
    <col min="1316" max="1537" width="9.140625" style="556"/>
    <col min="1538" max="1538" width="17.7109375" style="556" customWidth="1"/>
    <col min="1539" max="1544" width="10.7109375" style="556" customWidth="1"/>
    <col min="1545" max="1545" width="9.140625" style="556"/>
    <col min="1546" max="1546" width="10.7109375" style="556" customWidth="1"/>
    <col min="1547" max="1548" width="11.7109375" style="556" customWidth="1"/>
    <col min="1549" max="1549" width="10.7109375" style="556" customWidth="1"/>
    <col min="1550" max="1550" width="9.140625" style="556"/>
    <col min="1551" max="1551" width="2.7109375" style="556" customWidth="1"/>
    <col min="1552" max="1556" width="9.140625" style="556"/>
    <col min="1557" max="1558" width="10.7109375" style="556" customWidth="1"/>
    <col min="1559" max="1559" width="12.7109375" style="556" customWidth="1"/>
    <col min="1560" max="1563" width="10.7109375" style="556" customWidth="1"/>
    <col min="1564" max="1566" width="9.140625" style="556"/>
    <col min="1567" max="1569" width="10.7109375" style="556" customWidth="1"/>
    <col min="1570" max="1571" width="12.7109375" style="556" customWidth="1"/>
    <col min="1572" max="1793" width="9.140625" style="556"/>
    <col min="1794" max="1794" width="17.7109375" style="556" customWidth="1"/>
    <col min="1795" max="1800" width="10.7109375" style="556" customWidth="1"/>
    <col min="1801" max="1801" width="9.140625" style="556"/>
    <col min="1802" max="1802" width="10.7109375" style="556" customWidth="1"/>
    <col min="1803" max="1804" width="11.7109375" style="556" customWidth="1"/>
    <col min="1805" max="1805" width="10.7109375" style="556" customWidth="1"/>
    <col min="1806" max="1806" width="9.140625" style="556"/>
    <col min="1807" max="1807" width="2.7109375" style="556" customWidth="1"/>
    <col min="1808" max="1812" width="9.140625" style="556"/>
    <col min="1813" max="1814" width="10.7109375" style="556" customWidth="1"/>
    <col min="1815" max="1815" width="12.7109375" style="556" customWidth="1"/>
    <col min="1816" max="1819" width="10.7109375" style="556" customWidth="1"/>
    <col min="1820" max="1822" width="9.140625" style="556"/>
    <col min="1823" max="1825" width="10.7109375" style="556" customWidth="1"/>
    <col min="1826" max="1827" width="12.7109375" style="556" customWidth="1"/>
    <col min="1828" max="2049" width="9.140625" style="556"/>
    <col min="2050" max="2050" width="17.7109375" style="556" customWidth="1"/>
    <col min="2051" max="2056" width="10.7109375" style="556" customWidth="1"/>
    <col min="2057" max="2057" width="9.140625" style="556"/>
    <col min="2058" max="2058" width="10.7109375" style="556" customWidth="1"/>
    <col min="2059" max="2060" width="11.7109375" style="556" customWidth="1"/>
    <col min="2061" max="2061" width="10.7109375" style="556" customWidth="1"/>
    <col min="2062" max="2062" width="9.140625" style="556"/>
    <col min="2063" max="2063" width="2.7109375" style="556" customWidth="1"/>
    <col min="2064" max="2068" width="9.140625" style="556"/>
    <col min="2069" max="2070" width="10.7109375" style="556" customWidth="1"/>
    <col min="2071" max="2071" width="12.7109375" style="556" customWidth="1"/>
    <col min="2072" max="2075" width="10.7109375" style="556" customWidth="1"/>
    <col min="2076" max="2078" width="9.140625" style="556"/>
    <col min="2079" max="2081" width="10.7109375" style="556" customWidth="1"/>
    <col min="2082" max="2083" width="12.7109375" style="556" customWidth="1"/>
    <col min="2084" max="2305" width="9.140625" style="556"/>
    <col min="2306" max="2306" width="17.7109375" style="556" customWidth="1"/>
    <col min="2307" max="2312" width="10.7109375" style="556" customWidth="1"/>
    <col min="2313" max="2313" width="9.140625" style="556"/>
    <col min="2314" max="2314" width="10.7109375" style="556" customWidth="1"/>
    <col min="2315" max="2316" width="11.7109375" style="556" customWidth="1"/>
    <col min="2317" max="2317" width="10.7109375" style="556" customWidth="1"/>
    <col min="2318" max="2318" width="9.140625" style="556"/>
    <col min="2319" max="2319" width="2.7109375" style="556" customWidth="1"/>
    <col min="2320" max="2324" width="9.140625" style="556"/>
    <col min="2325" max="2326" width="10.7109375" style="556" customWidth="1"/>
    <col min="2327" max="2327" width="12.7109375" style="556" customWidth="1"/>
    <col min="2328" max="2331" width="10.7109375" style="556" customWidth="1"/>
    <col min="2332" max="2334" width="9.140625" style="556"/>
    <col min="2335" max="2337" width="10.7109375" style="556" customWidth="1"/>
    <col min="2338" max="2339" width="12.7109375" style="556" customWidth="1"/>
    <col min="2340" max="2561" width="9.140625" style="556"/>
    <col min="2562" max="2562" width="17.7109375" style="556" customWidth="1"/>
    <col min="2563" max="2568" width="10.7109375" style="556" customWidth="1"/>
    <col min="2569" max="2569" width="9.140625" style="556"/>
    <col min="2570" max="2570" width="10.7109375" style="556" customWidth="1"/>
    <col min="2571" max="2572" width="11.7109375" style="556" customWidth="1"/>
    <col min="2573" max="2573" width="10.7109375" style="556" customWidth="1"/>
    <col min="2574" max="2574" width="9.140625" style="556"/>
    <col min="2575" max="2575" width="2.7109375" style="556" customWidth="1"/>
    <col min="2576" max="2580" width="9.140625" style="556"/>
    <col min="2581" max="2582" width="10.7109375" style="556" customWidth="1"/>
    <col min="2583" max="2583" width="12.7109375" style="556" customWidth="1"/>
    <col min="2584" max="2587" width="10.7109375" style="556" customWidth="1"/>
    <col min="2588" max="2590" width="9.140625" style="556"/>
    <col min="2591" max="2593" width="10.7109375" style="556" customWidth="1"/>
    <col min="2594" max="2595" width="12.7109375" style="556" customWidth="1"/>
    <col min="2596" max="2817" width="9.140625" style="556"/>
    <col min="2818" max="2818" width="17.7109375" style="556" customWidth="1"/>
    <col min="2819" max="2824" width="10.7109375" style="556" customWidth="1"/>
    <col min="2825" max="2825" width="9.140625" style="556"/>
    <col min="2826" max="2826" width="10.7109375" style="556" customWidth="1"/>
    <col min="2827" max="2828" width="11.7109375" style="556" customWidth="1"/>
    <col min="2829" max="2829" width="10.7109375" style="556" customWidth="1"/>
    <col min="2830" max="2830" width="9.140625" style="556"/>
    <col min="2831" max="2831" width="2.7109375" style="556" customWidth="1"/>
    <col min="2832" max="2836" width="9.140625" style="556"/>
    <col min="2837" max="2838" width="10.7109375" style="556" customWidth="1"/>
    <col min="2839" max="2839" width="12.7109375" style="556" customWidth="1"/>
    <col min="2840" max="2843" width="10.7109375" style="556" customWidth="1"/>
    <col min="2844" max="2846" width="9.140625" style="556"/>
    <col min="2847" max="2849" width="10.7109375" style="556" customWidth="1"/>
    <col min="2850" max="2851" width="12.7109375" style="556" customWidth="1"/>
    <col min="2852" max="3073" width="9.140625" style="556"/>
    <col min="3074" max="3074" width="17.7109375" style="556" customWidth="1"/>
    <col min="3075" max="3080" width="10.7109375" style="556" customWidth="1"/>
    <col min="3081" max="3081" width="9.140625" style="556"/>
    <col min="3082" max="3082" width="10.7109375" style="556" customWidth="1"/>
    <col min="3083" max="3084" width="11.7109375" style="556" customWidth="1"/>
    <col min="3085" max="3085" width="10.7109375" style="556" customWidth="1"/>
    <col min="3086" max="3086" width="9.140625" style="556"/>
    <col min="3087" max="3087" width="2.7109375" style="556" customWidth="1"/>
    <col min="3088" max="3092" width="9.140625" style="556"/>
    <col min="3093" max="3094" width="10.7109375" style="556" customWidth="1"/>
    <col min="3095" max="3095" width="12.7109375" style="556" customWidth="1"/>
    <col min="3096" max="3099" width="10.7109375" style="556" customWidth="1"/>
    <col min="3100" max="3102" width="9.140625" style="556"/>
    <col min="3103" max="3105" width="10.7109375" style="556" customWidth="1"/>
    <col min="3106" max="3107" width="12.7109375" style="556" customWidth="1"/>
    <col min="3108" max="3329" width="9.140625" style="556"/>
    <col min="3330" max="3330" width="17.7109375" style="556" customWidth="1"/>
    <col min="3331" max="3336" width="10.7109375" style="556" customWidth="1"/>
    <col min="3337" max="3337" width="9.140625" style="556"/>
    <col min="3338" max="3338" width="10.7109375" style="556" customWidth="1"/>
    <col min="3339" max="3340" width="11.7109375" style="556" customWidth="1"/>
    <col min="3341" max="3341" width="10.7109375" style="556" customWidth="1"/>
    <col min="3342" max="3342" width="9.140625" style="556"/>
    <col min="3343" max="3343" width="2.7109375" style="556" customWidth="1"/>
    <col min="3344" max="3348" width="9.140625" style="556"/>
    <col min="3349" max="3350" width="10.7109375" style="556" customWidth="1"/>
    <col min="3351" max="3351" width="12.7109375" style="556" customWidth="1"/>
    <col min="3352" max="3355" width="10.7109375" style="556" customWidth="1"/>
    <col min="3356" max="3358" width="9.140625" style="556"/>
    <col min="3359" max="3361" width="10.7109375" style="556" customWidth="1"/>
    <col min="3362" max="3363" width="12.7109375" style="556" customWidth="1"/>
    <col min="3364" max="3585" width="9.140625" style="556"/>
    <col min="3586" max="3586" width="17.7109375" style="556" customWidth="1"/>
    <col min="3587" max="3592" width="10.7109375" style="556" customWidth="1"/>
    <col min="3593" max="3593" width="9.140625" style="556"/>
    <col min="3594" max="3594" width="10.7109375" style="556" customWidth="1"/>
    <col min="3595" max="3596" width="11.7109375" style="556" customWidth="1"/>
    <col min="3597" max="3597" width="10.7109375" style="556" customWidth="1"/>
    <col min="3598" max="3598" width="9.140625" style="556"/>
    <col min="3599" max="3599" width="2.7109375" style="556" customWidth="1"/>
    <col min="3600" max="3604" width="9.140625" style="556"/>
    <col min="3605" max="3606" width="10.7109375" style="556" customWidth="1"/>
    <col min="3607" max="3607" width="12.7109375" style="556" customWidth="1"/>
    <col min="3608" max="3611" width="10.7109375" style="556" customWidth="1"/>
    <col min="3612" max="3614" width="9.140625" style="556"/>
    <col min="3615" max="3617" width="10.7109375" style="556" customWidth="1"/>
    <col min="3618" max="3619" width="12.7109375" style="556" customWidth="1"/>
    <col min="3620" max="3841" width="9.140625" style="556"/>
    <col min="3842" max="3842" width="17.7109375" style="556" customWidth="1"/>
    <col min="3843" max="3848" width="10.7109375" style="556" customWidth="1"/>
    <col min="3849" max="3849" width="9.140625" style="556"/>
    <col min="3850" max="3850" width="10.7109375" style="556" customWidth="1"/>
    <col min="3851" max="3852" width="11.7109375" style="556" customWidth="1"/>
    <col min="3853" max="3853" width="10.7109375" style="556" customWidth="1"/>
    <col min="3854" max="3854" width="9.140625" style="556"/>
    <col min="3855" max="3855" width="2.7109375" style="556" customWidth="1"/>
    <col min="3856" max="3860" width="9.140625" style="556"/>
    <col min="3861" max="3862" width="10.7109375" style="556" customWidth="1"/>
    <col min="3863" max="3863" width="12.7109375" style="556" customWidth="1"/>
    <col min="3864" max="3867" width="10.7109375" style="556" customWidth="1"/>
    <col min="3868" max="3870" width="9.140625" style="556"/>
    <col min="3871" max="3873" width="10.7109375" style="556" customWidth="1"/>
    <col min="3874" max="3875" width="12.7109375" style="556" customWidth="1"/>
    <col min="3876" max="4097" width="9.140625" style="556"/>
    <col min="4098" max="4098" width="17.7109375" style="556" customWidth="1"/>
    <col min="4099" max="4104" width="10.7109375" style="556" customWidth="1"/>
    <col min="4105" max="4105" width="9.140625" style="556"/>
    <col min="4106" max="4106" width="10.7109375" style="556" customWidth="1"/>
    <col min="4107" max="4108" width="11.7109375" style="556" customWidth="1"/>
    <col min="4109" max="4109" width="10.7109375" style="556" customWidth="1"/>
    <col min="4110" max="4110" width="9.140625" style="556"/>
    <col min="4111" max="4111" width="2.7109375" style="556" customWidth="1"/>
    <col min="4112" max="4116" width="9.140625" style="556"/>
    <col min="4117" max="4118" width="10.7109375" style="556" customWidth="1"/>
    <col min="4119" max="4119" width="12.7109375" style="556" customWidth="1"/>
    <col min="4120" max="4123" width="10.7109375" style="556" customWidth="1"/>
    <col min="4124" max="4126" width="9.140625" style="556"/>
    <col min="4127" max="4129" width="10.7109375" style="556" customWidth="1"/>
    <col min="4130" max="4131" width="12.7109375" style="556" customWidth="1"/>
    <col min="4132" max="4353" width="9.140625" style="556"/>
    <col min="4354" max="4354" width="17.7109375" style="556" customWidth="1"/>
    <col min="4355" max="4360" width="10.7109375" style="556" customWidth="1"/>
    <col min="4361" max="4361" width="9.140625" style="556"/>
    <col min="4362" max="4362" width="10.7109375" style="556" customWidth="1"/>
    <col min="4363" max="4364" width="11.7109375" style="556" customWidth="1"/>
    <col min="4365" max="4365" width="10.7109375" style="556" customWidth="1"/>
    <col min="4366" max="4366" width="9.140625" style="556"/>
    <col min="4367" max="4367" width="2.7109375" style="556" customWidth="1"/>
    <col min="4368" max="4372" width="9.140625" style="556"/>
    <col min="4373" max="4374" width="10.7109375" style="556" customWidth="1"/>
    <col min="4375" max="4375" width="12.7109375" style="556" customWidth="1"/>
    <col min="4376" max="4379" width="10.7109375" style="556" customWidth="1"/>
    <col min="4380" max="4382" width="9.140625" style="556"/>
    <col min="4383" max="4385" width="10.7109375" style="556" customWidth="1"/>
    <col min="4386" max="4387" width="12.7109375" style="556" customWidth="1"/>
    <col min="4388" max="4609" width="9.140625" style="556"/>
    <col min="4610" max="4610" width="17.7109375" style="556" customWidth="1"/>
    <col min="4611" max="4616" width="10.7109375" style="556" customWidth="1"/>
    <col min="4617" max="4617" width="9.140625" style="556"/>
    <col min="4618" max="4618" width="10.7109375" style="556" customWidth="1"/>
    <col min="4619" max="4620" width="11.7109375" style="556" customWidth="1"/>
    <col min="4621" max="4621" width="10.7109375" style="556" customWidth="1"/>
    <col min="4622" max="4622" width="9.140625" style="556"/>
    <col min="4623" max="4623" width="2.7109375" style="556" customWidth="1"/>
    <col min="4624" max="4628" width="9.140625" style="556"/>
    <col min="4629" max="4630" width="10.7109375" style="556" customWidth="1"/>
    <col min="4631" max="4631" width="12.7109375" style="556" customWidth="1"/>
    <col min="4632" max="4635" width="10.7109375" style="556" customWidth="1"/>
    <col min="4636" max="4638" width="9.140625" style="556"/>
    <col min="4639" max="4641" width="10.7109375" style="556" customWidth="1"/>
    <col min="4642" max="4643" width="12.7109375" style="556" customWidth="1"/>
    <col min="4644" max="4865" width="9.140625" style="556"/>
    <col min="4866" max="4866" width="17.7109375" style="556" customWidth="1"/>
    <col min="4867" max="4872" width="10.7109375" style="556" customWidth="1"/>
    <col min="4873" max="4873" width="9.140625" style="556"/>
    <col min="4874" max="4874" width="10.7109375" style="556" customWidth="1"/>
    <col min="4875" max="4876" width="11.7109375" style="556" customWidth="1"/>
    <col min="4877" max="4877" width="10.7109375" style="556" customWidth="1"/>
    <col min="4878" max="4878" width="9.140625" style="556"/>
    <col min="4879" max="4879" width="2.7109375" style="556" customWidth="1"/>
    <col min="4880" max="4884" width="9.140625" style="556"/>
    <col min="4885" max="4886" width="10.7109375" style="556" customWidth="1"/>
    <col min="4887" max="4887" width="12.7109375" style="556" customWidth="1"/>
    <col min="4888" max="4891" width="10.7109375" style="556" customWidth="1"/>
    <col min="4892" max="4894" width="9.140625" style="556"/>
    <col min="4895" max="4897" width="10.7109375" style="556" customWidth="1"/>
    <col min="4898" max="4899" width="12.7109375" style="556" customWidth="1"/>
    <col min="4900" max="5121" width="9.140625" style="556"/>
    <col min="5122" max="5122" width="17.7109375" style="556" customWidth="1"/>
    <col min="5123" max="5128" width="10.7109375" style="556" customWidth="1"/>
    <col min="5129" max="5129" width="9.140625" style="556"/>
    <col min="5130" max="5130" width="10.7109375" style="556" customWidth="1"/>
    <col min="5131" max="5132" width="11.7109375" style="556" customWidth="1"/>
    <col min="5133" max="5133" width="10.7109375" style="556" customWidth="1"/>
    <col min="5134" max="5134" width="9.140625" style="556"/>
    <col min="5135" max="5135" width="2.7109375" style="556" customWidth="1"/>
    <col min="5136" max="5140" width="9.140625" style="556"/>
    <col min="5141" max="5142" width="10.7109375" style="556" customWidth="1"/>
    <col min="5143" max="5143" width="12.7109375" style="556" customWidth="1"/>
    <col min="5144" max="5147" width="10.7109375" style="556" customWidth="1"/>
    <col min="5148" max="5150" width="9.140625" style="556"/>
    <col min="5151" max="5153" width="10.7109375" style="556" customWidth="1"/>
    <col min="5154" max="5155" width="12.7109375" style="556" customWidth="1"/>
    <col min="5156" max="5377" width="9.140625" style="556"/>
    <col min="5378" max="5378" width="17.7109375" style="556" customWidth="1"/>
    <col min="5379" max="5384" width="10.7109375" style="556" customWidth="1"/>
    <col min="5385" max="5385" width="9.140625" style="556"/>
    <col min="5386" max="5386" width="10.7109375" style="556" customWidth="1"/>
    <col min="5387" max="5388" width="11.7109375" style="556" customWidth="1"/>
    <col min="5389" max="5389" width="10.7109375" style="556" customWidth="1"/>
    <col min="5390" max="5390" width="9.140625" style="556"/>
    <col min="5391" max="5391" width="2.7109375" style="556" customWidth="1"/>
    <col min="5392" max="5396" width="9.140625" style="556"/>
    <col min="5397" max="5398" width="10.7109375" style="556" customWidth="1"/>
    <col min="5399" max="5399" width="12.7109375" style="556" customWidth="1"/>
    <col min="5400" max="5403" width="10.7109375" style="556" customWidth="1"/>
    <col min="5404" max="5406" width="9.140625" style="556"/>
    <col min="5407" max="5409" width="10.7109375" style="556" customWidth="1"/>
    <col min="5410" max="5411" width="12.7109375" style="556" customWidth="1"/>
    <col min="5412" max="5633" width="9.140625" style="556"/>
    <col min="5634" max="5634" width="17.7109375" style="556" customWidth="1"/>
    <col min="5635" max="5640" width="10.7109375" style="556" customWidth="1"/>
    <col min="5641" max="5641" width="9.140625" style="556"/>
    <col min="5642" max="5642" width="10.7109375" style="556" customWidth="1"/>
    <col min="5643" max="5644" width="11.7109375" style="556" customWidth="1"/>
    <col min="5645" max="5645" width="10.7109375" style="556" customWidth="1"/>
    <col min="5646" max="5646" width="9.140625" style="556"/>
    <col min="5647" max="5647" width="2.7109375" style="556" customWidth="1"/>
    <col min="5648" max="5652" width="9.140625" style="556"/>
    <col min="5653" max="5654" width="10.7109375" style="556" customWidth="1"/>
    <col min="5655" max="5655" width="12.7109375" style="556" customWidth="1"/>
    <col min="5656" max="5659" width="10.7109375" style="556" customWidth="1"/>
    <col min="5660" max="5662" width="9.140625" style="556"/>
    <col min="5663" max="5665" width="10.7109375" style="556" customWidth="1"/>
    <col min="5666" max="5667" width="12.7109375" style="556" customWidth="1"/>
    <col min="5668" max="5889" width="9.140625" style="556"/>
    <col min="5890" max="5890" width="17.7109375" style="556" customWidth="1"/>
    <col min="5891" max="5896" width="10.7109375" style="556" customWidth="1"/>
    <col min="5897" max="5897" width="9.140625" style="556"/>
    <col min="5898" max="5898" width="10.7109375" style="556" customWidth="1"/>
    <col min="5899" max="5900" width="11.7109375" style="556" customWidth="1"/>
    <col min="5901" max="5901" width="10.7109375" style="556" customWidth="1"/>
    <col min="5902" max="5902" width="9.140625" style="556"/>
    <col min="5903" max="5903" width="2.7109375" style="556" customWidth="1"/>
    <col min="5904" max="5908" width="9.140625" style="556"/>
    <col min="5909" max="5910" width="10.7109375" style="556" customWidth="1"/>
    <col min="5911" max="5911" width="12.7109375" style="556" customWidth="1"/>
    <col min="5912" max="5915" width="10.7109375" style="556" customWidth="1"/>
    <col min="5916" max="5918" width="9.140625" style="556"/>
    <col min="5919" max="5921" width="10.7109375" style="556" customWidth="1"/>
    <col min="5922" max="5923" width="12.7109375" style="556" customWidth="1"/>
    <col min="5924" max="6145" width="9.140625" style="556"/>
    <col min="6146" max="6146" width="17.7109375" style="556" customWidth="1"/>
    <col min="6147" max="6152" width="10.7109375" style="556" customWidth="1"/>
    <col min="6153" max="6153" width="9.140625" style="556"/>
    <col min="6154" max="6154" width="10.7109375" style="556" customWidth="1"/>
    <col min="6155" max="6156" width="11.7109375" style="556" customWidth="1"/>
    <col min="6157" max="6157" width="10.7109375" style="556" customWidth="1"/>
    <col min="6158" max="6158" width="9.140625" style="556"/>
    <col min="6159" max="6159" width="2.7109375" style="556" customWidth="1"/>
    <col min="6160" max="6164" width="9.140625" style="556"/>
    <col min="6165" max="6166" width="10.7109375" style="556" customWidth="1"/>
    <col min="6167" max="6167" width="12.7109375" style="556" customWidth="1"/>
    <col min="6168" max="6171" width="10.7109375" style="556" customWidth="1"/>
    <col min="6172" max="6174" width="9.140625" style="556"/>
    <col min="6175" max="6177" width="10.7109375" style="556" customWidth="1"/>
    <col min="6178" max="6179" width="12.7109375" style="556" customWidth="1"/>
    <col min="6180" max="6401" width="9.140625" style="556"/>
    <col min="6402" max="6402" width="17.7109375" style="556" customWidth="1"/>
    <col min="6403" max="6408" width="10.7109375" style="556" customWidth="1"/>
    <col min="6409" max="6409" width="9.140625" style="556"/>
    <col min="6410" max="6410" width="10.7109375" style="556" customWidth="1"/>
    <col min="6411" max="6412" width="11.7109375" style="556" customWidth="1"/>
    <col min="6413" max="6413" width="10.7109375" style="556" customWidth="1"/>
    <col min="6414" max="6414" width="9.140625" style="556"/>
    <col min="6415" max="6415" width="2.7109375" style="556" customWidth="1"/>
    <col min="6416" max="6420" width="9.140625" style="556"/>
    <col min="6421" max="6422" width="10.7109375" style="556" customWidth="1"/>
    <col min="6423" max="6423" width="12.7109375" style="556" customWidth="1"/>
    <col min="6424" max="6427" width="10.7109375" style="556" customWidth="1"/>
    <col min="6428" max="6430" width="9.140625" style="556"/>
    <col min="6431" max="6433" width="10.7109375" style="556" customWidth="1"/>
    <col min="6434" max="6435" width="12.7109375" style="556" customWidth="1"/>
    <col min="6436" max="6657" width="9.140625" style="556"/>
    <col min="6658" max="6658" width="17.7109375" style="556" customWidth="1"/>
    <col min="6659" max="6664" width="10.7109375" style="556" customWidth="1"/>
    <col min="6665" max="6665" width="9.140625" style="556"/>
    <col min="6666" max="6666" width="10.7109375" style="556" customWidth="1"/>
    <col min="6667" max="6668" width="11.7109375" style="556" customWidth="1"/>
    <col min="6669" max="6669" width="10.7109375" style="556" customWidth="1"/>
    <col min="6670" max="6670" width="9.140625" style="556"/>
    <col min="6671" max="6671" width="2.7109375" style="556" customWidth="1"/>
    <col min="6672" max="6676" width="9.140625" style="556"/>
    <col min="6677" max="6678" width="10.7109375" style="556" customWidth="1"/>
    <col min="6679" max="6679" width="12.7109375" style="556" customWidth="1"/>
    <col min="6680" max="6683" width="10.7109375" style="556" customWidth="1"/>
    <col min="6684" max="6686" width="9.140625" style="556"/>
    <col min="6687" max="6689" width="10.7109375" style="556" customWidth="1"/>
    <col min="6690" max="6691" width="12.7109375" style="556" customWidth="1"/>
    <col min="6692" max="6913" width="9.140625" style="556"/>
    <col min="6914" max="6914" width="17.7109375" style="556" customWidth="1"/>
    <col min="6915" max="6920" width="10.7109375" style="556" customWidth="1"/>
    <col min="6921" max="6921" width="9.140625" style="556"/>
    <col min="6922" max="6922" width="10.7109375" style="556" customWidth="1"/>
    <col min="6923" max="6924" width="11.7109375" style="556" customWidth="1"/>
    <col min="6925" max="6925" width="10.7109375" style="556" customWidth="1"/>
    <col min="6926" max="6926" width="9.140625" style="556"/>
    <col min="6927" max="6927" width="2.7109375" style="556" customWidth="1"/>
    <col min="6928" max="6932" width="9.140625" style="556"/>
    <col min="6933" max="6934" width="10.7109375" style="556" customWidth="1"/>
    <col min="6935" max="6935" width="12.7109375" style="556" customWidth="1"/>
    <col min="6936" max="6939" width="10.7109375" style="556" customWidth="1"/>
    <col min="6940" max="6942" width="9.140625" style="556"/>
    <col min="6943" max="6945" width="10.7109375" style="556" customWidth="1"/>
    <col min="6946" max="6947" width="12.7109375" style="556" customWidth="1"/>
    <col min="6948" max="7169" width="9.140625" style="556"/>
    <col min="7170" max="7170" width="17.7109375" style="556" customWidth="1"/>
    <col min="7171" max="7176" width="10.7109375" style="556" customWidth="1"/>
    <col min="7177" max="7177" width="9.140625" style="556"/>
    <col min="7178" max="7178" width="10.7109375" style="556" customWidth="1"/>
    <col min="7179" max="7180" width="11.7109375" style="556" customWidth="1"/>
    <col min="7181" max="7181" width="10.7109375" style="556" customWidth="1"/>
    <col min="7182" max="7182" width="9.140625" style="556"/>
    <col min="7183" max="7183" width="2.7109375" style="556" customWidth="1"/>
    <col min="7184" max="7188" width="9.140625" style="556"/>
    <col min="7189" max="7190" width="10.7109375" style="556" customWidth="1"/>
    <col min="7191" max="7191" width="12.7109375" style="556" customWidth="1"/>
    <col min="7192" max="7195" width="10.7109375" style="556" customWidth="1"/>
    <col min="7196" max="7198" width="9.140625" style="556"/>
    <col min="7199" max="7201" width="10.7109375" style="556" customWidth="1"/>
    <col min="7202" max="7203" width="12.7109375" style="556" customWidth="1"/>
    <col min="7204" max="7425" width="9.140625" style="556"/>
    <col min="7426" max="7426" width="17.7109375" style="556" customWidth="1"/>
    <col min="7427" max="7432" width="10.7109375" style="556" customWidth="1"/>
    <col min="7433" max="7433" width="9.140625" style="556"/>
    <col min="7434" max="7434" width="10.7109375" style="556" customWidth="1"/>
    <col min="7435" max="7436" width="11.7109375" style="556" customWidth="1"/>
    <col min="7437" max="7437" width="10.7109375" style="556" customWidth="1"/>
    <col min="7438" max="7438" width="9.140625" style="556"/>
    <col min="7439" max="7439" width="2.7109375" style="556" customWidth="1"/>
    <col min="7440" max="7444" width="9.140625" style="556"/>
    <col min="7445" max="7446" width="10.7109375" style="556" customWidth="1"/>
    <col min="7447" max="7447" width="12.7109375" style="556" customWidth="1"/>
    <col min="7448" max="7451" width="10.7109375" style="556" customWidth="1"/>
    <col min="7452" max="7454" width="9.140625" style="556"/>
    <col min="7455" max="7457" width="10.7109375" style="556" customWidth="1"/>
    <col min="7458" max="7459" width="12.7109375" style="556" customWidth="1"/>
    <col min="7460" max="7681" width="9.140625" style="556"/>
    <col min="7682" max="7682" width="17.7109375" style="556" customWidth="1"/>
    <col min="7683" max="7688" width="10.7109375" style="556" customWidth="1"/>
    <col min="7689" max="7689" width="9.140625" style="556"/>
    <col min="7690" max="7690" width="10.7109375" style="556" customWidth="1"/>
    <col min="7691" max="7692" width="11.7109375" style="556" customWidth="1"/>
    <col min="7693" max="7693" width="10.7109375" style="556" customWidth="1"/>
    <col min="7694" max="7694" width="9.140625" style="556"/>
    <col min="7695" max="7695" width="2.7109375" style="556" customWidth="1"/>
    <col min="7696" max="7700" width="9.140625" style="556"/>
    <col min="7701" max="7702" width="10.7109375" style="556" customWidth="1"/>
    <col min="7703" max="7703" width="12.7109375" style="556" customWidth="1"/>
    <col min="7704" max="7707" width="10.7109375" style="556" customWidth="1"/>
    <col min="7708" max="7710" width="9.140625" style="556"/>
    <col min="7711" max="7713" width="10.7109375" style="556" customWidth="1"/>
    <col min="7714" max="7715" width="12.7109375" style="556" customWidth="1"/>
    <col min="7716" max="7937" width="9.140625" style="556"/>
    <col min="7938" max="7938" width="17.7109375" style="556" customWidth="1"/>
    <col min="7939" max="7944" width="10.7109375" style="556" customWidth="1"/>
    <col min="7945" max="7945" width="9.140625" style="556"/>
    <col min="7946" max="7946" width="10.7109375" style="556" customWidth="1"/>
    <col min="7947" max="7948" width="11.7109375" style="556" customWidth="1"/>
    <col min="7949" max="7949" width="10.7109375" style="556" customWidth="1"/>
    <col min="7950" max="7950" width="9.140625" style="556"/>
    <col min="7951" max="7951" width="2.7109375" style="556" customWidth="1"/>
    <col min="7952" max="7956" width="9.140625" style="556"/>
    <col min="7957" max="7958" width="10.7109375" style="556" customWidth="1"/>
    <col min="7959" max="7959" width="12.7109375" style="556" customWidth="1"/>
    <col min="7960" max="7963" width="10.7109375" style="556" customWidth="1"/>
    <col min="7964" max="7966" width="9.140625" style="556"/>
    <col min="7967" max="7969" width="10.7109375" style="556" customWidth="1"/>
    <col min="7970" max="7971" width="12.7109375" style="556" customWidth="1"/>
    <col min="7972" max="8193" width="9.140625" style="556"/>
    <col min="8194" max="8194" width="17.7109375" style="556" customWidth="1"/>
    <col min="8195" max="8200" width="10.7109375" style="556" customWidth="1"/>
    <col min="8201" max="8201" width="9.140625" style="556"/>
    <col min="8202" max="8202" width="10.7109375" style="556" customWidth="1"/>
    <col min="8203" max="8204" width="11.7109375" style="556" customWidth="1"/>
    <col min="8205" max="8205" width="10.7109375" style="556" customWidth="1"/>
    <col min="8206" max="8206" width="9.140625" style="556"/>
    <col min="8207" max="8207" width="2.7109375" style="556" customWidth="1"/>
    <col min="8208" max="8212" width="9.140625" style="556"/>
    <col min="8213" max="8214" width="10.7109375" style="556" customWidth="1"/>
    <col min="8215" max="8215" width="12.7109375" style="556" customWidth="1"/>
    <col min="8216" max="8219" width="10.7109375" style="556" customWidth="1"/>
    <col min="8220" max="8222" width="9.140625" style="556"/>
    <col min="8223" max="8225" width="10.7109375" style="556" customWidth="1"/>
    <col min="8226" max="8227" width="12.7109375" style="556" customWidth="1"/>
    <col min="8228" max="8449" width="9.140625" style="556"/>
    <col min="8450" max="8450" width="17.7109375" style="556" customWidth="1"/>
    <col min="8451" max="8456" width="10.7109375" style="556" customWidth="1"/>
    <col min="8457" max="8457" width="9.140625" style="556"/>
    <col min="8458" max="8458" width="10.7109375" style="556" customWidth="1"/>
    <col min="8459" max="8460" width="11.7109375" style="556" customWidth="1"/>
    <col min="8461" max="8461" width="10.7109375" style="556" customWidth="1"/>
    <col min="8462" max="8462" width="9.140625" style="556"/>
    <col min="8463" max="8463" width="2.7109375" style="556" customWidth="1"/>
    <col min="8464" max="8468" width="9.140625" style="556"/>
    <col min="8469" max="8470" width="10.7109375" style="556" customWidth="1"/>
    <col min="8471" max="8471" width="12.7109375" style="556" customWidth="1"/>
    <col min="8472" max="8475" width="10.7109375" style="556" customWidth="1"/>
    <col min="8476" max="8478" width="9.140625" style="556"/>
    <col min="8479" max="8481" width="10.7109375" style="556" customWidth="1"/>
    <col min="8482" max="8483" width="12.7109375" style="556" customWidth="1"/>
    <col min="8484" max="8705" width="9.140625" style="556"/>
    <col min="8706" max="8706" width="17.7109375" style="556" customWidth="1"/>
    <col min="8707" max="8712" width="10.7109375" style="556" customWidth="1"/>
    <col min="8713" max="8713" width="9.140625" style="556"/>
    <col min="8714" max="8714" width="10.7109375" style="556" customWidth="1"/>
    <col min="8715" max="8716" width="11.7109375" style="556" customWidth="1"/>
    <col min="8717" max="8717" width="10.7109375" style="556" customWidth="1"/>
    <col min="8718" max="8718" width="9.140625" style="556"/>
    <col min="8719" max="8719" width="2.7109375" style="556" customWidth="1"/>
    <col min="8720" max="8724" width="9.140625" style="556"/>
    <col min="8725" max="8726" width="10.7109375" style="556" customWidth="1"/>
    <col min="8727" max="8727" width="12.7109375" style="556" customWidth="1"/>
    <col min="8728" max="8731" width="10.7109375" style="556" customWidth="1"/>
    <col min="8732" max="8734" width="9.140625" style="556"/>
    <col min="8735" max="8737" width="10.7109375" style="556" customWidth="1"/>
    <col min="8738" max="8739" width="12.7109375" style="556" customWidth="1"/>
    <col min="8740" max="8961" width="9.140625" style="556"/>
    <col min="8962" max="8962" width="17.7109375" style="556" customWidth="1"/>
    <col min="8963" max="8968" width="10.7109375" style="556" customWidth="1"/>
    <col min="8969" max="8969" width="9.140625" style="556"/>
    <col min="8970" max="8970" width="10.7109375" style="556" customWidth="1"/>
    <col min="8971" max="8972" width="11.7109375" style="556" customWidth="1"/>
    <col min="8973" max="8973" width="10.7109375" style="556" customWidth="1"/>
    <col min="8974" max="8974" width="9.140625" style="556"/>
    <col min="8975" max="8975" width="2.7109375" style="556" customWidth="1"/>
    <col min="8976" max="8980" width="9.140625" style="556"/>
    <col min="8981" max="8982" width="10.7109375" style="556" customWidth="1"/>
    <col min="8983" max="8983" width="12.7109375" style="556" customWidth="1"/>
    <col min="8984" max="8987" width="10.7109375" style="556" customWidth="1"/>
    <col min="8988" max="8990" width="9.140625" style="556"/>
    <col min="8991" max="8993" width="10.7109375" style="556" customWidth="1"/>
    <col min="8994" max="8995" width="12.7109375" style="556" customWidth="1"/>
    <col min="8996" max="9217" width="9.140625" style="556"/>
    <col min="9218" max="9218" width="17.7109375" style="556" customWidth="1"/>
    <col min="9219" max="9224" width="10.7109375" style="556" customWidth="1"/>
    <col min="9225" max="9225" width="9.140625" style="556"/>
    <col min="9226" max="9226" width="10.7109375" style="556" customWidth="1"/>
    <col min="9227" max="9228" width="11.7109375" style="556" customWidth="1"/>
    <col min="9229" max="9229" width="10.7109375" style="556" customWidth="1"/>
    <col min="9230" max="9230" width="9.140625" style="556"/>
    <col min="9231" max="9231" width="2.7109375" style="556" customWidth="1"/>
    <col min="9232" max="9236" width="9.140625" style="556"/>
    <col min="9237" max="9238" width="10.7109375" style="556" customWidth="1"/>
    <col min="9239" max="9239" width="12.7109375" style="556" customWidth="1"/>
    <col min="9240" max="9243" width="10.7109375" style="556" customWidth="1"/>
    <col min="9244" max="9246" width="9.140625" style="556"/>
    <col min="9247" max="9249" width="10.7109375" style="556" customWidth="1"/>
    <col min="9250" max="9251" width="12.7109375" style="556" customWidth="1"/>
    <col min="9252" max="9473" width="9.140625" style="556"/>
    <col min="9474" max="9474" width="17.7109375" style="556" customWidth="1"/>
    <col min="9475" max="9480" width="10.7109375" style="556" customWidth="1"/>
    <col min="9481" max="9481" width="9.140625" style="556"/>
    <col min="9482" max="9482" width="10.7109375" style="556" customWidth="1"/>
    <col min="9483" max="9484" width="11.7109375" style="556" customWidth="1"/>
    <col min="9485" max="9485" width="10.7109375" style="556" customWidth="1"/>
    <col min="9486" max="9486" width="9.140625" style="556"/>
    <col min="9487" max="9487" width="2.7109375" style="556" customWidth="1"/>
    <col min="9488" max="9492" width="9.140625" style="556"/>
    <col min="9493" max="9494" width="10.7109375" style="556" customWidth="1"/>
    <col min="9495" max="9495" width="12.7109375" style="556" customWidth="1"/>
    <col min="9496" max="9499" width="10.7109375" style="556" customWidth="1"/>
    <col min="9500" max="9502" width="9.140625" style="556"/>
    <col min="9503" max="9505" width="10.7109375" style="556" customWidth="1"/>
    <col min="9506" max="9507" width="12.7109375" style="556" customWidth="1"/>
    <col min="9508" max="9729" width="9.140625" style="556"/>
    <col min="9730" max="9730" width="17.7109375" style="556" customWidth="1"/>
    <col min="9731" max="9736" width="10.7109375" style="556" customWidth="1"/>
    <col min="9737" max="9737" width="9.140625" style="556"/>
    <col min="9738" max="9738" width="10.7109375" style="556" customWidth="1"/>
    <col min="9739" max="9740" width="11.7109375" style="556" customWidth="1"/>
    <col min="9741" max="9741" width="10.7109375" style="556" customWidth="1"/>
    <col min="9742" max="9742" width="9.140625" style="556"/>
    <col min="9743" max="9743" width="2.7109375" style="556" customWidth="1"/>
    <col min="9744" max="9748" width="9.140625" style="556"/>
    <col min="9749" max="9750" width="10.7109375" style="556" customWidth="1"/>
    <col min="9751" max="9751" width="12.7109375" style="556" customWidth="1"/>
    <col min="9752" max="9755" width="10.7109375" style="556" customWidth="1"/>
    <col min="9756" max="9758" width="9.140625" style="556"/>
    <col min="9759" max="9761" width="10.7109375" style="556" customWidth="1"/>
    <col min="9762" max="9763" width="12.7109375" style="556" customWidth="1"/>
    <col min="9764" max="9985" width="9.140625" style="556"/>
    <col min="9986" max="9986" width="17.7109375" style="556" customWidth="1"/>
    <col min="9987" max="9992" width="10.7109375" style="556" customWidth="1"/>
    <col min="9993" max="9993" width="9.140625" style="556"/>
    <col min="9994" max="9994" width="10.7109375" style="556" customWidth="1"/>
    <col min="9995" max="9996" width="11.7109375" style="556" customWidth="1"/>
    <col min="9997" max="9997" width="10.7109375" style="556" customWidth="1"/>
    <col min="9998" max="9998" width="9.140625" style="556"/>
    <col min="9999" max="9999" width="2.7109375" style="556" customWidth="1"/>
    <col min="10000" max="10004" width="9.140625" style="556"/>
    <col min="10005" max="10006" width="10.7109375" style="556" customWidth="1"/>
    <col min="10007" max="10007" width="12.7109375" style="556" customWidth="1"/>
    <col min="10008" max="10011" width="10.7109375" style="556" customWidth="1"/>
    <col min="10012" max="10014" width="9.140625" style="556"/>
    <col min="10015" max="10017" width="10.7109375" style="556" customWidth="1"/>
    <col min="10018" max="10019" width="12.7109375" style="556" customWidth="1"/>
    <col min="10020" max="10241" width="9.140625" style="556"/>
    <col min="10242" max="10242" width="17.7109375" style="556" customWidth="1"/>
    <col min="10243" max="10248" width="10.7109375" style="556" customWidth="1"/>
    <col min="10249" max="10249" width="9.140625" style="556"/>
    <col min="10250" max="10250" width="10.7109375" style="556" customWidth="1"/>
    <col min="10251" max="10252" width="11.7109375" style="556" customWidth="1"/>
    <col min="10253" max="10253" width="10.7109375" style="556" customWidth="1"/>
    <col min="10254" max="10254" width="9.140625" style="556"/>
    <col min="10255" max="10255" width="2.7109375" style="556" customWidth="1"/>
    <col min="10256" max="10260" width="9.140625" style="556"/>
    <col min="10261" max="10262" width="10.7109375" style="556" customWidth="1"/>
    <col min="10263" max="10263" width="12.7109375" style="556" customWidth="1"/>
    <col min="10264" max="10267" width="10.7109375" style="556" customWidth="1"/>
    <col min="10268" max="10270" width="9.140625" style="556"/>
    <col min="10271" max="10273" width="10.7109375" style="556" customWidth="1"/>
    <col min="10274" max="10275" width="12.7109375" style="556" customWidth="1"/>
    <col min="10276" max="10497" width="9.140625" style="556"/>
    <col min="10498" max="10498" width="17.7109375" style="556" customWidth="1"/>
    <col min="10499" max="10504" width="10.7109375" style="556" customWidth="1"/>
    <col min="10505" max="10505" width="9.140625" style="556"/>
    <col min="10506" max="10506" width="10.7109375" style="556" customWidth="1"/>
    <col min="10507" max="10508" width="11.7109375" style="556" customWidth="1"/>
    <col min="10509" max="10509" width="10.7109375" style="556" customWidth="1"/>
    <col min="10510" max="10510" width="9.140625" style="556"/>
    <col min="10511" max="10511" width="2.7109375" style="556" customWidth="1"/>
    <col min="10512" max="10516" width="9.140625" style="556"/>
    <col min="10517" max="10518" width="10.7109375" style="556" customWidth="1"/>
    <col min="10519" max="10519" width="12.7109375" style="556" customWidth="1"/>
    <col min="10520" max="10523" width="10.7109375" style="556" customWidth="1"/>
    <col min="10524" max="10526" width="9.140625" style="556"/>
    <col min="10527" max="10529" width="10.7109375" style="556" customWidth="1"/>
    <col min="10530" max="10531" width="12.7109375" style="556" customWidth="1"/>
    <col min="10532" max="10753" width="9.140625" style="556"/>
    <col min="10754" max="10754" width="17.7109375" style="556" customWidth="1"/>
    <col min="10755" max="10760" width="10.7109375" style="556" customWidth="1"/>
    <col min="10761" max="10761" width="9.140625" style="556"/>
    <col min="10762" max="10762" width="10.7109375" style="556" customWidth="1"/>
    <col min="10763" max="10764" width="11.7109375" style="556" customWidth="1"/>
    <col min="10765" max="10765" width="10.7109375" style="556" customWidth="1"/>
    <col min="10766" max="10766" width="9.140625" style="556"/>
    <col min="10767" max="10767" width="2.7109375" style="556" customWidth="1"/>
    <col min="10768" max="10772" width="9.140625" style="556"/>
    <col min="10773" max="10774" width="10.7109375" style="556" customWidth="1"/>
    <col min="10775" max="10775" width="12.7109375" style="556" customWidth="1"/>
    <col min="10776" max="10779" width="10.7109375" style="556" customWidth="1"/>
    <col min="10780" max="10782" width="9.140625" style="556"/>
    <col min="10783" max="10785" width="10.7109375" style="556" customWidth="1"/>
    <col min="10786" max="10787" width="12.7109375" style="556" customWidth="1"/>
    <col min="10788" max="11009" width="9.140625" style="556"/>
    <col min="11010" max="11010" width="17.7109375" style="556" customWidth="1"/>
    <col min="11011" max="11016" width="10.7109375" style="556" customWidth="1"/>
    <col min="11017" max="11017" width="9.140625" style="556"/>
    <col min="11018" max="11018" width="10.7109375" style="556" customWidth="1"/>
    <col min="11019" max="11020" width="11.7109375" style="556" customWidth="1"/>
    <col min="11021" max="11021" width="10.7109375" style="556" customWidth="1"/>
    <col min="11022" max="11022" width="9.140625" style="556"/>
    <col min="11023" max="11023" width="2.7109375" style="556" customWidth="1"/>
    <col min="11024" max="11028" width="9.140625" style="556"/>
    <col min="11029" max="11030" width="10.7109375" style="556" customWidth="1"/>
    <col min="11031" max="11031" width="12.7109375" style="556" customWidth="1"/>
    <col min="11032" max="11035" width="10.7109375" style="556" customWidth="1"/>
    <col min="11036" max="11038" width="9.140625" style="556"/>
    <col min="11039" max="11041" width="10.7109375" style="556" customWidth="1"/>
    <col min="11042" max="11043" width="12.7109375" style="556" customWidth="1"/>
    <col min="11044" max="11265" width="9.140625" style="556"/>
    <col min="11266" max="11266" width="17.7109375" style="556" customWidth="1"/>
    <col min="11267" max="11272" width="10.7109375" style="556" customWidth="1"/>
    <col min="11273" max="11273" width="9.140625" style="556"/>
    <col min="11274" max="11274" width="10.7109375" style="556" customWidth="1"/>
    <col min="11275" max="11276" width="11.7109375" style="556" customWidth="1"/>
    <col min="11277" max="11277" width="10.7109375" style="556" customWidth="1"/>
    <col min="11278" max="11278" width="9.140625" style="556"/>
    <col min="11279" max="11279" width="2.7109375" style="556" customWidth="1"/>
    <col min="11280" max="11284" width="9.140625" style="556"/>
    <col min="11285" max="11286" width="10.7109375" style="556" customWidth="1"/>
    <col min="11287" max="11287" width="12.7109375" style="556" customWidth="1"/>
    <col min="11288" max="11291" width="10.7109375" style="556" customWidth="1"/>
    <col min="11292" max="11294" width="9.140625" style="556"/>
    <col min="11295" max="11297" width="10.7109375" style="556" customWidth="1"/>
    <col min="11298" max="11299" width="12.7109375" style="556" customWidth="1"/>
    <col min="11300" max="11521" width="9.140625" style="556"/>
    <col min="11522" max="11522" width="17.7109375" style="556" customWidth="1"/>
    <col min="11523" max="11528" width="10.7109375" style="556" customWidth="1"/>
    <col min="11529" max="11529" width="9.140625" style="556"/>
    <col min="11530" max="11530" width="10.7109375" style="556" customWidth="1"/>
    <col min="11531" max="11532" width="11.7109375" style="556" customWidth="1"/>
    <col min="11533" max="11533" width="10.7109375" style="556" customWidth="1"/>
    <col min="11534" max="11534" width="9.140625" style="556"/>
    <col min="11535" max="11535" width="2.7109375" style="556" customWidth="1"/>
    <col min="11536" max="11540" width="9.140625" style="556"/>
    <col min="11541" max="11542" width="10.7109375" style="556" customWidth="1"/>
    <col min="11543" max="11543" width="12.7109375" style="556" customWidth="1"/>
    <col min="11544" max="11547" width="10.7109375" style="556" customWidth="1"/>
    <col min="11548" max="11550" width="9.140625" style="556"/>
    <col min="11551" max="11553" width="10.7109375" style="556" customWidth="1"/>
    <col min="11554" max="11555" width="12.7109375" style="556" customWidth="1"/>
    <col min="11556" max="11777" width="9.140625" style="556"/>
    <col min="11778" max="11778" width="17.7109375" style="556" customWidth="1"/>
    <col min="11779" max="11784" width="10.7109375" style="556" customWidth="1"/>
    <col min="11785" max="11785" width="9.140625" style="556"/>
    <col min="11786" max="11786" width="10.7109375" style="556" customWidth="1"/>
    <col min="11787" max="11788" width="11.7109375" style="556" customWidth="1"/>
    <col min="11789" max="11789" width="10.7109375" style="556" customWidth="1"/>
    <col min="11790" max="11790" width="9.140625" style="556"/>
    <col min="11791" max="11791" width="2.7109375" style="556" customWidth="1"/>
    <col min="11792" max="11796" width="9.140625" style="556"/>
    <col min="11797" max="11798" width="10.7109375" style="556" customWidth="1"/>
    <col min="11799" max="11799" width="12.7109375" style="556" customWidth="1"/>
    <col min="11800" max="11803" width="10.7109375" style="556" customWidth="1"/>
    <col min="11804" max="11806" width="9.140625" style="556"/>
    <col min="11807" max="11809" width="10.7109375" style="556" customWidth="1"/>
    <col min="11810" max="11811" width="12.7109375" style="556" customWidth="1"/>
    <col min="11812" max="12033" width="9.140625" style="556"/>
    <col min="12034" max="12034" width="17.7109375" style="556" customWidth="1"/>
    <col min="12035" max="12040" width="10.7109375" style="556" customWidth="1"/>
    <col min="12041" max="12041" width="9.140625" style="556"/>
    <col min="12042" max="12042" width="10.7109375" style="556" customWidth="1"/>
    <col min="12043" max="12044" width="11.7109375" style="556" customWidth="1"/>
    <col min="12045" max="12045" width="10.7109375" style="556" customWidth="1"/>
    <col min="12046" max="12046" width="9.140625" style="556"/>
    <col min="12047" max="12047" width="2.7109375" style="556" customWidth="1"/>
    <col min="12048" max="12052" width="9.140625" style="556"/>
    <col min="12053" max="12054" width="10.7109375" style="556" customWidth="1"/>
    <col min="12055" max="12055" width="12.7109375" style="556" customWidth="1"/>
    <col min="12056" max="12059" width="10.7109375" style="556" customWidth="1"/>
    <col min="12060" max="12062" width="9.140625" style="556"/>
    <col min="12063" max="12065" width="10.7109375" style="556" customWidth="1"/>
    <col min="12066" max="12067" width="12.7109375" style="556" customWidth="1"/>
    <col min="12068" max="12289" width="9.140625" style="556"/>
    <col min="12290" max="12290" width="17.7109375" style="556" customWidth="1"/>
    <col min="12291" max="12296" width="10.7109375" style="556" customWidth="1"/>
    <col min="12297" max="12297" width="9.140625" style="556"/>
    <col min="12298" max="12298" width="10.7109375" style="556" customWidth="1"/>
    <col min="12299" max="12300" width="11.7109375" style="556" customWidth="1"/>
    <col min="12301" max="12301" width="10.7109375" style="556" customWidth="1"/>
    <col min="12302" max="12302" width="9.140625" style="556"/>
    <col min="12303" max="12303" width="2.7109375" style="556" customWidth="1"/>
    <col min="12304" max="12308" width="9.140625" style="556"/>
    <col min="12309" max="12310" width="10.7109375" style="556" customWidth="1"/>
    <col min="12311" max="12311" width="12.7109375" style="556" customWidth="1"/>
    <col min="12312" max="12315" width="10.7109375" style="556" customWidth="1"/>
    <col min="12316" max="12318" width="9.140625" style="556"/>
    <col min="12319" max="12321" width="10.7109375" style="556" customWidth="1"/>
    <col min="12322" max="12323" width="12.7109375" style="556" customWidth="1"/>
    <col min="12324" max="12545" width="9.140625" style="556"/>
    <col min="12546" max="12546" width="17.7109375" style="556" customWidth="1"/>
    <col min="12547" max="12552" width="10.7109375" style="556" customWidth="1"/>
    <col min="12553" max="12553" width="9.140625" style="556"/>
    <col min="12554" max="12554" width="10.7109375" style="556" customWidth="1"/>
    <col min="12555" max="12556" width="11.7109375" style="556" customWidth="1"/>
    <col min="12557" max="12557" width="10.7109375" style="556" customWidth="1"/>
    <col min="12558" max="12558" width="9.140625" style="556"/>
    <col min="12559" max="12559" width="2.7109375" style="556" customWidth="1"/>
    <col min="12560" max="12564" width="9.140625" style="556"/>
    <col min="12565" max="12566" width="10.7109375" style="556" customWidth="1"/>
    <col min="12567" max="12567" width="12.7109375" style="556" customWidth="1"/>
    <col min="12568" max="12571" width="10.7109375" style="556" customWidth="1"/>
    <col min="12572" max="12574" width="9.140625" style="556"/>
    <col min="12575" max="12577" width="10.7109375" style="556" customWidth="1"/>
    <col min="12578" max="12579" width="12.7109375" style="556" customWidth="1"/>
    <col min="12580" max="12801" width="9.140625" style="556"/>
    <col min="12802" max="12802" width="17.7109375" style="556" customWidth="1"/>
    <col min="12803" max="12808" width="10.7109375" style="556" customWidth="1"/>
    <col min="12809" max="12809" width="9.140625" style="556"/>
    <col min="12810" max="12810" width="10.7109375" style="556" customWidth="1"/>
    <col min="12811" max="12812" width="11.7109375" style="556" customWidth="1"/>
    <col min="12813" max="12813" width="10.7109375" style="556" customWidth="1"/>
    <col min="12814" max="12814" width="9.140625" style="556"/>
    <col min="12815" max="12815" width="2.7109375" style="556" customWidth="1"/>
    <col min="12816" max="12820" width="9.140625" style="556"/>
    <col min="12821" max="12822" width="10.7109375" style="556" customWidth="1"/>
    <col min="12823" max="12823" width="12.7109375" style="556" customWidth="1"/>
    <col min="12824" max="12827" width="10.7109375" style="556" customWidth="1"/>
    <col min="12828" max="12830" width="9.140625" style="556"/>
    <col min="12831" max="12833" width="10.7109375" style="556" customWidth="1"/>
    <col min="12834" max="12835" width="12.7109375" style="556" customWidth="1"/>
    <col min="12836" max="13057" width="9.140625" style="556"/>
    <col min="13058" max="13058" width="17.7109375" style="556" customWidth="1"/>
    <col min="13059" max="13064" width="10.7109375" style="556" customWidth="1"/>
    <col min="13065" max="13065" width="9.140625" style="556"/>
    <col min="13066" max="13066" width="10.7109375" style="556" customWidth="1"/>
    <col min="13067" max="13068" width="11.7109375" style="556" customWidth="1"/>
    <col min="13069" max="13069" width="10.7109375" style="556" customWidth="1"/>
    <col min="13070" max="13070" width="9.140625" style="556"/>
    <col min="13071" max="13071" width="2.7109375" style="556" customWidth="1"/>
    <col min="13072" max="13076" width="9.140625" style="556"/>
    <col min="13077" max="13078" width="10.7109375" style="556" customWidth="1"/>
    <col min="13079" max="13079" width="12.7109375" style="556" customWidth="1"/>
    <col min="13080" max="13083" width="10.7109375" style="556" customWidth="1"/>
    <col min="13084" max="13086" width="9.140625" style="556"/>
    <col min="13087" max="13089" width="10.7109375" style="556" customWidth="1"/>
    <col min="13090" max="13091" width="12.7109375" style="556" customWidth="1"/>
    <col min="13092" max="13313" width="9.140625" style="556"/>
    <col min="13314" max="13314" width="17.7109375" style="556" customWidth="1"/>
    <col min="13315" max="13320" width="10.7109375" style="556" customWidth="1"/>
    <col min="13321" max="13321" width="9.140625" style="556"/>
    <col min="13322" max="13322" width="10.7109375" style="556" customWidth="1"/>
    <col min="13323" max="13324" width="11.7109375" style="556" customWidth="1"/>
    <col min="13325" max="13325" width="10.7109375" style="556" customWidth="1"/>
    <col min="13326" max="13326" width="9.140625" style="556"/>
    <col min="13327" max="13327" width="2.7109375" style="556" customWidth="1"/>
    <col min="13328" max="13332" width="9.140625" style="556"/>
    <col min="13333" max="13334" width="10.7109375" style="556" customWidth="1"/>
    <col min="13335" max="13335" width="12.7109375" style="556" customWidth="1"/>
    <col min="13336" max="13339" width="10.7109375" style="556" customWidth="1"/>
    <col min="13340" max="13342" width="9.140625" style="556"/>
    <col min="13343" max="13345" width="10.7109375" style="556" customWidth="1"/>
    <col min="13346" max="13347" width="12.7109375" style="556" customWidth="1"/>
    <col min="13348" max="13569" width="9.140625" style="556"/>
    <col min="13570" max="13570" width="17.7109375" style="556" customWidth="1"/>
    <col min="13571" max="13576" width="10.7109375" style="556" customWidth="1"/>
    <col min="13577" max="13577" width="9.140625" style="556"/>
    <col min="13578" max="13578" width="10.7109375" style="556" customWidth="1"/>
    <col min="13579" max="13580" width="11.7109375" style="556" customWidth="1"/>
    <col min="13581" max="13581" width="10.7109375" style="556" customWidth="1"/>
    <col min="13582" max="13582" width="9.140625" style="556"/>
    <col min="13583" max="13583" width="2.7109375" style="556" customWidth="1"/>
    <col min="13584" max="13588" width="9.140625" style="556"/>
    <col min="13589" max="13590" width="10.7109375" style="556" customWidth="1"/>
    <col min="13591" max="13591" width="12.7109375" style="556" customWidth="1"/>
    <col min="13592" max="13595" width="10.7109375" style="556" customWidth="1"/>
    <col min="13596" max="13598" width="9.140625" style="556"/>
    <col min="13599" max="13601" width="10.7109375" style="556" customWidth="1"/>
    <col min="13602" max="13603" width="12.7109375" style="556" customWidth="1"/>
    <col min="13604" max="13825" width="9.140625" style="556"/>
    <col min="13826" max="13826" width="17.7109375" style="556" customWidth="1"/>
    <col min="13827" max="13832" width="10.7109375" style="556" customWidth="1"/>
    <col min="13833" max="13833" width="9.140625" style="556"/>
    <col min="13834" max="13834" width="10.7109375" style="556" customWidth="1"/>
    <col min="13835" max="13836" width="11.7109375" style="556" customWidth="1"/>
    <col min="13837" max="13837" width="10.7109375" style="556" customWidth="1"/>
    <col min="13838" max="13838" width="9.140625" style="556"/>
    <col min="13839" max="13839" width="2.7109375" style="556" customWidth="1"/>
    <col min="13840" max="13844" width="9.140625" style="556"/>
    <col min="13845" max="13846" width="10.7109375" style="556" customWidth="1"/>
    <col min="13847" max="13847" width="12.7109375" style="556" customWidth="1"/>
    <col min="13848" max="13851" width="10.7109375" style="556" customWidth="1"/>
    <col min="13852" max="13854" width="9.140625" style="556"/>
    <col min="13855" max="13857" width="10.7109375" style="556" customWidth="1"/>
    <col min="13858" max="13859" width="12.7109375" style="556" customWidth="1"/>
    <col min="13860" max="14081" width="9.140625" style="556"/>
    <col min="14082" max="14082" width="17.7109375" style="556" customWidth="1"/>
    <col min="14083" max="14088" width="10.7109375" style="556" customWidth="1"/>
    <col min="14089" max="14089" width="9.140625" style="556"/>
    <col min="14090" max="14090" width="10.7109375" style="556" customWidth="1"/>
    <col min="14091" max="14092" width="11.7109375" style="556" customWidth="1"/>
    <col min="14093" max="14093" width="10.7109375" style="556" customWidth="1"/>
    <col min="14094" max="14094" width="9.140625" style="556"/>
    <col min="14095" max="14095" width="2.7109375" style="556" customWidth="1"/>
    <col min="14096" max="14100" width="9.140625" style="556"/>
    <col min="14101" max="14102" width="10.7109375" style="556" customWidth="1"/>
    <col min="14103" max="14103" width="12.7109375" style="556" customWidth="1"/>
    <col min="14104" max="14107" width="10.7109375" style="556" customWidth="1"/>
    <col min="14108" max="14110" width="9.140625" style="556"/>
    <col min="14111" max="14113" width="10.7109375" style="556" customWidth="1"/>
    <col min="14114" max="14115" width="12.7109375" style="556" customWidth="1"/>
    <col min="14116" max="14337" width="9.140625" style="556"/>
    <col min="14338" max="14338" width="17.7109375" style="556" customWidth="1"/>
    <col min="14339" max="14344" width="10.7109375" style="556" customWidth="1"/>
    <col min="14345" max="14345" width="9.140625" style="556"/>
    <col min="14346" max="14346" width="10.7109375" style="556" customWidth="1"/>
    <col min="14347" max="14348" width="11.7109375" style="556" customWidth="1"/>
    <col min="14349" max="14349" width="10.7109375" style="556" customWidth="1"/>
    <col min="14350" max="14350" width="9.140625" style="556"/>
    <col min="14351" max="14351" width="2.7109375" style="556" customWidth="1"/>
    <col min="14352" max="14356" width="9.140625" style="556"/>
    <col min="14357" max="14358" width="10.7109375" style="556" customWidth="1"/>
    <col min="14359" max="14359" width="12.7109375" style="556" customWidth="1"/>
    <col min="14360" max="14363" width="10.7109375" style="556" customWidth="1"/>
    <col min="14364" max="14366" width="9.140625" style="556"/>
    <col min="14367" max="14369" width="10.7109375" style="556" customWidth="1"/>
    <col min="14370" max="14371" width="12.7109375" style="556" customWidth="1"/>
    <col min="14372" max="14593" width="9.140625" style="556"/>
    <col min="14594" max="14594" width="17.7109375" style="556" customWidth="1"/>
    <col min="14595" max="14600" width="10.7109375" style="556" customWidth="1"/>
    <col min="14601" max="14601" width="9.140625" style="556"/>
    <col min="14602" max="14602" width="10.7109375" style="556" customWidth="1"/>
    <col min="14603" max="14604" width="11.7109375" style="556" customWidth="1"/>
    <col min="14605" max="14605" width="10.7109375" style="556" customWidth="1"/>
    <col min="14606" max="14606" width="9.140625" style="556"/>
    <col min="14607" max="14607" width="2.7109375" style="556" customWidth="1"/>
    <col min="14608" max="14612" width="9.140625" style="556"/>
    <col min="14613" max="14614" width="10.7109375" style="556" customWidth="1"/>
    <col min="14615" max="14615" width="12.7109375" style="556" customWidth="1"/>
    <col min="14616" max="14619" width="10.7109375" style="556" customWidth="1"/>
    <col min="14620" max="14622" width="9.140625" style="556"/>
    <col min="14623" max="14625" width="10.7109375" style="556" customWidth="1"/>
    <col min="14626" max="14627" width="12.7109375" style="556" customWidth="1"/>
    <col min="14628" max="14849" width="9.140625" style="556"/>
    <col min="14850" max="14850" width="17.7109375" style="556" customWidth="1"/>
    <col min="14851" max="14856" width="10.7109375" style="556" customWidth="1"/>
    <col min="14857" max="14857" width="9.140625" style="556"/>
    <col min="14858" max="14858" width="10.7109375" style="556" customWidth="1"/>
    <col min="14859" max="14860" width="11.7109375" style="556" customWidth="1"/>
    <col min="14861" max="14861" width="10.7109375" style="556" customWidth="1"/>
    <col min="14862" max="14862" width="9.140625" style="556"/>
    <col min="14863" max="14863" width="2.7109375" style="556" customWidth="1"/>
    <col min="14864" max="14868" width="9.140625" style="556"/>
    <col min="14869" max="14870" width="10.7109375" style="556" customWidth="1"/>
    <col min="14871" max="14871" width="12.7109375" style="556" customWidth="1"/>
    <col min="14872" max="14875" width="10.7109375" style="556" customWidth="1"/>
    <col min="14876" max="14878" width="9.140625" style="556"/>
    <col min="14879" max="14881" width="10.7109375" style="556" customWidth="1"/>
    <col min="14882" max="14883" width="12.7109375" style="556" customWidth="1"/>
    <col min="14884" max="15105" width="9.140625" style="556"/>
    <col min="15106" max="15106" width="17.7109375" style="556" customWidth="1"/>
    <col min="15107" max="15112" width="10.7109375" style="556" customWidth="1"/>
    <col min="15113" max="15113" width="9.140625" style="556"/>
    <col min="15114" max="15114" width="10.7109375" style="556" customWidth="1"/>
    <col min="15115" max="15116" width="11.7109375" style="556" customWidth="1"/>
    <col min="15117" max="15117" width="10.7109375" style="556" customWidth="1"/>
    <col min="15118" max="15118" width="9.140625" style="556"/>
    <col min="15119" max="15119" width="2.7109375" style="556" customWidth="1"/>
    <col min="15120" max="15124" width="9.140625" style="556"/>
    <col min="15125" max="15126" width="10.7109375" style="556" customWidth="1"/>
    <col min="15127" max="15127" width="12.7109375" style="556" customWidth="1"/>
    <col min="15128" max="15131" width="10.7109375" style="556" customWidth="1"/>
    <col min="15132" max="15134" width="9.140625" style="556"/>
    <col min="15135" max="15137" width="10.7109375" style="556" customWidth="1"/>
    <col min="15138" max="15139" width="12.7109375" style="556" customWidth="1"/>
    <col min="15140" max="15361" width="9.140625" style="556"/>
    <col min="15362" max="15362" width="17.7109375" style="556" customWidth="1"/>
    <col min="15363" max="15368" width="10.7109375" style="556" customWidth="1"/>
    <col min="15369" max="15369" width="9.140625" style="556"/>
    <col min="15370" max="15370" width="10.7109375" style="556" customWidth="1"/>
    <col min="15371" max="15372" width="11.7109375" style="556" customWidth="1"/>
    <col min="15373" max="15373" width="10.7109375" style="556" customWidth="1"/>
    <col min="15374" max="15374" width="9.140625" style="556"/>
    <col min="15375" max="15375" width="2.7109375" style="556" customWidth="1"/>
    <col min="15376" max="15380" width="9.140625" style="556"/>
    <col min="15381" max="15382" width="10.7109375" style="556" customWidth="1"/>
    <col min="15383" max="15383" width="12.7109375" style="556" customWidth="1"/>
    <col min="15384" max="15387" width="10.7109375" style="556" customWidth="1"/>
    <col min="15388" max="15390" width="9.140625" style="556"/>
    <col min="15391" max="15393" width="10.7109375" style="556" customWidth="1"/>
    <col min="15394" max="15395" width="12.7109375" style="556" customWidth="1"/>
    <col min="15396" max="15617" width="9.140625" style="556"/>
    <col min="15618" max="15618" width="17.7109375" style="556" customWidth="1"/>
    <col min="15619" max="15624" width="10.7109375" style="556" customWidth="1"/>
    <col min="15625" max="15625" width="9.140625" style="556"/>
    <col min="15626" max="15626" width="10.7109375" style="556" customWidth="1"/>
    <col min="15627" max="15628" width="11.7109375" style="556" customWidth="1"/>
    <col min="15629" max="15629" width="10.7109375" style="556" customWidth="1"/>
    <col min="15630" max="15630" width="9.140625" style="556"/>
    <col min="15631" max="15631" width="2.7109375" style="556" customWidth="1"/>
    <col min="15632" max="15636" width="9.140625" style="556"/>
    <col min="15637" max="15638" width="10.7109375" style="556" customWidth="1"/>
    <col min="15639" max="15639" width="12.7109375" style="556" customWidth="1"/>
    <col min="15640" max="15643" width="10.7109375" style="556" customWidth="1"/>
    <col min="15644" max="15646" width="9.140625" style="556"/>
    <col min="15647" max="15649" width="10.7109375" style="556" customWidth="1"/>
    <col min="15650" max="15651" width="12.7109375" style="556" customWidth="1"/>
    <col min="15652" max="15873" width="9.140625" style="556"/>
    <col min="15874" max="15874" width="17.7109375" style="556" customWidth="1"/>
    <col min="15875" max="15880" width="10.7109375" style="556" customWidth="1"/>
    <col min="15881" max="15881" width="9.140625" style="556"/>
    <col min="15882" max="15882" width="10.7109375" style="556" customWidth="1"/>
    <col min="15883" max="15884" width="11.7109375" style="556" customWidth="1"/>
    <col min="15885" max="15885" width="10.7109375" style="556" customWidth="1"/>
    <col min="15886" max="15886" width="9.140625" style="556"/>
    <col min="15887" max="15887" width="2.7109375" style="556" customWidth="1"/>
    <col min="15888" max="15892" width="9.140625" style="556"/>
    <col min="15893" max="15894" width="10.7109375" style="556" customWidth="1"/>
    <col min="15895" max="15895" width="12.7109375" style="556" customWidth="1"/>
    <col min="15896" max="15899" width="10.7109375" style="556" customWidth="1"/>
    <col min="15900" max="15902" width="9.140625" style="556"/>
    <col min="15903" max="15905" width="10.7109375" style="556" customWidth="1"/>
    <col min="15906" max="15907" width="12.7109375" style="556" customWidth="1"/>
    <col min="15908" max="16129" width="9.140625" style="556"/>
    <col min="16130" max="16130" width="17.7109375" style="556" customWidth="1"/>
    <col min="16131" max="16136" width="10.7109375" style="556" customWidth="1"/>
    <col min="16137" max="16137" width="9.140625" style="556"/>
    <col min="16138" max="16138" width="10.7109375" style="556" customWidth="1"/>
    <col min="16139" max="16140" width="11.7109375" style="556" customWidth="1"/>
    <col min="16141" max="16141" width="10.7109375" style="556" customWidth="1"/>
    <col min="16142" max="16142" width="9.140625" style="556"/>
    <col min="16143" max="16143" width="2.7109375" style="556" customWidth="1"/>
    <col min="16144" max="16148" width="9.140625" style="556"/>
    <col min="16149" max="16150" width="10.7109375" style="556" customWidth="1"/>
    <col min="16151" max="16151" width="12.7109375" style="556" customWidth="1"/>
    <col min="16152" max="16155" width="10.7109375" style="556" customWidth="1"/>
    <col min="16156" max="16158" width="9.140625" style="556"/>
    <col min="16159" max="16161" width="10.7109375" style="556" customWidth="1"/>
    <col min="16162" max="16163" width="12.7109375" style="556" customWidth="1"/>
    <col min="16164" max="16384" width="9.140625" style="556"/>
  </cols>
  <sheetData>
    <row r="2" spans="2:35" ht="20.25" x14ac:dyDescent="0.3">
      <c r="B2" s="555" t="s">
        <v>738</v>
      </c>
    </row>
    <row r="3" spans="2:35" ht="13.5" thickBot="1" x14ac:dyDescent="0.25"/>
    <row r="4" spans="2:35" ht="13.5" thickBot="1" x14ac:dyDescent="0.25">
      <c r="V4" s="1301" t="s">
        <v>1145</v>
      </c>
      <c r="W4" s="1301" t="s">
        <v>1147</v>
      </c>
      <c r="X4" s="1301" t="s">
        <v>1146</v>
      </c>
      <c r="AA4" s="1301" t="s">
        <v>1145</v>
      </c>
    </row>
    <row r="5" spans="2:35" ht="15.75" x14ac:dyDescent="0.25">
      <c r="B5" s="557" t="s">
        <v>708</v>
      </c>
      <c r="C5" s="559" t="s">
        <v>1</v>
      </c>
      <c r="D5" s="559" t="s">
        <v>15</v>
      </c>
      <c r="E5" s="666" t="s">
        <v>684</v>
      </c>
      <c r="F5" s="680"/>
      <c r="G5" s="559" t="s">
        <v>709</v>
      </c>
      <c r="H5" s="667"/>
      <c r="J5" s="606" t="s">
        <v>724</v>
      </c>
      <c r="K5" s="607"/>
      <c r="L5" s="607"/>
      <c r="M5" s="563"/>
      <c r="O5" s="766"/>
      <c r="Q5" s="682" t="s">
        <v>634</v>
      </c>
      <c r="R5" s="631" t="s">
        <v>634</v>
      </c>
      <c r="S5" s="631" t="s">
        <v>355</v>
      </c>
      <c r="T5" s="631" t="s">
        <v>355</v>
      </c>
      <c r="U5" s="767" t="s">
        <v>504</v>
      </c>
      <c r="V5" s="815" t="s">
        <v>357</v>
      </c>
      <c r="W5" s="566" t="s">
        <v>731</v>
      </c>
      <c r="X5" s="815" t="s">
        <v>732</v>
      </c>
      <c r="Y5" s="681" t="s">
        <v>1</v>
      </c>
      <c r="Z5" s="667" t="s">
        <v>15</v>
      </c>
      <c r="AA5" s="816" t="s">
        <v>15</v>
      </c>
      <c r="AB5" s="768" t="s">
        <v>711</v>
      </c>
      <c r="AC5" s="768" t="s">
        <v>504</v>
      </c>
      <c r="AD5" s="768" t="s">
        <v>359</v>
      </c>
      <c r="AE5" s="768" t="s">
        <v>711</v>
      </c>
      <c r="AF5" s="768" t="s">
        <v>712</v>
      </c>
      <c r="AG5" s="768" t="s">
        <v>712</v>
      </c>
      <c r="AH5" s="768" t="s">
        <v>1</v>
      </c>
      <c r="AI5" s="684" t="s">
        <v>15</v>
      </c>
    </row>
    <row r="6" spans="2:35" ht="15.75" x14ac:dyDescent="0.25">
      <c r="B6" s="769" t="s">
        <v>76</v>
      </c>
      <c r="C6" s="569" t="s">
        <v>1</v>
      </c>
      <c r="D6" s="569" t="s">
        <v>15</v>
      </c>
      <c r="E6" s="586" t="s">
        <v>1</v>
      </c>
      <c r="F6" s="685" t="s">
        <v>15</v>
      </c>
      <c r="G6" s="586" t="s">
        <v>1</v>
      </c>
      <c r="H6" s="587" t="s">
        <v>15</v>
      </c>
      <c r="J6" s="572" t="s">
        <v>531</v>
      </c>
      <c r="K6" s="609" t="s">
        <v>477</v>
      </c>
      <c r="L6" s="609" t="s">
        <v>359</v>
      </c>
      <c r="M6" s="573" t="s">
        <v>359</v>
      </c>
      <c r="O6" s="766"/>
      <c r="Q6" s="593" t="s">
        <v>3</v>
      </c>
      <c r="R6" s="594" t="s">
        <v>521</v>
      </c>
      <c r="S6" s="594" t="s">
        <v>3</v>
      </c>
      <c r="T6" s="594" t="s">
        <v>521</v>
      </c>
      <c r="U6" s="770" t="s">
        <v>506</v>
      </c>
      <c r="V6" s="817" t="s">
        <v>521</v>
      </c>
      <c r="W6" s="576" t="s">
        <v>733</v>
      </c>
      <c r="X6" s="817" t="s">
        <v>734</v>
      </c>
      <c r="Y6" s="686" t="s">
        <v>359</v>
      </c>
      <c r="Z6" s="587" t="s">
        <v>359</v>
      </c>
      <c r="AA6" s="818" t="s">
        <v>662</v>
      </c>
      <c r="AB6" s="771" t="s">
        <v>1</v>
      </c>
      <c r="AC6" s="771" t="s">
        <v>506</v>
      </c>
      <c r="AD6" s="771" t="s">
        <v>733</v>
      </c>
      <c r="AE6" s="771" t="s">
        <v>15</v>
      </c>
      <c r="AF6" s="771" t="s">
        <v>1</v>
      </c>
      <c r="AG6" s="771" t="s">
        <v>15</v>
      </c>
      <c r="AH6" s="771" t="s">
        <v>713</v>
      </c>
      <c r="AI6" s="688" t="s">
        <v>713</v>
      </c>
    </row>
    <row r="7" spans="2:35" ht="15.75" x14ac:dyDescent="0.25">
      <c r="B7" s="769"/>
      <c r="C7" s="569" t="s">
        <v>0</v>
      </c>
      <c r="D7" s="569" t="s">
        <v>0</v>
      </c>
      <c r="E7" s="586" t="s">
        <v>0</v>
      </c>
      <c r="F7" s="685" t="s">
        <v>0</v>
      </c>
      <c r="G7" s="586" t="s">
        <v>0</v>
      </c>
      <c r="H7" s="587" t="s">
        <v>0</v>
      </c>
      <c r="J7" s="572" t="s">
        <v>714</v>
      </c>
      <c r="K7" s="609" t="s">
        <v>484</v>
      </c>
      <c r="L7" s="609" t="s">
        <v>483</v>
      </c>
      <c r="M7" s="573" t="s">
        <v>520</v>
      </c>
      <c r="O7" s="766"/>
      <c r="Q7" s="593"/>
      <c r="R7" s="594"/>
      <c r="S7" s="594"/>
      <c r="T7" s="594"/>
      <c r="U7" s="770" t="s">
        <v>3</v>
      </c>
      <c r="V7" s="817" t="s">
        <v>735</v>
      </c>
      <c r="W7" s="576" t="s">
        <v>736</v>
      </c>
      <c r="X7" s="817"/>
      <c r="Y7" s="686" t="s">
        <v>3</v>
      </c>
      <c r="Z7" s="587" t="s">
        <v>3</v>
      </c>
      <c r="AA7" s="818" t="s">
        <v>3</v>
      </c>
      <c r="AB7" s="771" t="s">
        <v>359</v>
      </c>
      <c r="AC7" s="771" t="s">
        <v>359</v>
      </c>
      <c r="AD7" s="771" t="s">
        <v>736</v>
      </c>
      <c r="AE7" s="771" t="s">
        <v>359</v>
      </c>
      <c r="AF7" s="771" t="s">
        <v>359</v>
      </c>
      <c r="AG7" s="771" t="s">
        <v>359</v>
      </c>
      <c r="AH7" s="771" t="s">
        <v>715</v>
      </c>
      <c r="AI7" s="688" t="s">
        <v>715</v>
      </c>
    </row>
    <row r="8" spans="2:35" ht="15.75" x14ac:dyDescent="0.25">
      <c r="B8" s="769"/>
      <c r="C8" s="569"/>
      <c r="D8" s="569"/>
      <c r="E8" s="586"/>
      <c r="F8" s="685"/>
      <c r="G8" s="569"/>
      <c r="H8" s="587"/>
      <c r="J8" s="572"/>
      <c r="K8" s="609"/>
      <c r="L8" s="609"/>
      <c r="M8" s="573"/>
      <c r="O8" s="766"/>
      <c r="Q8" s="593"/>
      <c r="R8" s="594"/>
      <c r="S8" s="594"/>
      <c r="T8" s="594"/>
      <c r="U8" s="770"/>
      <c r="V8" s="817"/>
      <c r="W8" s="576"/>
      <c r="X8" s="817"/>
      <c r="Y8" s="686"/>
      <c r="Z8" s="587"/>
      <c r="AA8" s="818"/>
      <c r="AB8" s="771"/>
      <c r="AC8" s="771"/>
      <c r="AD8" s="771"/>
      <c r="AE8" s="771"/>
      <c r="AF8" s="771"/>
      <c r="AG8" s="771"/>
      <c r="AH8" s="771"/>
      <c r="AI8" s="688"/>
    </row>
    <row r="9" spans="2:35" ht="13.5" thickBot="1" x14ac:dyDescent="0.25">
      <c r="B9" s="577" t="s">
        <v>0</v>
      </c>
      <c r="C9" s="579" t="s">
        <v>0</v>
      </c>
      <c r="D9" s="579" t="s">
        <v>0</v>
      </c>
      <c r="E9" s="692" t="s">
        <v>0</v>
      </c>
      <c r="F9" s="693" t="s">
        <v>0</v>
      </c>
      <c r="G9" s="579" t="s">
        <v>0</v>
      </c>
      <c r="H9" s="695" t="s">
        <v>0</v>
      </c>
      <c r="J9" s="772" t="s">
        <v>0</v>
      </c>
      <c r="K9" s="626" t="s">
        <v>0</v>
      </c>
      <c r="L9" s="626" t="s">
        <v>0</v>
      </c>
      <c r="M9" s="773" t="s">
        <v>0</v>
      </c>
      <c r="O9" s="766"/>
      <c r="Q9" s="603" t="s">
        <v>0</v>
      </c>
      <c r="R9" s="604" t="s">
        <v>0</v>
      </c>
      <c r="S9" s="604" t="s">
        <v>0</v>
      </c>
      <c r="T9" s="604" t="s">
        <v>0</v>
      </c>
      <c r="U9" s="774" t="s">
        <v>0</v>
      </c>
      <c r="V9" s="819" t="s">
        <v>0</v>
      </c>
      <c r="W9" s="605" t="s">
        <v>0</v>
      </c>
      <c r="X9" s="819"/>
      <c r="Y9" s="712" t="s">
        <v>0</v>
      </c>
      <c r="Z9" s="713" t="s">
        <v>0</v>
      </c>
      <c r="AA9" s="820"/>
      <c r="AB9" s="777" t="s">
        <v>0</v>
      </c>
      <c r="AC9" s="777"/>
      <c r="AD9" s="777"/>
      <c r="AE9" s="777" t="s">
        <v>0</v>
      </c>
      <c r="AF9" s="777" t="s">
        <v>0</v>
      </c>
      <c r="AG9" s="777" t="s">
        <v>0</v>
      </c>
      <c r="AH9" s="777" t="s">
        <v>0</v>
      </c>
      <c r="AI9" s="778" t="s">
        <v>0</v>
      </c>
    </row>
    <row r="10" spans="2:35" x14ac:dyDescent="0.2">
      <c r="B10" s="567"/>
      <c r="C10" s="569"/>
      <c r="D10" s="569"/>
      <c r="E10" s="586"/>
      <c r="F10" s="569"/>
      <c r="G10" s="586"/>
      <c r="H10" s="587"/>
      <c r="J10" s="808"/>
      <c r="K10" s="809"/>
      <c r="L10" s="809"/>
      <c r="M10" s="810"/>
      <c r="O10" s="766"/>
      <c r="Q10" s="593"/>
      <c r="R10" s="594"/>
      <c r="S10" s="594"/>
      <c r="T10" s="594"/>
      <c r="U10" s="821"/>
      <c r="V10" s="822"/>
      <c r="W10" s="566" t="s">
        <v>0</v>
      </c>
      <c r="X10" s="817"/>
      <c r="Y10" s="686"/>
      <c r="Z10" s="569"/>
      <c r="AA10" s="818"/>
      <c r="AB10" s="771"/>
      <c r="AC10" s="771"/>
      <c r="AD10" s="771"/>
      <c r="AE10" s="771"/>
      <c r="AF10" s="771"/>
      <c r="AG10" s="771"/>
      <c r="AH10" s="771"/>
      <c r="AI10" s="688"/>
    </row>
    <row r="11" spans="2:35" x14ac:dyDescent="0.2">
      <c r="B11" s="567"/>
      <c r="C11" s="569"/>
      <c r="D11" s="569"/>
      <c r="E11" s="586"/>
      <c r="F11" s="569"/>
      <c r="G11" s="586"/>
      <c r="H11" s="587"/>
      <c r="J11" s="572"/>
      <c r="K11" s="609"/>
      <c r="L11" s="609"/>
      <c r="M11" s="573"/>
      <c r="O11" s="766"/>
      <c r="Q11" s="593"/>
      <c r="R11" s="594"/>
      <c r="S11" s="594"/>
      <c r="T11" s="594"/>
      <c r="U11" s="821"/>
      <c r="V11" s="821"/>
      <c r="W11" s="576"/>
      <c r="X11" s="817"/>
      <c r="Y11" s="686"/>
      <c r="Z11" s="569"/>
      <c r="AA11" s="818"/>
      <c r="AB11" s="771" t="s">
        <v>0</v>
      </c>
      <c r="AC11" s="771"/>
      <c r="AD11" s="771"/>
      <c r="AE11" s="771" t="s">
        <v>0</v>
      </c>
      <c r="AF11" s="771"/>
      <c r="AG11" s="771"/>
      <c r="AH11" s="771"/>
      <c r="AI11" s="688"/>
    </row>
    <row r="12" spans="2:35" x14ac:dyDescent="0.2">
      <c r="B12" s="567" t="s">
        <v>485</v>
      </c>
      <c r="C12" s="588">
        <v>0.4</v>
      </c>
      <c r="D12" s="588">
        <v>0.4</v>
      </c>
      <c r="E12" s="589">
        <v>20</v>
      </c>
      <c r="F12" s="650">
        <v>10</v>
      </c>
      <c r="G12" s="589">
        <v>20</v>
      </c>
      <c r="H12" s="590">
        <f>((1+F12/100)*(1+Z12/100)-1)*100</f>
        <v>10.000000000000009</v>
      </c>
      <c r="J12" s="591">
        <f>(C12-D12)*((1+F12/100)/(1+F$19/100)-1)</f>
        <v>0</v>
      </c>
      <c r="K12" s="663">
        <f>C12*((1+E12/100)/(1+F12/100)-1)*(1+F12/100)/(1+U$19/100)</f>
        <v>3.8022813688212899E-2</v>
      </c>
      <c r="L12" s="663">
        <f>(C12-D12)*((1+AA12/100)/(1+AE$19/100)-1)</f>
        <v>0</v>
      </c>
      <c r="M12" s="592">
        <f>C12*((1+Y12/100)/(1+Z12/100)-1)*(1+Z12/100)/(1+AD$19/100)</f>
        <v>0</v>
      </c>
      <c r="O12" s="766"/>
      <c r="Q12" s="654">
        <f>+C12*E12</f>
        <v>8</v>
      </c>
      <c r="R12" s="655">
        <f>+D12*F12</f>
        <v>4</v>
      </c>
      <c r="S12" s="655">
        <f>+C12*G12</f>
        <v>8</v>
      </c>
      <c r="T12" s="655">
        <f>+D12*H12</f>
        <v>4.0000000000000036</v>
      </c>
      <c r="U12" s="823">
        <f>+C12*F12</f>
        <v>4</v>
      </c>
      <c r="V12" s="824">
        <v>10</v>
      </c>
      <c r="W12" s="825">
        <f>+D12*F12+(C12-D12)*V12</f>
        <v>4</v>
      </c>
      <c r="X12" s="826">
        <f>(C12-D12)*((1+V12/100)/(1+F12/100)-1)*(1+F12/100)/(1+U$19/100)</f>
        <v>0</v>
      </c>
      <c r="Y12" s="703">
        <f>((1+G12/100)/(1+E12/100)-1)*100</f>
        <v>0</v>
      </c>
      <c r="Z12" s="650">
        <v>0</v>
      </c>
      <c r="AA12" s="827">
        <f>+((1+Z12/100)*(1+F12/100)/(1+V12/100)-1)*100</f>
        <v>0</v>
      </c>
      <c r="AB12" s="781">
        <f>+C12*Y12</f>
        <v>0</v>
      </c>
      <c r="AC12" s="781">
        <f>+C12*Z12</f>
        <v>0</v>
      </c>
      <c r="AD12" s="781">
        <f>+D12*Z12+(C12-D12)*AA12</f>
        <v>0</v>
      </c>
      <c r="AE12" s="781">
        <f>+D12*Z12</f>
        <v>0</v>
      </c>
      <c r="AF12" s="782">
        <f>+C12*Y12*(1+E12/100)/(1+E$19/100)</f>
        <v>0</v>
      </c>
      <c r="AG12" s="782">
        <f>+D12*Z12*(1+F12/100)/(1+F$19/100)</f>
        <v>0</v>
      </c>
      <c r="AH12" s="783" t="s">
        <v>0</v>
      </c>
      <c r="AI12" s="784" t="s">
        <v>0</v>
      </c>
    </row>
    <row r="13" spans="2:35" x14ac:dyDescent="0.2">
      <c r="B13" s="567"/>
      <c r="C13" s="588"/>
      <c r="D13" s="588"/>
      <c r="E13" s="589"/>
      <c r="F13" s="650"/>
      <c r="G13" s="589"/>
      <c r="H13" s="590"/>
      <c r="J13" s="591"/>
      <c r="K13" s="663"/>
      <c r="L13" s="609"/>
      <c r="M13" s="573"/>
      <c r="O13" s="766"/>
      <c r="Q13" s="654"/>
      <c r="R13" s="655"/>
      <c r="S13" s="655"/>
      <c r="T13" s="655"/>
      <c r="U13" s="823"/>
      <c r="V13" s="824"/>
      <c r="W13" s="828"/>
      <c r="X13" s="829"/>
      <c r="Y13" s="703"/>
      <c r="Z13" s="650"/>
      <c r="AA13" s="827"/>
      <c r="AB13" s="771"/>
      <c r="AC13" s="771"/>
      <c r="AD13" s="771"/>
      <c r="AE13" s="771"/>
      <c r="AF13" s="782"/>
      <c r="AG13" s="782"/>
      <c r="AH13" s="783"/>
      <c r="AI13" s="784"/>
    </row>
    <row r="14" spans="2:35" x14ac:dyDescent="0.2">
      <c r="B14" s="567" t="s">
        <v>486</v>
      </c>
      <c r="C14" s="588">
        <v>0.3</v>
      </c>
      <c r="D14" s="588">
        <v>0.2</v>
      </c>
      <c r="E14" s="589">
        <v>-5</v>
      </c>
      <c r="F14" s="650">
        <v>-4</v>
      </c>
      <c r="G14" s="589">
        <v>4.7</v>
      </c>
      <c r="H14" s="590">
        <f>((1+F14/100)*(1+Z14/100)-1)*100</f>
        <v>5.600000000000005</v>
      </c>
      <c r="J14" s="591">
        <f>(C14-D14)*((1+V14/100)/(1+F$19/100)-1)</f>
        <v>-8.8345864661654155E-3</v>
      </c>
      <c r="K14" s="663">
        <f>C14*((1+E14/100)/(1+F14/100)-1)*(1+F14/100)/(1+U$19/100)</f>
        <v>-2.8517110266159593E-3</v>
      </c>
      <c r="L14" s="663">
        <f>(C14-D14)*((1+AA14/100)/(1+AE$19/100)-1)</f>
        <v>-1.0309278350515425E-3</v>
      </c>
      <c r="M14" s="592">
        <f>C14*((1+Y14/100)/(1+Z14/100)-1)*(1+Z14/100)/(1+AD$19/100)</f>
        <v>5.7887376591472307E-4</v>
      </c>
      <c r="O14" s="766"/>
      <c r="Q14" s="654">
        <f>+C14*E14</f>
        <v>-1.5</v>
      </c>
      <c r="R14" s="655">
        <f>+D14*F14</f>
        <v>-0.8</v>
      </c>
      <c r="S14" s="655">
        <f>+C14*G14</f>
        <v>1.41</v>
      </c>
      <c r="T14" s="655">
        <f>+D14*H14</f>
        <v>1.120000000000001</v>
      </c>
      <c r="U14" s="823">
        <f>+C14*F14</f>
        <v>-1.2</v>
      </c>
      <c r="V14" s="824">
        <v>-3</v>
      </c>
      <c r="W14" s="825">
        <f>+D14*F14+(C14-D14)*V14</f>
        <v>-1.1000000000000001</v>
      </c>
      <c r="X14" s="826">
        <f>(C14-D14)*((1+V14/100)/(1+F14/100)-1)*(1+F14/100)/(1+U$19/100)</f>
        <v>9.5057034220532959E-4</v>
      </c>
      <c r="Y14" s="703">
        <f>((1+G14/100)/(1+E14/100)-1)*100</f>
        <v>10.210526315789469</v>
      </c>
      <c r="Z14" s="650">
        <v>10</v>
      </c>
      <c r="AA14" s="830">
        <f>+((1+Z14/100)*(1+F14/100)/(1+V14/100)-1)*100</f>
        <v>8.8659793814433119</v>
      </c>
      <c r="AB14" s="781">
        <f>+C14*Y14</f>
        <v>3.0631578947368405</v>
      </c>
      <c r="AC14" s="781">
        <f>+C14*Z14</f>
        <v>3</v>
      </c>
      <c r="AD14" s="781">
        <f>+D14*Z14+(C14-D14)*AA14</f>
        <v>2.8865979381443312</v>
      </c>
      <c r="AE14" s="781">
        <f>+D14*Z14</f>
        <v>2</v>
      </c>
      <c r="AF14" s="782">
        <f>+C14*Y14*(1+E14/100)/(1+E$19/100)</f>
        <v>2.6869806094182813</v>
      </c>
      <c r="AG14" s="782">
        <f>+D14*Z14*(1+F14/100)/(1+F$19/100)</f>
        <v>1.8045112781954886</v>
      </c>
      <c r="AH14" s="783" t="s">
        <v>0</v>
      </c>
      <c r="AI14" s="784" t="s">
        <v>0</v>
      </c>
    </row>
    <row r="15" spans="2:35" x14ac:dyDescent="0.2">
      <c r="B15" s="567"/>
      <c r="C15" s="588"/>
      <c r="D15" s="588"/>
      <c r="E15" s="589"/>
      <c r="F15" s="650"/>
      <c r="G15" s="589"/>
      <c r="H15" s="590"/>
      <c r="J15" s="591"/>
      <c r="K15" s="663"/>
      <c r="L15" s="609"/>
      <c r="M15" s="573"/>
      <c r="O15" s="766"/>
      <c r="Q15" s="654"/>
      <c r="R15" s="655"/>
      <c r="S15" s="655"/>
      <c r="T15" s="655"/>
      <c r="U15" s="823"/>
      <c r="V15" s="824"/>
      <c r="W15" s="828"/>
      <c r="X15" s="829"/>
      <c r="Y15" s="703"/>
      <c r="Z15" s="650"/>
      <c r="AA15" s="830"/>
      <c r="AB15" s="771"/>
      <c r="AC15" s="771"/>
      <c r="AD15" s="771"/>
      <c r="AE15" s="771"/>
      <c r="AF15" s="782"/>
      <c r="AG15" s="782"/>
      <c r="AH15" s="783"/>
      <c r="AI15" s="784"/>
    </row>
    <row r="16" spans="2:35" x14ac:dyDescent="0.2">
      <c r="B16" s="567" t="s">
        <v>487</v>
      </c>
      <c r="C16" s="588">
        <v>0.3</v>
      </c>
      <c r="D16" s="588">
        <v>0.4</v>
      </c>
      <c r="E16" s="589">
        <v>6</v>
      </c>
      <c r="F16" s="650">
        <v>8</v>
      </c>
      <c r="G16" s="589">
        <v>28</v>
      </c>
      <c r="H16" s="590">
        <f>((1+F16/100)*(1+Z16/100)-1)*100</f>
        <v>29.600000000000005</v>
      </c>
      <c r="J16" s="591">
        <f>(C16-D16)*((1+V16/100)/(1+F$19/100)-1)</f>
        <v>-3.3834586466165561E-3</v>
      </c>
      <c r="K16" s="663">
        <f>C16*((1+E16/100)/(1+F16/100)-1)*(1+F16/100)/(1+U$19/100)</f>
        <v>-5.7034220532319307E-3</v>
      </c>
      <c r="L16" s="663">
        <f>(C16-D16)*((1+AA16/100)/(1+AE$19/100)-1)</f>
        <v>-7.1074380165289134E-3</v>
      </c>
      <c r="M16" s="592">
        <f>C16*((1+Y16/100)/(1+Z16/100)-1)*(1+Z16/100)/(1+AD$19/100)</f>
        <v>2.0752078400716857E-3</v>
      </c>
      <c r="O16" s="766"/>
      <c r="Q16" s="654">
        <f>+C16*E16</f>
        <v>1.7999999999999998</v>
      </c>
      <c r="R16" s="655">
        <f>+D16*F16</f>
        <v>3.2</v>
      </c>
      <c r="S16" s="655">
        <f>+C16*G16</f>
        <v>8.4</v>
      </c>
      <c r="T16" s="655">
        <f>+D16*H16</f>
        <v>11.840000000000003</v>
      </c>
      <c r="U16" s="823">
        <f>+C16*F16</f>
        <v>2.4</v>
      </c>
      <c r="V16" s="824">
        <v>10</v>
      </c>
      <c r="W16" s="825">
        <f>+D16*F16+(C16-D16)*V16</f>
        <v>2.1999999999999997</v>
      </c>
      <c r="X16" s="826">
        <f>(C16-D16)*((1+V16/100)/(1+F16/100)-1)*(1+F16/100)/(1+U$19/100)</f>
        <v>-1.9011406844106555E-3</v>
      </c>
      <c r="Y16" s="703">
        <f>((1+G16/100)/(1+E16/100)-1)*100</f>
        <v>20.75471698113207</v>
      </c>
      <c r="Z16" s="650">
        <v>20</v>
      </c>
      <c r="AA16" s="830">
        <f>+((1+Z16/100)*(1+F16/100)/(1+V16/100)-1)*100</f>
        <v>17.81818181818182</v>
      </c>
      <c r="AB16" s="781">
        <f>+C16*Y16</f>
        <v>6.2264150943396208</v>
      </c>
      <c r="AC16" s="781">
        <f>+C16*Z16</f>
        <v>6</v>
      </c>
      <c r="AD16" s="781">
        <f>+D16*Z16+(C16-D16)*AA16</f>
        <v>6.2181818181818169</v>
      </c>
      <c r="AE16" s="781">
        <f>+D16*Z16</f>
        <v>8</v>
      </c>
      <c r="AF16" s="782">
        <f>+C16*Y16*(1+E16/100)/(1+E$19/100)</f>
        <v>6.0941828254847632</v>
      </c>
      <c r="AG16" s="782">
        <f>+D16*Z16*(1+F16/100)/(1+F$19/100)</f>
        <v>8.1203007518797001</v>
      </c>
      <c r="AH16" s="783" t="s">
        <v>0</v>
      </c>
      <c r="AI16" s="784" t="s">
        <v>0</v>
      </c>
    </row>
    <row r="17" spans="2:35" ht="13.5" thickBot="1" x14ac:dyDescent="0.25">
      <c r="B17" s="657"/>
      <c r="C17" s="658"/>
      <c r="D17" s="658"/>
      <c r="E17" s="659"/>
      <c r="F17" s="706"/>
      <c r="G17" s="659"/>
      <c r="H17" s="660"/>
      <c r="J17" s="785"/>
      <c r="K17" s="786"/>
      <c r="L17" s="786"/>
      <c r="M17" s="787"/>
      <c r="O17" s="766"/>
      <c r="Q17" s="654"/>
      <c r="R17" s="655"/>
      <c r="S17" s="655"/>
      <c r="T17" s="655"/>
      <c r="U17" s="823"/>
      <c r="V17" s="831"/>
      <c r="W17" s="618"/>
      <c r="X17" s="829"/>
      <c r="Y17" s="703"/>
      <c r="Z17" s="650"/>
      <c r="AA17" s="827"/>
      <c r="AB17" s="781"/>
      <c r="AC17" s="781"/>
      <c r="AD17" s="781"/>
      <c r="AE17" s="781"/>
      <c r="AF17" s="781"/>
      <c r="AG17" s="781"/>
      <c r="AH17" s="783"/>
      <c r="AI17" s="784"/>
    </row>
    <row r="18" spans="2:35" x14ac:dyDescent="0.2">
      <c r="B18" s="664"/>
      <c r="C18" s="665"/>
      <c r="D18" s="665"/>
      <c r="E18" s="666"/>
      <c r="F18" s="559"/>
      <c r="G18" s="666"/>
      <c r="H18" s="667"/>
      <c r="J18" s="591"/>
      <c r="K18" s="663"/>
      <c r="L18" s="609"/>
      <c r="M18" s="573"/>
      <c r="O18" s="766"/>
      <c r="Q18" s="788"/>
      <c r="R18" s="789"/>
      <c r="S18" s="789"/>
      <c r="T18" s="789"/>
      <c r="U18" s="832"/>
      <c r="V18" s="832"/>
      <c r="W18" s="833"/>
      <c r="X18" s="834"/>
      <c r="Y18" s="681"/>
      <c r="Z18" s="791"/>
      <c r="AA18" s="827"/>
      <c r="AB18" s="771"/>
      <c r="AC18" s="771"/>
      <c r="AD18" s="771"/>
      <c r="AE18" s="771"/>
      <c r="AF18" s="771"/>
      <c r="AG18" s="771"/>
      <c r="AH18" s="771"/>
      <c r="AI18" s="688"/>
    </row>
    <row r="19" spans="2:35" ht="16.5" thickBot="1" x14ac:dyDescent="0.3">
      <c r="B19" s="595" t="s">
        <v>16</v>
      </c>
      <c r="C19" s="596">
        <f>SUM(C3:C16)</f>
        <v>1</v>
      </c>
      <c r="D19" s="596">
        <v>1</v>
      </c>
      <c r="E19" s="598">
        <f>+Q19</f>
        <v>8.3000000000000007</v>
      </c>
      <c r="F19" s="792">
        <f>+R19</f>
        <v>6.4</v>
      </c>
      <c r="G19" s="668">
        <f>+S19</f>
        <v>17.810000000000002</v>
      </c>
      <c r="H19" s="669">
        <f>+T19</f>
        <v>16.960000000000008</v>
      </c>
      <c r="J19" s="601">
        <f>SUM(J12:J17)</f>
        <v>-1.2218045112781972E-2</v>
      </c>
      <c r="K19" s="793">
        <f>SUM(K3:K17)</f>
        <v>2.9467680608365007E-2</v>
      </c>
      <c r="L19" s="793">
        <f>SUM(L3:L17)</f>
        <v>-8.1383658515804553E-3</v>
      </c>
      <c r="M19" s="602">
        <f>SUM(M3:M17)</f>
        <v>2.6540816059864086E-3</v>
      </c>
      <c r="O19" s="766"/>
      <c r="Q19" s="794">
        <f>SUM(Q12:Q16)</f>
        <v>8.3000000000000007</v>
      </c>
      <c r="R19" s="795">
        <f>SUM(R12:R16)</f>
        <v>6.4</v>
      </c>
      <c r="S19" s="795">
        <f>SUM(S12:S16)</f>
        <v>17.810000000000002</v>
      </c>
      <c r="T19" s="795">
        <f>SUM(T12:T16)</f>
        <v>16.960000000000008</v>
      </c>
      <c r="U19" s="831">
        <f>SUM(U12:U16)</f>
        <v>5.1999999999999993</v>
      </c>
      <c r="V19" s="831"/>
      <c r="W19" s="618">
        <f>SUM(W12:W16)</f>
        <v>5.0999999999999996</v>
      </c>
      <c r="X19" s="835">
        <f>SUM(X12:X16)</f>
        <v>-9.505703422053259E-4</v>
      </c>
      <c r="Y19" s="797">
        <f>((1+G19/100)/(1+E19/100)-1)*100</f>
        <v>8.7811634349030712</v>
      </c>
      <c r="Z19" s="798">
        <f>((1+H19/100)/(1+F19/100)-1)*100</f>
        <v>9.9248120300751808</v>
      </c>
      <c r="AA19" s="836"/>
      <c r="AB19" s="782">
        <f t="shared" ref="AB19:AG19" si="0">SUM(AB12:AB16)</f>
        <v>9.2895729890764613</v>
      </c>
      <c r="AC19" s="782">
        <f t="shared" si="0"/>
        <v>9</v>
      </c>
      <c r="AD19" s="782">
        <f t="shared" si="0"/>
        <v>9.104779756326149</v>
      </c>
      <c r="AE19" s="782">
        <f t="shared" si="0"/>
        <v>10</v>
      </c>
      <c r="AF19" s="782">
        <f t="shared" si="0"/>
        <v>8.7811634349030445</v>
      </c>
      <c r="AG19" s="782">
        <f t="shared" si="0"/>
        <v>9.9248120300751879</v>
      </c>
      <c r="AH19" s="783">
        <f>+(1+AF19/100)/(1+AB19/100)-1</f>
        <v>-4.6519493147276769E-3</v>
      </c>
      <c r="AI19" s="784">
        <f>+(1+AE19/100)/(1+AG19/100)-1</f>
        <v>6.8399452804390748E-4</v>
      </c>
    </row>
    <row r="20" spans="2:35" x14ac:dyDescent="0.2">
      <c r="K20" s="572"/>
      <c r="L20" s="609"/>
      <c r="M20" s="573"/>
      <c r="O20" s="766"/>
      <c r="AB20" s="687"/>
      <c r="AC20" s="771"/>
      <c r="AD20" s="771"/>
      <c r="AE20" s="800" t="s">
        <v>223</v>
      </c>
      <c r="AF20" s="801">
        <f>+(1+G19/100)/(1+E19/100)-1</f>
        <v>8.7811634349030721E-2</v>
      </c>
      <c r="AG20" s="801">
        <f>+(1+H19/100)/(1+F19/100)-1</f>
        <v>9.9248120300751808E-2</v>
      </c>
      <c r="AH20" s="783" t="s">
        <v>0</v>
      </c>
      <c r="AI20" s="784" t="s">
        <v>0</v>
      </c>
    </row>
    <row r="21" spans="2:35" ht="13.5" thickBot="1" x14ac:dyDescent="0.25">
      <c r="K21" s="613" t="s">
        <v>715</v>
      </c>
      <c r="L21" s="614"/>
      <c r="M21" s="615">
        <f>+AI21</f>
        <v>-3.9711366945597293E-3</v>
      </c>
      <c r="O21" s="766"/>
      <c r="AB21" s="776"/>
      <c r="AC21" s="777"/>
      <c r="AD21" s="777"/>
      <c r="AE21" s="777"/>
      <c r="AF21" s="777"/>
      <c r="AG21" s="777" t="s">
        <v>716</v>
      </c>
      <c r="AH21" s="777"/>
      <c r="AI21" s="802">
        <f>(1+AH19)*(1+AI19)-1</f>
        <v>-3.9711366945597293E-3</v>
      </c>
    </row>
    <row r="22" spans="2:35" ht="15.75" thickBot="1" x14ac:dyDescent="0.3">
      <c r="O22" s="766"/>
      <c r="Q22" s="556" t="s">
        <v>0</v>
      </c>
      <c r="U22" s="837" t="s">
        <v>737</v>
      </c>
      <c r="V22" s="838"/>
      <c r="W22" s="839">
        <f>+(1+W19/100)/(1+U19/100)-1</f>
        <v>-9.505703422054701E-4</v>
      </c>
      <c r="Y22" s="803"/>
      <c r="Z22" s="556" t="s">
        <v>0</v>
      </c>
    </row>
    <row r="23" spans="2:35" ht="15.75" x14ac:dyDescent="0.25">
      <c r="J23" s="606" t="s">
        <v>507</v>
      </c>
      <c r="K23" s="676"/>
      <c r="L23" s="676"/>
      <c r="M23" s="608">
        <f>(1+G19/100)/(1+H19/100)-1</f>
        <v>7.2674418604652402E-3</v>
      </c>
      <c r="O23" s="766"/>
    </row>
    <row r="24" spans="2:35" x14ac:dyDescent="0.2">
      <c r="J24" s="572"/>
      <c r="K24" s="609"/>
      <c r="L24" s="609"/>
      <c r="M24" s="804"/>
      <c r="O24" s="766"/>
      <c r="Q24" s="556" t="s">
        <v>223</v>
      </c>
    </row>
    <row r="25" spans="2:35" x14ac:dyDescent="0.2">
      <c r="J25" s="572" t="s">
        <v>476</v>
      </c>
      <c r="K25" s="609"/>
      <c r="L25" s="609"/>
      <c r="M25" s="610">
        <f>+J19</f>
        <v>-1.2218045112781972E-2</v>
      </c>
      <c r="O25" s="766"/>
      <c r="Q25" s="764">
        <f>+(1+U19/100)/(1+F19/100)-1</f>
        <v>-1.1278195488721776E-2</v>
      </c>
    </row>
    <row r="26" spans="2:35" x14ac:dyDescent="0.2">
      <c r="I26" s="600"/>
      <c r="J26" s="572" t="s">
        <v>484</v>
      </c>
      <c r="K26" s="609"/>
      <c r="L26" s="609"/>
      <c r="M26" s="610">
        <f>+K19</f>
        <v>2.9467680608365007E-2</v>
      </c>
      <c r="O26" s="766"/>
      <c r="Q26" s="805">
        <f>+(1+E19/100)/(1+U19/100)-1</f>
        <v>2.946768060836491E-2</v>
      </c>
    </row>
    <row r="27" spans="2:35" x14ac:dyDescent="0.2">
      <c r="J27" s="572" t="s">
        <v>707</v>
      </c>
      <c r="K27" s="609"/>
      <c r="L27" s="609"/>
      <c r="M27" s="610">
        <f>L19</f>
        <v>-8.1383658515804553E-3</v>
      </c>
      <c r="O27" s="766"/>
      <c r="Q27" s="805">
        <f>+(1+AD19/100)/(1+AE19/100)-1</f>
        <v>-8.1383658515804536E-3</v>
      </c>
    </row>
    <row r="28" spans="2:35" x14ac:dyDescent="0.2">
      <c r="J28" s="572" t="s">
        <v>725</v>
      </c>
      <c r="K28" s="609"/>
      <c r="L28" s="609"/>
      <c r="M28" s="610">
        <f>+M19</f>
        <v>2.6540816059864086E-3</v>
      </c>
      <c r="O28" s="766"/>
      <c r="Q28" s="765">
        <f>+(1+AB19/100)/(1+AC19/100)-1</f>
        <v>2.6566329273070011E-3</v>
      </c>
    </row>
    <row r="29" spans="2:35" x14ac:dyDescent="0.2">
      <c r="J29" s="572" t="s">
        <v>715</v>
      </c>
      <c r="K29" s="609"/>
      <c r="L29" s="609"/>
      <c r="M29" s="610">
        <f>+M21</f>
        <v>-3.9711366945597293E-3</v>
      </c>
      <c r="O29" s="766"/>
    </row>
    <row r="30" spans="2:35" ht="13.5" thickBot="1" x14ac:dyDescent="0.25">
      <c r="J30" s="613" t="s">
        <v>141</v>
      </c>
      <c r="K30" s="614"/>
      <c r="L30" s="614"/>
      <c r="M30" s="615">
        <f>(1+M23)/((1+M25)*(1+M26)*(1+M27)*(1+M28)*(1+M29))-1</f>
        <v>-7.2534207052887822E-6</v>
      </c>
      <c r="O30" s="766"/>
    </row>
    <row r="31" spans="2:35" x14ac:dyDescent="0.2">
      <c r="O31" s="766"/>
      <c r="Q31" s="556" t="s">
        <v>0</v>
      </c>
      <c r="Y31" s="803"/>
      <c r="Z31" s="556" t="s">
        <v>0</v>
      </c>
    </row>
  </sheetData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4817" r:id="rId4">
          <objectPr defaultSize="0" autoPict="0" r:id="rId5">
            <anchor moveWithCells="1" sizeWithCells="1">
              <from>
                <xdr:col>29</xdr:col>
                <xdr:colOff>171450</xdr:colOff>
                <xdr:row>7</xdr:row>
                <xdr:rowOff>38100</xdr:rowOff>
              </from>
              <to>
                <xdr:col>29</xdr:col>
                <xdr:colOff>400050</xdr:colOff>
                <xdr:row>8</xdr:row>
                <xdr:rowOff>66675</xdr:rowOff>
              </to>
            </anchor>
          </objectPr>
        </oleObject>
      </mc:Choice>
      <mc:Fallback>
        <oleObject progId="Equation.3" shapeId="34817" r:id="rId4"/>
      </mc:Fallback>
    </mc:AlternateContent>
    <mc:AlternateContent xmlns:mc="http://schemas.openxmlformats.org/markup-compatibility/2006">
      <mc:Choice Requires="x14">
        <oleObject progId="Equation.3" shapeId="34818" r:id="rId6">
          <objectPr defaultSize="0" autoPict="0" r:id="rId7">
            <anchor moveWithCells="1" sizeWithCells="1">
              <from>
                <xdr:col>27</xdr:col>
                <xdr:colOff>209550</xdr:colOff>
                <xdr:row>7</xdr:row>
                <xdr:rowOff>47625</xdr:rowOff>
              </from>
              <to>
                <xdr:col>27</xdr:col>
                <xdr:colOff>371475</xdr:colOff>
                <xdr:row>8</xdr:row>
                <xdr:rowOff>76200</xdr:rowOff>
              </to>
            </anchor>
          </objectPr>
        </oleObject>
      </mc:Choice>
      <mc:Fallback>
        <oleObject progId="Equation.3" shapeId="34818" r:id="rId6"/>
      </mc:Fallback>
    </mc:AlternateContent>
    <mc:AlternateContent xmlns:mc="http://schemas.openxmlformats.org/markup-compatibility/2006">
      <mc:Choice Requires="x14">
        <oleObject progId="Equation.3" shapeId="34819" r:id="rId8">
          <objectPr defaultSize="0" autoPict="0" r:id="rId9">
            <anchor moveWithCells="1" sizeWithCells="1">
              <from>
                <xdr:col>31</xdr:col>
                <xdr:colOff>314325</xdr:colOff>
                <xdr:row>7</xdr:row>
                <xdr:rowOff>47625</xdr:rowOff>
              </from>
              <to>
                <xdr:col>31</xdr:col>
                <xdr:colOff>476250</xdr:colOff>
                <xdr:row>8</xdr:row>
                <xdr:rowOff>76200</xdr:rowOff>
              </to>
            </anchor>
          </objectPr>
        </oleObject>
      </mc:Choice>
      <mc:Fallback>
        <oleObject progId="Equation.3" shapeId="34819" r:id="rId8"/>
      </mc:Fallback>
    </mc:AlternateContent>
    <mc:AlternateContent xmlns:mc="http://schemas.openxmlformats.org/markup-compatibility/2006">
      <mc:Choice Requires="x14">
        <oleObject progId="Equation.3" shapeId="34820" r:id="rId10">
          <objectPr defaultSize="0" autoPict="0" r:id="rId11">
            <anchor moveWithCells="1" sizeWithCells="1">
              <from>
                <xdr:col>32</xdr:col>
                <xdr:colOff>238125</xdr:colOff>
                <xdr:row>7</xdr:row>
                <xdr:rowOff>28575</xdr:rowOff>
              </from>
              <to>
                <xdr:col>32</xdr:col>
                <xdr:colOff>419100</xdr:colOff>
                <xdr:row>8</xdr:row>
                <xdr:rowOff>57150</xdr:rowOff>
              </to>
            </anchor>
          </objectPr>
        </oleObject>
      </mc:Choice>
      <mc:Fallback>
        <oleObject progId="Equation.3" shapeId="34820" r:id="rId10"/>
      </mc:Fallback>
    </mc:AlternateContent>
    <mc:AlternateContent xmlns:mc="http://schemas.openxmlformats.org/markup-compatibility/2006">
      <mc:Choice Requires="x14">
        <oleObject progId="Equation.3" shapeId="34821" r:id="rId12">
          <objectPr defaultSize="0" autoPict="0" r:id="rId13">
            <anchor moveWithCells="1" sizeWithCells="1">
              <from>
                <xdr:col>18</xdr:col>
                <xdr:colOff>209550</xdr:colOff>
                <xdr:row>7</xdr:row>
                <xdr:rowOff>19050</xdr:rowOff>
              </from>
              <to>
                <xdr:col>18</xdr:col>
                <xdr:colOff>361950</xdr:colOff>
                <xdr:row>7</xdr:row>
                <xdr:rowOff>180975</xdr:rowOff>
              </to>
            </anchor>
          </objectPr>
        </oleObject>
      </mc:Choice>
      <mc:Fallback>
        <oleObject progId="Equation.3" shapeId="34821" r:id="rId12"/>
      </mc:Fallback>
    </mc:AlternateContent>
    <mc:AlternateContent xmlns:mc="http://schemas.openxmlformats.org/markup-compatibility/2006">
      <mc:Choice Requires="x14">
        <oleObject progId="Equation.3" shapeId="34822" r:id="rId14">
          <objectPr defaultSize="0" autoPict="0" r:id="rId15">
            <anchor moveWithCells="1" sizeWithCells="1">
              <from>
                <xdr:col>30</xdr:col>
                <xdr:colOff>266700</xdr:colOff>
                <xdr:row>7</xdr:row>
                <xdr:rowOff>38100</xdr:rowOff>
              </from>
              <to>
                <xdr:col>30</xdr:col>
                <xdr:colOff>447675</xdr:colOff>
                <xdr:row>8</xdr:row>
                <xdr:rowOff>66675</xdr:rowOff>
              </to>
            </anchor>
          </objectPr>
        </oleObject>
      </mc:Choice>
      <mc:Fallback>
        <oleObject progId="Equation.3" shapeId="34822" r:id="rId14"/>
      </mc:Fallback>
    </mc:AlternateContent>
    <mc:AlternateContent xmlns:mc="http://schemas.openxmlformats.org/markup-compatibility/2006">
      <mc:Choice Requires="x14">
        <oleObject progId="Equation.3" shapeId="34823" r:id="rId16">
          <objectPr defaultSize="0" autoPict="0" r:id="rId17">
            <anchor moveWithCells="1" sizeWithCells="1">
              <from>
                <xdr:col>16</xdr:col>
                <xdr:colOff>257175</xdr:colOff>
                <xdr:row>6</xdr:row>
                <xdr:rowOff>161925</xdr:rowOff>
              </from>
              <to>
                <xdr:col>16</xdr:col>
                <xdr:colOff>409575</xdr:colOff>
                <xdr:row>7</xdr:row>
                <xdr:rowOff>180975</xdr:rowOff>
              </to>
            </anchor>
          </objectPr>
        </oleObject>
      </mc:Choice>
      <mc:Fallback>
        <oleObject progId="Equation.3" shapeId="34823" r:id="rId16"/>
      </mc:Fallback>
    </mc:AlternateContent>
    <mc:AlternateContent xmlns:mc="http://schemas.openxmlformats.org/markup-compatibility/2006">
      <mc:Choice Requires="x14">
        <oleObject progId="Equation.3" shapeId="34824" r:id="rId18">
          <objectPr defaultSize="0" autoPict="0" r:id="rId19">
            <anchor moveWithCells="1" sizeWithCells="1">
              <from>
                <xdr:col>17</xdr:col>
                <xdr:colOff>171450</xdr:colOff>
                <xdr:row>6</xdr:row>
                <xdr:rowOff>161925</xdr:rowOff>
              </from>
              <to>
                <xdr:col>17</xdr:col>
                <xdr:colOff>352425</xdr:colOff>
                <xdr:row>7</xdr:row>
                <xdr:rowOff>180975</xdr:rowOff>
              </to>
            </anchor>
          </objectPr>
        </oleObject>
      </mc:Choice>
      <mc:Fallback>
        <oleObject progId="Equation.3" shapeId="34824" r:id="rId18"/>
      </mc:Fallback>
    </mc:AlternateContent>
    <mc:AlternateContent xmlns:mc="http://schemas.openxmlformats.org/markup-compatibility/2006">
      <mc:Choice Requires="x14">
        <oleObject progId="Equation.3" shapeId="34825" r:id="rId20">
          <objectPr defaultSize="0" autoPict="0" r:id="rId21">
            <anchor moveWithCells="1" sizeWithCells="1">
              <from>
                <xdr:col>19</xdr:col>
                <xdr:colOff>228600</xdr:colOff>
                <xdr:row>7</xdr:row>
                <xdr:rowOff>0</xdr:rowOff>
              </from>
              <to>
                <xdr:col>19</xdr:col>
                <xdr:colOff>352425</xdr:colOff>
                <xdr:row>7</xdr:row>
                <xdr:rowOff>180975</xdr:rowOff>
              </to>
            </anchor>
          </objectPr>
        </oleObject>
      </mc:Choice>
      <mc:Fallback>
        <oleObject progId="Equation.3" shapeId="34825" r:id="rId20"/>
      </mc:Fallback>
    </mc:AlternateContent>
    <mc:AlternateContent xmlns:mc="http://schemas.openxmlformats.org/markup-compatibility/2006">
      <mc:Choice Requires="x14">
        <oleObject progId="Equation.3" shapeId="34826" r:id="rId22">
          <objectPr defaultSize="0" autoPict="0" r:id="rId23">
            <anchor moveWithCells="1" sizeWithCells="1">
              <from>
                <xdr:col>20</xdr:col>
                <xdr:colOff>209550</xdr:colOff>
                <xdr:row>7</xdr:row>
                <xdr:rowOff>19050</xdr:rowOff>
              </from>
              <to>
                <xdr:col>20</xdr:col>
                <xdr:colOff>428625</xdr:colOff>
                <xdr:row>8</xdr:row>
                <xdr:rowOff>47625</xdr:rowOff>
              </to>
            </anchor>
          </objectPr>
        </oleObject>
      </mc:Choice>
      <mc:Fallback>
        <oleObject progId="Equation.3" shapeId="34826" r:id="rId22"/>
      </mc:Fallback>
    </mc:AlternateContent>
    <mc:AlternateContent xmlns:mc="http://schemas.openxmlformats.org/markup-compatibility/2006">
      <mc:Choice Requires="x14">
        <oleObject progId="Equation.3" shapeId="34827" r:id="rId24">
          <objectPr defaultSize="0" autoPict="0" r:id="rId25">
            <anchor moveWithCells="1" sizeWithCells="1">
              <from>
                <xdr:col>24</xdr:col>
                <xdr:colOff>247650</xdr:colOff>
                <xdr:row>7</xdr:row>
                <xdr:rowOff>47625</xdr:rowOff>
              </from>
              <to>
                <xdr:col>24</xdr:col>
                <xdr:colOff>400050</xdr:colOff>
                <xdr:row>8</xdr:row>
                <xdr:rowOff>76200</xdr:rowOff>
              </to>
            </anchor>
          </objectPr>
        </oleObject>
      </mc:Choice>
      <mc:Fallback>
        <oleObject progId="Equation.3" shapeId="34827" r:id="rId24"/>
      </mc:Fallback>
    </mc:AlternateContent>
    <mc:AlternateContent xmlns:mc="http://schemas.openxmlformats.org/markup-compatibility/2006">
      <mc:Choice Requires="x14">
        <oleObject progId="Equation.3" shapeId="34828" r:id="rId26">
          <objectPr defaultSize="0" autoPict="0" r:id="rId27">
            <anchor moveWithCells="1" sizeWithCells="1">
              <from>
                <xdr:col>25</xdr:col>
                <xdr:colOff>228600</xdr:colOff>
                <xdr:row>7</xdr:row>
                <xdr:rowOff>47625</xdr:rowOff>
              </from>
              <to>
                <xdr:col>25</xdr:col>
                <xdr:colOff>381000</xdr:colOff>
                <xdr:row>8</xdr:row>
                <xdr:rowOff>76200</xdr:rowOff>
              </to>
            </anchor>
          </objectPr>
        </oleObject>
      </mc:Choice>
      <mc:Fallback>
        <oleObject progId="Equation.3" shapeId="34828" r:id="rId26"/>
      </mc:Fallback>
    </mc:AlternateContent>
    <mc:AlternateContent xmlns:mc="http://schemas.openxmlformats.org/markup-compatibility/2006">
      <mc:Choice Requires="x14">
        <oleObject progId="Equation.3" shapeId="34829" r:id="rId28">
          <objectPr defaultSize="0" autoPict="0" r:id="rId29">
            <anchor moveWithCells="1" sizeWithCells="1">
              <from>
                <xdr:col>28</xdr:col>
                <xdr:colOff>190500</xdr:colOff>
                <xdr:row>7</xdr:row>
                <xdr:rowOff>38100</xdr:rowOff>
              </from>
              <to>
                <xdr:col>28</xdr:col>
                <xdr:colOff>400050</xdr:colOff>
                <xdr:row>8</xdr:row>
                <xdr:rowOff>66675</xdr:rowOff>
              </to>
            </anchor>
          </objectPr>
        </oleObject>
      </mc:Choice>
      <mc:Fallback>
        <oleObject progId="Equation.3" shapeId="34829" r:id="rId28"/>
      </mc:Fallback>
    </mc:AlternateContent>
    <mc:AlternateContent xmlns:mc="http://schemas.openxmlformats.org/markup-compatibility/2006">
      <mc:Choice Requires="x14">
        <oleObject progId="Equation.3" shapeId="34830" r:id="rId30">
          <objectPr defaultSize="0" autoPict="0" r:id="rId31">
            <anchor moveWithCells="1" sizeWithCells="1">
              <from>
                <xdr:col>26</xdr:col>
                <xdr:colOff>285750</xdr:colOff>
                <xdr:row>7</xdr:row>
                <xdr:rowOff>66675</xdr:rowOff>
              </from>
              <to>
                <xdr:col>26</xdr:col>
                <xdr:colOff>447675</xdr:colOff>
                <xdr:row>8</xdr:row>
                <xdr:rowOff>95250</xdr:rowOff>
              </to>
            </anchor>
          </objectPr>
        </oleObject>
      </mc:Choice>
      <mc:Fallback>
        <oleObject progId="Equation.3" shapeId="34830" r:id="rId30"/>
      </mc:Fallback>
    </mc:AlternateContent>
    <mc:AlternateContent xmlns:mc="http://schemas.openxmlformats.org/markup-compatibility/2006">
      <mc:Choice Requires="x14">
        <oleObject progId="Equation.3" shapeId="34831" r:id="rId32">
          <objectPr defaultSize="0" autoPict="0" r:id="rId33">
            <anchor moveWithCells="1" sizeWithCells="1">
              <from>
                <xdr:col>21</xdr:col>
                <xdr:colOff>209550</xdr:colOff>
                <xdr:row>7</xdr:row>
                <xdr:rowOff>47625</xdr:rowOff>
              </from>
              <to>
                <xdr:col>21</xdr:col>
                <xdr:colOff>428625</xdr:colOff>
                <xdr:row>8</xdr:row>
                <xdr:rowOff>76200</xdr:rowOff>
              </to>
            </anchor>
          </objectPr>
        </oleObject>
      </mc:Choice>
      <mc:Fallback>
        <oleObject progId="Equation.3" shapeId="34831" r:id="rId32"/>
      </mc:Fallback>
    </mc:AlternateContent>
    <mc:AlternateContent xmlns:mc="http://schemas.openxmlformats.org/markup-compatibility/2006">
      <mc:Choice Requires="x14">
        <oleObject progId="Equation.3" shapeId="34832" r:id="rId34">
          <objectPr defaultSize="0" autoPict="0" r:id="rId35">
            <anchor moveWithCells="1" sizeWithCells="1">
              <from>
                <xdr:col>22</xdr:col>
                <xdr:colOff>238125</xdr:colOff>
                <xdr:row>7</xdr:row>
                <xdr:rowOff>28575</xdr:rowOff>
              </from>
              <to>
                <xdr:col>22</xdr:col>
                <xdr:colOff>476250</xdr:colOff>
                <xdr:row>8</xdr:row>
                <xdr:rowOff>57150</xdr:rowOff>
              </to>
            </anchor>
          </objectPr>
        </oleObject>
      </mc:Choice>
      <mc:Fallback>
        <oleObject progId="Equation.3" shapeId="34832" r:id="rId34"/>
      </mc:Fallback>
    </mc:AlternateContent>
    <mc:AlternateContent xmlns:mc="http://schemas.openxmlformats.org/markup-compatibility/2006">
      <mc:Choice Requires="x14">
        <oleObject progId="Equation.3" shapeId="34833" r:id="rId36">
          <objectPr defaultSize="0" autoPict="0" r:id="rId37">
            <anchor moveWithCells="1" sizeWithCells="1">
              <from>
                <xdr:col>2</xdr:col>
                <xdr:colOff>228600</xdr:colOff>
                <xdr:row>7</xdr:row>
                <xdr:rowOff>38100</xdr:rowOff>
              </from>
              <to>
                <xdr:col>2</xdr:col>
                <xdr:colOff>409575</xdr:colOff>
                <xdr:row>8</xdr:row>
                <xdr:rowOff>66675</xdr:rowOff>
              </to>
            </anchor>
          </objectPr>
        </oleObject>
      </mc:Choice>
      <mc:Fallback>
        <oleObject progId="Equation.3" shapeId="34833" r:id="rId36"/>
      </mc:Fallback>
    </mc:AlternateContent>
    <mc:AlternateContent xmlns:mc="http://schemas.openxmlformats.org/markup-compatibility/2006">
      <mc:Choice Requires="x14">
        <oleObject progId="Equation.3" shapeId="34834" r:id="rId38">
          <objectPr defaultSize="0" autoPict="0" r:id="rId39">
            <anchor moveWithCells="1" sizeWithCells="1">
              <from>
                <xdr:col>3</xdr:col>
                <xdr:colOff>238125</xdr:colOff>
                <xdr:row>7</xdr:row>
                <xdr:rowOff>66675</xdr:rowOff>
              </from>
              <to>
                <xdr:col>3</xdr:col>
                <xdr:colOff>428625</xdr:colOff>
                <xdr:row>8</xdr:row>
                <xdr:rowOff>95250</xdr:rowOff>
              </to>
            </anchor>
          </objectPr>
        </oleObject>
      </mc:Choice>
      <mc:Fallback>
        <oleObject progId="Equation.3" shapeId="34834" r:id="rId38"/>
      </mc:Fallback>
    </mc:AlternateContent>
    <mc:AlternateContent xmlns:mc="http://schemas.openxmlformats.org/markup-compatibility/2006">
      <mc:Choice Requires="x14">
        <oleObject progId="Equation.3" shapeId="34835" r:id="rId40">
          <objectPr defaultSize="0" autoPict="0" r:id="rId41">
            <anchor moveWithCells="1" sizeWithCells="1">
              <from>
                <xdr:col>4</xdr:col>
                <xdr:colOff>352425</xdr:colOff>
                <xdr:row>7</xdr:row>
                <xdr:rowOff>57150</xdr:rowOff>
              </from>
              <to>
                <xdr:col>4</xdr:col>
                <xdr:colOff>533400</xdr:colOff>
                <xdr:row>8</xdr:row>
                <xdr:rowOff>85725</xdr:rowOff>
              </to>
            </anchor>
          </objectPr>
        </oleObject>
      </mc:Choice>
      <mc:Fallback>
        <oleObject progId="Equation.3" shapeId="34835" r:id="rId40"/>
      </mc:Fallback>
    </mc:AlternateContent>
    <mc:AlternateContent xmlns:mc="http://schemas.openxmlformats.org/markup-compatibility/2006">
      <mc:Choice Requires="x14">
        <oleObject progId="Equation.3" shapeId="34836" r:id="rId42">
          <objectPr defaultSize="0" autoPict="0" r:id="rId43">
            <anchor moveWithCells="1" sizeWithCells="1">
              <from>
                <xdr:col>5</xdr:col>
                <xdr:colOff>247650</xdr:colOff>
                <xdr:row>7</xdr:row>
                <xdr:rowOff>47625</xdr:rowOff>
              </from>
              <to>
                <xdr:col>5</xdr:col>
                <xdr:colOff>438150</xdr:colOff>
                <xdr:row>8</xdr:row>
                <xdr:rowOff>76200</xdr:rowOff>
              </to>
            </anchor>
          </objectPr>
        </oleObject>
      </mc:Choice>
      <mc:Fallback>
        <oleObject progId="Equation.3" shapeId="34836" r:id="rId42"/>
      </mc:Fallback>
    </mc:AlternateContent>
    <mc:AlternateContent xmlns:mc="http://schemas.openxmlformats.org/markup-compatibility/2006">
      <mc:Choice Requires="x14">
        <oleObject progId="Equation.3" shapeId="34837" r:id="rId44">
          <objectPr defaultSize="0" autoPict="0" r:id="rId45">
            <anchor moveWithCells="1" sizeWithCells="1">
              <from>
                <xdr:col>6</xdr:col>
                <xdr:colOff>333375</xdr:colOff>
                <xdr:row>7</xdr:row>
                <xdr:rowOff>47625</xdr:rowOff>
              </from>
              <to>
                <xdr:col>6</xdr:col>
                <xdr:colOff>457200</xdr:colOff>
                <xdr:row>8</xdr:row>
                <xdr:rowOff>76200</xdr:rowOff>
              </to>
            </anchor>
          </objectPr>
        </oleObject>
      </mc:Choice>
      <mc:Fallback>
        <oleObject progId="Equation.3" shapeId="34837" r:id="rId44"/>
      </mc:Fallback>
    </mc:AlternateContent>
    <mc:AlternateContent xmlns:mc="http://schemas.openxmlformats.org/markup-compatibility/2006">
      <mc:Choice Requires="x14">
        <oleObject progId="Equation.3" shapeId="34838" r:id="rId46">
          <objectPr defaultSize="0" autoPict="0" r:id="rId47">
            <anchor moveWithCells="1" sizeWithCells="1">
              <from>
                <xdr:col>7</xdr:col>
                <xdr:colOff>247650</xdr:colOff>
                <xdr:row>7</xdr:row>
                <xdr:rowOff>28575</xdr:rowOff>
              </from>
              <to>
                <xdr:col>7</xdr:col>
                <xdr:colOff>390525</xdr:colOff>
                <xdr:row>8</xdr:row>
                <xdr:rowOff>57150</xdr:rowOff>
              </to>
            </anchor>
          </objectPr>
        </oleObject>
      </mc:Choice>
      <mc:Fallback>
        <oleObject progId="Equation.3" shapeId="34838" r:id="rId46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BB40-B7C5-4FF3-A796-1FE157C84107}">
  <dimension ref="B2:AS37"/>
  <sheetViews>
    <sheetView workbookViewId="0">
      <selection activeCell="A39" sqref="A39"/>
    </sheetView>
  </sheetViews>
  <sheetFormatPr defaultRowHeight="12.75" x14ac:dyDescent="0.2"/>
  <cols>
    <col min="1" max="1" width="9.140625" style="556"/>
    <col min="2" max="2" width="17.7109375" style="556" customWidth="1"/>
    <col min="3" max="9" width="10.7109375" style="556" customWidth="1"/>
    <col min="10" max="10" width="9.140625" style="556"/>
    <col min="11" max="12" width="10.7109375" style="556" customWidth="1"/>
    <col min="13" max="13" width="11.7109375" style="556" customWidth="1"/>
    <col min="14" max="14" width="10.7109375" style="556" customWidth="1"/>
    <col min="15" max="15" width="9.140625" style="556"/>
    <col min="16" max="16" width="2.7109375" style="556" customWidth="1"/>
    <col min="17" max="17" width="9.140625" style="556"/>
    <col min="18" max="28" width="10.7109375" style="556" customWidth="1"/>
    <col min="29" max="30" width="9.140625" style="556"/>
    <col min="31" max="35" width="10.7109375" style="556" customWidth="1"/>
    <col min="36" max="36" width="11.7109375" style="556" customWidth="1"/>
    <col min="37" max="39" width="12.7109375" style="556" customWidth="1"/>
    <col min="40" max="257" width="9.140625" style="556"/>
    <col min="258" max="258" width="17.7109375" style="556" customWidth="1"/>
    <col min="259" max="265" width="10.7109375" style="556" customWidth="1"/>
    <col min="266" max="266" width="9.140625" style="556"/>
    <col min="267" max="268" width="10.7109375" style="556" customWidth="1"/>
    <col min="269" max="269" width="11.7109375" style="556" customWidth="1"/>
    <col min="270" max="270" width="10.7109375" style="556" customWidth="1"/>
    <col min="271" max="271" width="9.140625" style="556"/>
    <col min="272" max="272" width="2.7109375" style="556" customWidth="1"/>
    <col min="273" max="273" width="9.140625" style="556"/>
    <col min="274" max="284" width="10.7109375" style="556" customWidth="1"/>
    <col min="285" max="286" width="9.140625" style="556"/>
    <col min="287" max="291" width="10.7109375" style="556" customWidth="1"/>
    <col min="292" max="292" width="11.7109375" style="556" customWidth="1"/>
    <col min="293" max="295" width="12.7109375" style="556" customWidth="1"/>
    <col min="296" max="513" width="9.140625" style="556"/>
    <col min="514" max="514" width="17.7109375" style="556" customWidth="1"/>
    <col min="515" max="521" width="10.7109375" style="556" customWidth="1"/>
    <col min="522" max="522" width="9.140625" style="556"/>
    <col min="523" max="524" width="10.7109375" style="556" customWidth="1"/>
    <col min="525" max="525" width="11.7109375" style="556" customWidth="1"/>
    <col min="526" max="526" width="10.7109375" style="556" customWidth="1"/>
    <col min="527" max="527" width="9.140625" style="556"/>
    <col min="528" max="528" width="2.7109375" style="556" customWidth="1"/>
    <col min="529" max="529" width="9.140625" style="556"/>
    <col min="530" max="540" width="10.7109375" style="556" customWidth="1"/>
    <col min="541" max="542" width="9.140625" style="556"/>
    <col min="543" max="547" width="10.7109375" style="556" customWidth="1"/>
    <col min="548" max="548" width="11.7109375" style="556" customWidth="1"/>
    <col min="549" max="551" width="12.7109375" style="556" customWidth="1"/>
    <col min="552" max="769" width="9.140625" style="556"/>
    <col min="770" max="770" width="17.7109375" style="556" customWidth="1"/>
    <col min="771" max="777" width="10.7109375" style="556" customWidth="1"/>
    <col min="778" max="778" width="9.140625" style="556"/>
    <col min="779" max="780" width="10.7109375" style="556" customWidth="1"/>
    <col min="781" max="781" width="11.7109375" style="556" customWidth="1"/>
    <col min="782" max="782" width="10.7109375" style="556" customWidth="1"/>
    <col min="783" max="783" width="9.140625" style="556"/>
    <col min="784" max="784" width="2.7109375" style="556" customWidth="1"/>
    <col min="785" max="785" width="9.140625" style="556"/>
    <col min="786" max="796" width="10.7109375" style="556" customWidth="1"/>
    <col min="797" max="798" width="9.140625" style="556"/>
    <col min="799" max="803" width="10.7109375" style="556" customWidth="1"/>
    <col min="804" max="804" width="11.7109375" style="556" customWidth="1"/>
    <col min="805" max="807" width="12.7109375" style="556" customWidth="1"/>
    <col min="808" max="1025" width="9.140625" style="556"/>
    <col min="1026" max="1026" width="17.7109375" style="556" customWidth="1"/>
    <col min="1027" max="1033" width="10.7109375" style="556" customWidth="1"/>
    <col min="1034" max="1034" width="9.140625" style="556"/>
    <col min="1035" max="1036" width="10.7109375" style="556" customWidth="1"/>
    <col min="1037" max="1037" width="11.7109375" style="556" customWidth="1"/>
    <col min="1038" max="1038" width="10.7109375" style="556" customWidth="1"/>
    <col min="1039" max="1039" width="9.140625" style="556"/>
    <col min="1040" max="1040" width="2.7109375" style="556" customWidth="1"/>
    <col min="1041" max="1041" width="9.140625" style="556"/>
    <col min="1042" max="1052" width="10.7109375" style="556" customWidth="1"/>
    <col min="1053" max="1054" width="9.140625" style="556"/>
    <col min="1055" max="1059" width="10.7109375" style="556" customWidth="1"/>
    <col min="1060" max="1060" width="11.7109375" style="556" customWidth="1"/>
    <col min="1061" max="1063" width="12.7109375" style="556" customWidth="1"/>
    <col min="1064" max="1281" width="9.140625" style="556"/>
    <col min="1282" max="1282" width="17.7109375" style="556" customWidth="1"/>
    <col min="1283" max="1289" width="10.7109375" style="556" customWidth="1"/>
    <col min="1290" max="1290" width="9.140625" style="556"/>
    <col min="1291" max="1292" width="10.7109375" style="556" customWidth="1"/>
    <col min="1293" max="1293" width="11.7109375" style="556" customWidth="1"/>
    <col min="1294" max="1294" width="10.7109375" style="556" customWidth="1"/>
    <col min="1295" max="1295" width="9.140625" style="556"/>
    <col min="1296" max="1296" width="2.7109375" style="556" customWidth="1"/>
    <col min="1297" max="1297" width="9.140625" style="556"/>
    <col min="1298" max="1308" width="10.7109375" style="556" customWidth="1"/>
    <col min="1309" max="1310" width="9.140625" style="556"/>
    <col min="1311" max="1315" width="10.7109375" style="556" customWidth="1"/>
    <col min="1316" max="1316" width="11.7109375" style="556" customWidth="1"/>
    <col min="1317" max="1319" width="12.7109375" style="556" customWidth="1"/>
    <col min="1320" max="1537" width="9.140625" style="556"/>
    <col min="1538" max="1538" width="17.7109375" style="556" customWidth="1"/>
    <col min="1539" max="1545" width="10.7109375" style="556" customWidth="1"/>
    <col min="1546" max="1546" width="9.140625" style="556"/>
    <col min="1547" max="1548" width="10.7109375" style="556" customWidth="1"/>
    <col min="1549" max="1549" width="11.7109375" style="556" customWidth="1"/>
    <col min="1550" max="1550" width="10.7109375" style="556" customWidth="1"/>
    <col min="1551" max="1551" width="9.140625" style="556"/>
    <col min="1552" max="1552" width="2.7109375" style="556" customWidth="1"/>
    <col min="1553" max="1553" width="9.140625" style="556"/>
    <col min="1554" max="1564" width="10.7109375" style="556" customWidth="1"/>
    <col min="1565" max="1566" width="9.140625" style="556"/>
    <col min="1567" max="1571" width="10.7109375" style="556" customWidth="1"/>
    <col min="1572" max="1572" width="11.7109375" style="556" customWidth="1"/>
    <col min="1573" max="1575" width="12.7109375" style="556" customWidth="1"/>
    <col min="1576" max="1793" width="9.140625" style="556"/>
    <col min="1794" max="1794" width="17.7109375" style="556" customWidth="1"/>
    <col min="1795" max="1801" width="10.7109375" style="556" customWidth="1"/>
    <col min="1802" max="1802" width="9.140625" style="556"/>
    <col min="1803" max="1804" width="10.7109375" style="556" customWidth="1"/>
    <col min="1805" max="1805" width="11.7109375" style="556" customWidth="1"/>
    <col min="1806" max="1806" width="10.7109375" style="556" customWidth="1"/>
    <col min="1807" max="1807" width="9.140625" style="556"/>
    <col min="1808" max="1808" width="2.7109375" style="556" customWidth="1"/>
    <col min="1809" max="1809" width="9.140625" style="556"/>
    <col min="1810" max="1820" width="10.7109375" style="556" customWidth="1"/>
    <col min="1821" max="1822" width="9.140625" style="556"/>
    <col min="1823" max="1827" width="10.7109375" style="556" customWidth="1"/>
    <col min="1828" max="1828" width="11.7109375" style="556" customWidth="1"/>
    <col min="1829" max="1831" width="12.7109375" style="556" customWidth="1"/>
    <col min="1832" max="2049" width="9.140625" style="556"/>
    <col min="2050" max="2050" width="17.7109375" style="556" customWidth="1"/>
    <col min="2051" max="2057" width="10.7109375" style="556" customWidth="1"/>
    <col min="2058" max="2058" width="9.140625" style="556"/>
    <col min="2059" max="2060" width="10.7109375" style="556" customWidth="1"/>
    <col min="2061" max="2061" width="11.7109375" style="556" customWidth="1"/>
    <col min="2062" max="2062" width="10.7109375" style="556" customWidth="1"/>
    <col min="2063" max="2063" width="9.140625" style="556"/>
    <col min="2064" max="2064" width="2.7109375" style="556" customWidth="1"/>
    <col min="2065" max="2065" width="9.140625" style="556"/>
    <col min="2066" max="2076" width="10.7109375" style="556" customWidth="1"/>
    <col min="2077" max="2078" width="9.140625" style="556"/>
    <col min="2079" max="2083" width="10.7109375" style="556" customWidth="1"/>
    <col min="2084" max="2084" width="11.7109375" style="556" customWidth="1"/>
    <col min="2085" max="2087" width="12.7109375" style="556" customWidth="1"/>
    <col min="2088" max="2305" width="9.140625" style="556"/>
    <col min="2306" max="2306" width="17.7109375" style="556" customWidth="1"/>
    <col min="2307" max="2313" width="10.7109375" style="556" customWidth="1"/>
    <col min="2314" max="2314" width="9.140625" style="556"/>
    <col min="2315" max="2316" width="10.7109375" style="556" customWidth="1"/>
    <col min="2317" max="2317" width="11.7109375" style="556" customWidth="1"/>
    <col min="2318" max="2318" width="10.7109375" style="556" customWidth="1"/>
    <col min="2319" max="2319" width="9.140625" style="556"/>
    <col min="2320" max="2320" width="2.7109375" style="556" customWidth="1"/>
    <col min="2321" max="2321" width="9.140625" style="556"/>
    <col min="2322" max="2332" width="10.7109375" style="556" customWidth="1"/>
    <col min="2333" max="2334" width="9.140625" style="556"/>
    <col min="2335" max="2339" width="10.7109375" style="556" customWidth="1"/>
    <col min="2340" max="2340" width="11.7109375" style="556" customWidth="1"/>
    <col min="2341" max="2343" width="12.7109375" style="556" customWidth="1"/>
    <col min="2344" max="2561" width="9.140625" style="556"/>
    <col min="2562" max="2562" width="17.7109375" style="556" customWidth="1"/>
    <col min="2563" max="2569" width="10.7109375" style="556" customWidth="1"/>
    <col min="2570" max="2570" width="9.140625" style="556"/>
    <col min="2571" max="2572" width="10.7109375" style="556" customWidth="1"/>
    <col min="2573" max="2573" width="11.7109375" style="556" customWidth="1"/>
    <col min="2574" max="2574" width="10.7109375" style="556" customWidth="1"/>
    <col min="2575" max="2575" width="9.140625" style="556"/>
    <col min="2576" max="2576" width="2.7109375" style="556" customWidth="1"/>
    <col min="2577" max="2577" width="9.140625" style="556"/>
    <col min="2578" max="2588" width="10.7109375" style="556" customWidth="1"/>
    <col min="2589" max="2590" width="9.140625" style="556"/>
    <col min="2591" max="2595" width="10.7109375" style="556" customWidth="1"/>
    <col min="2596" max="2596" width="11.7109375" style="556" customWidth="1"/>
    <col min="2597" max="2599" width="12.7109375" style="556" customWidth="1"/>
    <col min="2600" max="2817" width="9.140625" style="556"/>
    <col min="2818" max="2818" width="17.7109375" style="556" customWidth="1"/>
    <col min="2819" max="2825" width="10.7109375" style="556" customWidth="1"/>
    <col min="2826" max="2826" width="9.140625" style="556"/>
    <col min="2827" max="2828" width="10.7109375" style="556" customWidth="1"/>
    <col min="2829" max="2829" width="11.7109375" style="556" customWidth="1"/>
    <col min="2830" max="2830" width="10.7109375" style="556" customWidth="1"/>
    <col min="2831" max="2831" width="9.140625" style="556"/>
    <col min="2832" max="2832" width="2.7109375" style="556" customWidth="1"/>
    <col min="2833" max="2833" width="9.140625" style="556"/>
    <col min="2834" max="2844" width="10.7109375" style="556" customWidth="1"/>
    <col min="2845" max="2846" width="9.140625" style="556"/>
    <col min="2847" max="2851" width="10.7109375" style="556" customWidth="1"/>
    <col min="2852" max="2852" width="11.7109375" style="556" customWidth="1"/>
    <col min="2853" max="2855" width="12.7109375" style="556" customWidth="1"/>
    <col min="2856" max="3073" width="9.140625" style="556"/>
    <col min="3074" max="3074" width="17.7109375" style="556" customWidth="1"/>
    <col min="3075" max="3081" width="10.7109375" style="556" customWidth="1"/>
    <col min="3082" max="3082" width="9.140625" style="556"/>
    <col min="3083" max="3084" width="10.7109375" style="556" customWidth="1"/>
    <col min="3085" max="3085" width="11.7109375" style="556" customWidth="1"/>
    <col min="3086" max="3086" width="10.7109375" style="556" customWidth="1"/>
    <col min="3087" max="3087" width="9.140625" style="556"/>
    <col min="3088" max="3088" width="2.7109375" style="556" customWidth="1"/>
    <col min="3089" max="3089" width="9.140625" style="556"/>
    <col min="3090" max="3100" width="10.7109375" style="556" customWidth="1"/>
    <col min="3101" max="3102" width="9.140625" style="556"/>
    <col min="3103" max="3107" width="10.7109375" style="556" customWidth="1"/>
    <col min="3108" max="3108" width="11.7109375" style="556" customWidth="1"/>
    <col min="3109" max="3111" width="12.7109375" style="556" customWidth="1"/>
    <col min="3112" max="3329" width="9.140625" style="556"/>
    <col min="3330" max="3330" width="17.7109375" style="556" customWidth="1"/>
    <col min="3331" max="3337" width="10.7109375" style="556" customWidth="1"/>
    <col min="3338" max="3338" width="9.140625" style="556"/>
    <col min="3339" max="3340" width="10.7109375" style="556" customWidth="1"/>
    <col min="3341" max="3341" width="11.7109375" style="556" customWidth="1"/>
    <col min="3342" max="3342" width="10.7109375" style="556" customWidth="1"/>
    <col min="3343" max="3343" width="9.140625" style="556"/>
    <col min="3344" max="3344" width="2.7109375" style="556" customWidth="1"/>
    <col min="3345" max="3345" width="9.140625" style="556"/>
    <col min="3346" max="3356" width="10.7109375" style="556" customWidth="1"/>
    <col min="3357" max="3358" width="9.140625" style="556"/>
    <col min="3359" max="3363" width="10.7109375" style="556" customWidth="1"/>
    <col min="3364" max="3364" width="11.7109375" style="556" customWidth="1"/>
    <col min="3365" max="3367" width="12.7109375" style="556" customWidth="1"/>
    <col min="3368" max="3585" width="9.140625" style="556"/>
    <col min="3586" max="3586" width="17.7109375" style="556" customWidth="1"/>
    <col min="3587" max="3593" width="10.7109375" style="556" customWidth="1"/>
    <col min="3594" max="3594" width="9.140625" style="556"/>
    <col min="3595" max="3596" width="10.7109375" style="556" customWidth="1"/>
    <col min="3597" max="3597" width="11.7109375" style="556" customWidth="1"/>
    <col min="3598" max="3598" width="10.7109375" style="556" customWidth="1"/>
    <col min="3599" max="3599" width="9.140625" style="556"/>
    <col min="3600" max="3600" width="2.7109375" style="556" customWidth="1"/>
    <col min="3601" max="3601" width="9.140625" style="556"/>
    <col min="3602" max="3612" width="10.7109375" style="556" customWidth="1"/>
    <col min="3613" max="3614" width="9.140625" style="556"/>
    <col min="3615" max="3619" width="10.7109375" style="556" customWidth="1"/>
    <col min="3620" max="3620" width="11.7109375" style="556" customWidth="1"/>
    <col min="3621" max="3623" width="12.7109375" style="556" customWidth="1"/>
    <col min="3624" max="3841" width="9.140625" style="556"/>
    <col min="3842" max="3842" width="17.7109375" style="556" customWidth="1"/>
    <col min="3843" max="3849" width="10.7109375" style="556" customWidth="1"/>
    <col min="3850" max="3850" width="9.140625" style="556"/>
    <col min="3851" max="3852" width="10.7109375" style="556" customWidth="1"/>
    <col min="3853" max="3853" width="11.7109375" style="556" customWidth="1"/>
    <col min="3854" max="3854" width="10.7109375" style="556" customWidth="1"/>
    <col min="3855" max="3855" width="9.140625" style="556"/>
    <col min="3856" max="3856" width="2.7109375" style="556" customWidth="1"/>
    <col min="3857" max="3857" width="9.140625" style="556"/>
    <col min="3858" max="3868" width="10.7109375" style="556" customWidth="1"/>
    <col min="3869" max="3870" width="9.140625" style="556"/>
    <col min="3871" max="3875" width="10.7109375" style="556" customWidth="1"/>
    <col min="3876" max="3876" width="11.7109375" style="556" customWidth="1"/>
    <col min="3877" max="3879" width="12.7109375" style="556" customWidth="1"/>
    <col min="3880" max="4097" width="9.140625" style="556"/>
    <col min="4098" max="4098" width="17.7109375" style="556" customWidth="1"/>
    <col min="4099" max="4105" width="10.7109375" style="556" customWidth="1"/>
    <col min="4106" max="4106" width="9.140625" style="556"/>
    <col min="4107" max="4108" width="10.7109375" style="556" customWidth="1"/>
    <col min="4109" max="4109" width="11.7109375" style="556" customWidth="1"/>
    <col min="4110" max="4110" width="10.7109375" style="556" customWidth="1"/>
    <col min="4111" max="4111" width="9.140625" style="556"/>
    <col min="4112" max="4112" width="2.7109375" style="556" customWidth="1"/>
    <col min="4113" max="4113" width="9.140625" style="556"/>
    <col min="4114" max="4124" width="10.7109375" style="556" customWidth="1"/>
    <col min="4125" max="4126" width="9.140625" style="556"/>
    <col min="4127" max="4131" width="10.7109375" style="556" customWidth="1"/>
    <col min="4132" max="4132" width="11.7109375" style="556" customWidth="1"/>
    <col min="4133" max="4135" width="12.7109375" style="556" customWidth="1"/>
    <col min="4136" max="4353" width="9.140625" style="556"/>
    <col min="4354" max="4354" width="17.7109375" style="556" customWidth="1"/>
    <col min="4355" max="4361" width="10.7109375" style="556" customWidth="1"/>
    <col min="4362" max="4362" width="9.140625" style="556"/>
    <col min="4363" max="4364" width="10.7109375" style="556" customWidth="1"/>
    <col min="4365" max="4365" width="11.7109375" style="556" customWidth="1"/>
    <col min="4366" max="4366" width="10.7109375" style="556" customWidth="1"/>
    <col min="4367" max="4367" width="9.140625" style="556"/>
    <col min="4368" max="4368" width="2.7109375" style="556" customWidth="1"/>
    <col min="4369" max="4369" width="9.140625" style="556"/>
    <col min="4370" max="4380" width="10.7109375" style="556" customWidth="1"/>
    <col min="4381" max="4382" width="9.140625" style="556"/>
    <col min="4383" max="4387" width="10.7109375" style="556" customWidth="1"/>
    <col min="4388" max="4388" width="11.7109375" style="556" customWidth="1"/>
    <col min="4389" max="4391" width="12.7109375" style="556" customWidth="1"/>
    <col min="4392" max="4609" width="9.140625" style="556"/>
    <col min="4610" max="4610" width="17.7109375" style="556" customWidth="1"/>
    <col min="4611" max="4617" width="10.7109375" style="556" customWidth="1"/>
    <col min="4618" max="4618" width="9.140625" style="556"/>
    <col min="4619" max="4620" width="10.7109375" style="556" customWidth="1"/>
    <col min="4621" max="4621" width="11.7109375" style="556" customWidth="1"/>
    <col min="4622" max="4622" width="10.7109375" style="556" customWidth="1"/>
    <col min="4623" max="4623" width="9.140625" style="556"/>
    <col min="4624" max="4624" width="2.7109375" style="556" customWidth="1"/>
    <col min="4625" max="4625" width="9.140625" style="556"/>
    <col min="4626" max="4636" width="10.7109375" style="556" customWidth="1"/>
    <col min="4637" max="4638" width="9.140625" style="556"/>
    <col min="4639" max="4643" width="10.7109375" style="556" customWidth="1"/>
    <col min="4644" max="4644" width="11.7109375" style="556" customWidth="1"/>
    <col min="4645" max="4647" width="12.7109375" style="556" customWidth="1"/>
    <col min="4648" max="4865" width="9.140625" style="556"/>
    <col min="4866" max="4866" width="17.7109375" style="556" customWidth="1"/>
    <col min="4867" max="4873" width="10.7109375" style="556" customWidth="1"/>
    <col min="4874" max="4874" width="9.140625" style="556"/>
    <col min="4875" max="4876" width="10.7109375" style="556" customWidth="1"/>
    <col min="4877" max="4877" width="11.7109375" style="556" customWidth="1"/>
    <col min="4878" max="4878" width="10.7109375" style="556" customWidth="1"/>
    <col min="4879" max="4879" width="9.140625" style="556"/>
    <col min="4880" max="4880" width="2.7109375" style="556" customWidth="1"/>
    <col min="4881" max="4881" width="9.140625" style="556"/>
    <col min="4882" max="4892" width="10.7109375" style="556" customWidth="1"/>
    <col min="4893" max="4894" width="9.140625" style="556"/>
    <col min="4895" max="4899" width="10.7109375" style="556" customWidth="1"/>
    <col min="4900" max="4900" width="11.7109375" style="556" customWidth="1"/>
    <col min="4901" max="4903" width="12.7109375" style="556" customWidth="1"/>
    <col min="4904" max="5121" width="9.140625" style="556"/>
    <col min="5122" max="5122" width="17.7109375" style="556" customWidth="1"/>
    <col min="5123" max="5129" width="10.7109375" style="556" customWidth="1"/>
    <col min="5130" max="5130" width="9.140625" style="556"/>
    <col min="5131" max="5132" width="10.7109375" style="556" customWidth="1"/>
    <col min="5133" max="5133" width="11.7109375" style="556" customWidth="1"/>
    <col min="5134" max="5134" width="10.7109375" style="556" customWidth="1"/>
    <col min="5135" max="5135" width="9.140625" style="556"/>
    <col min="5136" max="5136" width="2.7109375" style="556" customWidth="1"/>
    <col min="5137" max="5137" width="9.140625" style="556"/>
    <col min="5138" max="5148" width="10.7109375" style="556" customWidth="1"/>
    <col min="5149" max="5150" width="9.140625" style="556"/>
    <col min="5151" max="5155" width="10.7109375" style="556" customWidth="1"/>
    <col min="5156" max="5156" width="11.7109375" style="556" customWidth="1"/>
    <col min="5157" max="5159" width="12.7109375" style="556" customWidth="1"/>
    <col min="5160" max="5377" width="9.140625" style="556"/>
    <col min="5378" max="5378" width="17.7109375" style="556" customWidth="1"/>
    <col min="5379" max="5385" width="10.7109375" style="556" customWidth="1"/>
    <col min="5386" max="5386" width="9.140625" style="556"/>
    <col min="5387" max="5388" width="10.7109375" style="556" customWidth="1"/>
    <col min="5389" max="5389" width="11.7109375" style="556" customWidth="1"/>
    <col min="5390" max="5390" width="10.7109375" style="556" customWidth="1"/>
    <col min="5391" max="5391" width="9.140625" style="556"/>
    <col min="5392" max="5392" width="2.7109375" style="556" customWidth="1"/>
    <col min="5393" max="5393" width="9.140625" style="556"/>
    <col min="5394" max="5404" width="10.7109375" style="556" customWidth="1"/>
    <col min="5405" max="5406" width="9.140625" style="556"/>
    <col min="5407" max="5411" width="10.7109375" style="556" customWidth="1"/>
    <col min="5412" max="5412" width="11.7109375" style="556" customWidth="1"/>
    <col min="5413" max="5415" width="12.7109375" style="556" customWidth="1"/>
    <col min="5416" max="5633" width="9.140625" style="556"/>
    <col min="5634" max="5634" width="17.7109375" style="556" customWidth="1"/>
    <col min="5635" max="5641" width="10.7109375" style="556" customWidth="1"/>
    <col min="5642" max="5642" width="9.140625" style="556"/>
    <col min="5643" max="5644" width="10.7109375" style="556" customWidth="1"/>
    <col min="5645" max="5645" width="11.7109375" style="556" customWidth="1"/>
    <col min="5646" max="5646" width="10.7109375" style="556" customWidth="1"/>
    <col min="5647" max="5647" width="9.140625" style="556"/>
    <col min="5648" max="5648" width="2.7109375" style="556" customWidth="1"/>
    <col min="5649" max="5649" width="9.140625" style="556"/>
    <col min="5650" max="5660" width="10.7109375" style="556" customWidth="1"/>
    <col min="5661" max="5662" width="9.140625" style="556"/>
    <col min="5663" max="5667" width="10.7109375" style="556" customWidth="1"/>
    <col min="5668" max="5668" width="11.7109375" style="556" customWidth="1"/>
    <col min="5669" max="5671" width="12.7109375" style="556" customWidth="1"/>
    <col min="5672" max="5889" width="9.140625" style="556"/>
    <col min="5890" max="5890" width="17.7109375" style="556" customWidth="1"/>
    <col min="5891" max="5897" width="10.7109375" style="556" customWidth="1"/>
    <col min="5898" max="5898" width="9.140625" style="556"/>
    <col min="5899" max="5900" width="10.7109375" style="556" customWidth="1"/>
    <col min="5901" max="5901" width="11.7109375" style="556" customWidth="1"/>
    <col min="5902" max="5902" width="10.7109375" style="556" customWidth="1"/>
    <col min="5903" max="5903" width="9.140625" style="556"/>
    <col min="5904" max="5904" width="2.7109375" style="556" customWidth="1"/>
    <col min="5905" max="5905" width="9.140625" style="556"/>
    <col min="5906" max="5916" width="10.7109375" style="556" customWidth="1"/>
    <col min="5917" max="5918" width="9.140625" style="556"/>
    <col min="5919" max="5923" width="10.7109375" style="556" customWidth="1"/>
    <col min="5924" max="5924" width="11.7109375" style="556" customWidth="1"/>
    <col min="5925" max="5927" width="12.7109375" style="556" customWidth="1"/>
    <col min="5928" max="6145" width="9.140625" style="556"/>
    <col min="6146" max="6146" width="17.7109375" style="556" customWidth="1"/>
    <col min="6147" max="6153" width="10.7109375" style="556" customWidth="1"/>
    <col min="6154" max="6154" width="9.140625" style="556"/>
    <col min="6155" max="6156" width="10.7109375" style="556" customWidth="1"/>
    <col min="6157" max="6157" width="11.7109375" style="556" customWidth="1"/>
    <col min="6158" max="6158" width="10.7109375" style="556" customWidth="1"/>
    <col min="6159" max="6159" width="9.140625" style="556"/>
    <col min="6160" max="6160" width="2.7109375" style="556" customWidth="1"/>
    <col min="6161" max="6161" width="9.140625" style="556"/>
    <col min="6162" max="6172" width="10.7109375" style="556" customWidth="1"/>
    <col min="6173" max="6174" width="9.140625" style="556"/>
    <col min="6175" max="6179" width="10.7109375" style="556" customWidth="1"/>
    <col min="6180" max="6180" width="11.7109375" style="556" customWidth="1"/>
    <col min="6181" max="6183" width="12.7109375" style="556" customWidth="1"/>
    <col min="6184" max="6401" width="9.140625" style="556"/>
    <col min="6402" max="6402" width="17.7109375" style="556" customWidth="1"/>
    <col min="6403" max="6409" width="10.7109375" style="556" customWidth="1"/>
    <col min="6410" max="6410" width="9.140625" style="556"/>
    <col min="6411" max="6412" width="10.7109375" style="556" customWidth="1"/>
    <col min="6413" max="6413" width="11.7109375" style="556" customWidth="1"/>
    <col min="6414" max="6414" width="10.7109375" style="556" customWidth="1"/>
    <col min="6415" max="6415" width="9.140625" style="556"/>
    <col min="6416" max="6416" width="2.7109375" style="556" customWidth="1"/>
    <col min="6417" max="6417" width="9.140625" style="556"/>
    <col min="6418" max="6428" width="10.7109375" style="556" customWidth="1"/>
    <col min="6429" max="6430" width="9.140625" style="556"/>
    <col min="6431" max="6435" width="10.7109375" style="556" customWidth="1"/>
    <col min="6436" max="6436" width="11.7109375" style="556" customWidth="1"/>
    <col min="6437" max="6439" width="12.7109375" style="556" customWidth="1"/>
    <col min="6440" max="6657" width="9.140625" style="556"/>
    <col min="6658" max="6658" width="17.7109375" style="556" customWidth="1"/>
    <col min="6659" max="6665" width="10.7109375" style="556" customWidth="1"/>
    <col min="6666" max="6666" width="9.140625" style="556"/>
    <col min="6667" max="6668" width="10.7109375" style="556" customWidth="1"/>
    <col min="6669" max="6669" width="11.7109375" style="556" customWidth="1"/>
    <col min="6670" max="6670" width="10.7109375" style="556" customWidth="1"/>
    <col min="6671" max="6671" width="9.140625" style="556"/>
    <col min="6672" max="6672" width="2.7109375" style="556" customWidth="1"/>
    <col min="6673" max="6673" width="9.140625" style="556"/>
    <col min="6674" max="6684" width="10.7109375" style="556" customWidth="1"/>
    <col min="6685" max="6686" width="9.140625" style="556"/>
    <col min="6687" max="6691" width="10.7109375" style="556" customWidth="1"/>
    <col min="6692" max="6692" width="11.7109375" style="556" customWidth="1"/>
    <col min="6693" max="6695" width="12.7109375" style="556" customWidth="1"/>
    <col min="6696" max="6913" width="9.140625" style="556"/>
    <col min="6914" max="6914" width="17.7109375" style="556" customWidth="1"/>
    <col min="6915" max="6921" width="10.7109375" style="556" customWidth="1"/>
    <col min="6922" max="6922" width="9.140625" style="556"/>
    <col min="6923" max="6924" width="10.7109375" style="556" customWidth="1"/>
    <col min="6925" max="6925" width="11.7109375" style="556" customWidth="1"/>
    <col min="6926" max="6926" width="10.7109375" style="556" customWidth="1"/>
    <col min="6927" max="6927" width="9.140625" style="556"/>
    <col min="6928" max="6928" width="2.7109375" style="556" customWidth="1"/>
    <col min="6929" max="6929" width="9.140625" style="556"/>
    <col min="6930" max="6940" width="10.7109375" style="556" customWidth="1"/>
    <col min="6941" max="6942" width="9.140625" style="556"/>
    <col min="6943" max="6947" width="10.7109375" style="556" customWidth="1"/>
    <col min="6948" max="6948" width="11.7109375" style="556" customWidth="1"/>
    <col min="6949" max="6951" width="12.7109375" style="556" customWidth="1"/>
    <col min="6952" max="7169" width="9.140625" style="556"/>
    <col min="7170" max="7170" width="17.7109375" style="556" customWidth="1"/>
    <col min="7171" max="7177" width="10.7109375" style="556" customWidth="1"/>
    <col min="7178" max="7178" width="9.140625" style="556"/>
    <col min="7179" max="7180" width="10.7109375" style="556" customWidth="1"/>
    <col min="7181" max="7181" width="11.7109375" style="556" customWidth="1"/>
    <col min="7182" max="7182" width="10.7109375" style="556" customWidth="1"/>
    <col min="7183" max="7183" width="9.140625" style="556"/>
    <col min="7184" max="7184" width="2.7109375" style="556" customWidth="1"/>
    <col min="7185" max="7185" width="9.140625" style="556"/>
    <col min="7186" max="7196" width="10.7109375" style="556" customWidth="1"/>
    <col min="7197" max="7198" width="9.140625" style="556"/>
    <col min="7199" max="7203" width="10.7109375" style="556" customWidth="1"/>
    <col min="7204" max="7204" width="11.7109375" style="556" customWidth="1"/>
    <col min="7205" max="7207" width="12.7109375" style="556" customWidth="1"/>
    <col min="7208" max="7425" width="9.140625" style="556"/>
    <col min="7426" max="7426" width="17.7109375" style="556" customWidth="1"/>
    <col min="7427" max="7433" width="10.7109375" style="556" customWidth="1"/>
    <col min="7434" max="7434" width="9.140625" style="556"/>
    <col min="7435" max="7436" width="10.7109375" style="556" customWidth="1"/>
    <col min="7437" max="7437" width="11.7109375" style="556" customWidth="1"/>
    <col min="7438" max="7438" width="10.7109375" style="556" customWidth="1"/>
    <col min="7439" max="7439" width="9.140625" style="556"/>
    <col min="7440" max="7440" width="2.7109375" style="556" customWidth="1"/>
    <col min="7441" max="7441" width="9.140625" style="556"/>
    <col min="7442" max="7452" width="10.7109375" style="556" customWidth="1"/>
    <col min="7453" max="7454" width="9.140625" style="556"/>
    <col min="7455" max="7459" width="10.7109375" style="556" customWidth="1"/>
    <col min="7460" max="7460" width="11.7109375" style="556" customWidth="1"/>
    <col min="7461" max="7463" width="12.7109375" style="556" customWidth="1"/>
    <col min="7464" max="7681" width="9.140625" style="556"/>
    <col min="7682" max="7682" width="17.7109375" style="556" customWidth="1"/>
    <col min="7683" max="7689" width="10.7109375" style="556" customWidth="1"/>
    <col min="7690" max="7690" width="9.140625" style="556"/>
    <col min="7691" max="7692" width="10.7109375" style="556" customWidth="1"/>
    <col min="7693" max="7693" width="11.7109375" style="556" customWidth="1"/>
    <col min="7694" max="7694" width="10.7109375" style="556" customWidth="1"/>
    <col min="7695" max="7695" width="9.140625" style="556"/>
    <col min="7696" max="7696" width="2.7109375" style="556" customWidth="1"/>
    <col min="7697" max="7697" width="9.140625" style="556"/>
    <col min="7698" max="7708" width="10.7109375" style="556" customWidth="1"/>
    <col min="7709" max="7710" width="9.140625" style="556"/>
    <col min="7711" max="7715" width="10.7109375" style="556" customWidth="1"/>
    <col min="7716" max="7716" width="11.7109375" style="556" customWidth="1"/>
    <col min="7717" max="7719" width="12.7109375" style="556" customWidth="1"/>
    <col min="7720" max="7937" width="9.140625" style="556"/>
    <col min="7938" max="7938" width="17.7109375" style="556" customWidth="1"/>
    <col min="7939" max="7945" width="10.7109375" style="556" customWidth="1"/>
    <col min="7946" max="7946" width="9.140625" style="556"/>
    <col min="7947" max="7948" width="10.7109375" style="556" customWidth="1"/>
    <col min="7949" max="7949" width="11.7109375" style="556" customWidth="1"/>
    <col min="7950" max="7950" width="10.7109375" style="556" customWidth="1"/>
    <col min="7951" max="7951" width="9.140625" style="556"/>
    <col min="7952" max="7952" width="2.7109375" style="556" customWidth="1"/>
    <col min="7953" max="7953" width="9.140625" style="556"/>
    <col min="7954" max="7964" width="10.7109375" style="556" customWidth="1"/>
    <col min="7965" max="7966" width="9.140625" style="556"/>
    <col min="7967" max="7971" width="10.7109375" style="556" customWidth="1"/>
    <col min="7972" max="7972" width="11.7109375" style="556" customWidth="1"/>
    <col min="7973" max="7975" width="12.7109375" style="556" customWidth="1"/>
    <col min="7976" max="8193" width="9.140625" style="556"/>
    <col min="8194" max="8194" width="17.7109375" style="556" customWidth="1"/>
    <col min="8195" max="8201" width="10.7109375" style="556" customWidth="1"/>
    <col min="8202" max="8202" width="9.140625" style="556"/>
    <col min="8203" max="8204" width="10.7109375" style="556" customWidth="1"/>
    <col min="8205" max="8205" width="11.7109375" style="556" customWidth="1"/>
    <col min="8206" max="8206" width="10.7109375" style="556" customWidth="1"/>
    <col min="8207" max="8207" width="9.140625" style="556"/>
    <col min="8208" max="8208" width="2.7109375" style="556" customWidth="1"/>
    <col min="8209" max="8209" width="9.140625" style="556"/>
    <col min="8210" max="8220" width="10.7109375" style="556" customWidth="1"/>
    <col min="8221" max="8222" width="9.140625" style="556"/>
    <col min="8223" max="8227" width="10.7109375" style="556" customWidth="1"/>
    <col min="8228" max="8228" width="11.7109375" style="556" customWidth="1"/>
    <col min="8229" max="8231" width="12.7109375" style="556" customWidth="1"/>
    <col min="8232" max="8449" width="9.140625" style="556"/>
    <col min="8450" max="8450" width="17.7109375" style="556" customWidth="1"/>
    <col min="8451" max="8457" width="10.7109375" style="556" customWidth="1"/>
    <col min="8458" max="8458" width="9.140625" style="556"/>
    <col min="8459" max="8460" width="10.7109375" style="556" customWidth="1"/>
    <col min="8461" max="8461" width="11.7109375" style="556" customWidth="1"/>
    <col min="8462" max="8462" width="10.7109375" style="556" customWidth="1"/>
    <col min="8463" max="8463" width="9.140625" style="556"/>
    <col min="8464" max="8464" width="2.7109375" style="556" customWidth="1"/>
    <col min="8465" max="8465" width="9.140625" style="556"/>
    <col min="8466" max="8476" width="10.7109375" style="556" customWidth="1"/>
    <col min="8477" max="8478" width="9.140625" style="556"/>
    <col min="8479" max="8483" width="10.7109375" style="556" customWidth="1"/>
    <col min="8484" max="8484" width="11.7109375" style="556" customWidth="1"/>
    <col min="8485" max="8487" width="12.7109375" style="556" customWidth="1"/>
    <col min="8488" max="8705" width="9.140625" style="556"/>
    <col min="8706" max="8706" width="17.7109375" style="556" customWidth="1"/>
    <col min="8707" max="8713" width="10.7109375" style="556" customWidth="1"/>
    <col min="8714" max="8714" width="9.140625" style="556"/>
    <col min="8715" max="8716" width="10.7109375" style="556" customWidth="1"/>
    <col min="8717" max="8717" width="11.7109375" style="556" customWidth="1"/>
    <col min="8718" max="8718" width="10.7109375" style="556" customWidth="1"/>
    <col min="8719" max="8719" width="9.140625" style="556"/>
    <col min="8720" max="8720" width="2.7109375" style="556" customWidth="1"/>
    <col min="8721" max="8721" width="9.140625" style="556"/>
    <col min="8722" max="8732" width="10.7109375" style="556" customWidth="1"/>
    <col min="8733" max="8734" width="9.140625" style="556"/>
    <col min="8735" max="8739" width="10.7109375" style="556" customWidth="1"/>
    <col min="8740" max="8740" width="11.7109375" style="556" customWidth="1"/>
    <col min="8741" max="8743" width="12.7109375" style="556" customWidth="1"/>
    <col min="8744" max="8961" width="9.140625" style="556"/>
    <col min="8962" max="8962" width="17.7109375" style="556" customWidth="1"/>
    <col min="8963" max="8969" width="10.7109375" style="556" customWidth="1"/>
    <col min="8970" max="8970" width="9.140625" style="556"/>
    <col min="8971" max="8972" width="10.7109375" style="556" customWidth="1"/>
    <col min="8973" max="8973" width="11.7109375" style="556" customWidth="1"/>
    <col min="8974" max="8974" width="10.7109375" style="556" customWidth="1"/>
    <col min="8975" max="8975" width="9.140625" style="556"/>
    <col min="8976" max="8976" width="2.7109375" style="556" customWidth="1"/>
    <col min="8977" max="8977" width="9.140625" style="556"/>
    <col min="8978" max="8988" width="10.7109375" style="556" customWidth="1"/>
    <col min="8989" max="8990" width="9.140625" style="556"/>
    <col min="8991" max="8995" width="10.7109375" style="556" customWidth="1"/>
    <col min="8996" max="8996" width="11.7109375" style="556" customWidth="1"/>
    <col min="8997" max="8999" width="12.7109375" style="556" customWidth="1"/>
    <col min="9000" max="9217" width="9.140625" style="556"/>
    <col min="9218" max="9218" width="17.7109375" style="556" customWidth="1"/>
    <col min="9219" max="9225" width="10.7109375" style="556" customWidth="1"/>
    <col min="9226" max="9226" width="9.140625" style="556"/>
    <col min="9227" max="9228" width="10.7109375" style="556" customWidth="1"/>
    <col min="9229" max="9229" width="11.7109375" style="556" customWidth="1"/>
    <col min="9230" max="9230" width="10.7109375" style="556" customWidth="1"/>
    <col min="9231" max="9231" width="9.140625" style="556"/>
    <col min="9232" max="9232" width="2.7109375" style="556" customWidth="1"/>
    <col min="9233" max="9233" width="9.140625" style="556"/>
    <col min="9234" max="9244" width="10.7109375" style="556" customWidth="1"/>
    <col min="9245" max="9246" width="9.140625" style="556"/>
    <col min="9247" max="9251" width="10.7109375" style="556" customWidth="1"/>
    <col min="9252" max="9252" width="11.7109375" style="556" customWidth="1"/>
    <col min="9253" max="9255" width="12.7109375" style="556" customWidth="1"/>
    <col min="9256" max="9473" width="9.140625" style="556"/>
    <col min="9474" max="9474" width="17.7109375" style="556" customWidth="1"/>
    <col min="9475" max="9481" width="10.7109375" style="556" customWidth="1"/>
    <col min="9482" max="9482" width="9.140625" style="556"/>
    <col min="9483" max="9484" width="10.7109375" style="556" customWidth="1"/>
    <col min="9485" max="9485" width="11.7109375" style="556" customWidth="1"/>
    <col min="9486" max="9486" width="10.7109375" style="556" customWidth="1"/>
    <col min="9487" max="9487" width="9.140625" style="556"/>
    <col min="9488" max="9488" width="2.7109375" style="556" customWidth="1"/>
    <col min="9489" max="9489" width="9.140625" style="556"/>
    <col min="9490" max="9500" width="10.7109375" style="556" customWidth="1"/>
    <col min="9501" max="9502" width="9.140625" style="556"/>
    <col min="9503" max="9507" width="10.7109375" style="556" customWidth="1"/>
    <col min="9508" max="9508" width="11.7109375" style="556" customWidth="1"/>
    <col min="9509" max="9511" width="12.7109375" style="556" customWidth="1"/>
    <col min="9512" max="9729" width="9.140625" style="556"/>
    <col min="9730" max="9730" width="17.7109375" style="556" customWidth="1"/>
    <col min="9731" max="9737" width="10.7109375" style="556" customWidth="1"/>
    <col min="9738" max="9738" width="9.140625" style="556"/>
    <col min="9739" max="9740" width="10.7109375" style="556" customWidth="1"/>
    <col min="9741" max="9741" width="11.7109375" style="556" customWidth="1"/>
    <col min="9742" max="9742" width="10.7109375" style="556" customWidth="1"/>
    <col min="9743" max="9743" width="9.140625" style="556"/>
    <col min="9744" max="9744" width="2.7109375" style="556" customWidth="1"/>
    <col min="9745" max="9745" width="9.140625" style="556"/>
    <col min="9746" max="9756" width="10.7109375" style="556" customWidth="1"/>
    <col min="9757" max="9758" width="9.140625" style="556"/>
    <col min="9759" max="9763" width="10.7109375" style="556" customWidth="1"/>
    <col min="9764" max="9764" width="11.7109375" style="556" customWidth="1"/>
    <col min="9765" max="9767" width="12.7109375" style="556" customWidth="1"/>
    <col min="9768" max="9985" width="9.140625" style="556"/>
    <col min="9986" max="9986" width="17.7109375" style="556" customWidth="1"/>
    <col min="9987" max="9993" width="10.7109375" style="556" customWidth="1"/>
    <col min="9994" max="9994" width="9.140625" style="556"/>
    <col min="9995" max="9996" width="10.7109375" style="556" customWidth="1"/>
    <col min="9997" max="9997" width="11.7109375" style="556" customWidth="1"/>
    <col min="9998" max="9998" width="10.7109375" style="556" customWidth="1"/>
    <col min="9999" max="9999" width="9.140625" style="556"/>
    <col min="10000" max="10000" width="2.7109375" style="556" customWidth="1"/>
    <col min="10001" max="10001" width="9.140625" style="556"/>
    <col min="10002" max="10012" width="10.7109375" style="556" customWidth="1"/>
    <col min="10013" max="10014" width="9.140625" style="556"/>
    <col min="10015" max="10019" width="10.7109375" style="556" customWidth="1"/>
    <col min="10020" max="10020" width="11.7109375" style="556" customWidth="1"/>
    <col min="10021" max="10023" width="12.7109375" style="556" customWidth="1"/>
    <col min="10024" max="10241" width="9.140625" style="556"/>
    <col min="10242" max="10242" width="17.7109375" style="556" customWidth="1"/>
    <col min="10243" max="10249" width="10.7109375" style="556" customWidth="1"/>
    <col min="10250" max="10250" width="9.140625" style="556"/>
    <col min="10251" max="10252" width="10.7109375" style="556" customWidth="1"/>
    <col min="10253" max="10253" width="11.7109375" style="556" customWidth="1"/>
    <col min="10254" max="10254" width="10.7109375" style="556" customWidth="1"/>
    <col min="10255" max="10255" width="9.140625" style="556"/>
    <col min="10256" max="10256" width="2.7109375" style="556" customWidth="1"/>
    <col min="10257" max="10257" width="9.140625" style="556"/>
    <col min="10258" max="10268" width="10.7109375" style="556" customWidth="1"/>
    <col min="10269" max="10270" width="9.140625" style="556"/>
    <col min="10271" max="10275" width="10.7109375" style="556" customWidth="1"/>
    <col min="10276" max="10276" width="11.7109375" style="556" customWidth="1"/>
    <col min="10277" max="10279" width="12.7109375" style="556" customWidth="1"/>
    <col min="10280" max="10497" width="9.140625" style="556"/>
    <col min="10498" max="10498" width="17.7109375" style="556" customWidth="1"/>
    <col min="10499" max="10505" width="10.7109375" style="556" customWidth="1"/>
    <col min="10506" max="10506" width="9.140625" style="556"/>
    <col min="10507" max="10508" width="10.7109375" style="556" customWidth="1"/>
    <col min="10509" max="10509" width="11.7109375" style="556" customWidth="1"/>
    <col min="10510" max="10510" width="10.7109375" style="556" customWidth="1"/>
    <col min="10511" max="10511" width="9.140625" style="556"/>
    <col min="10512" max="10512" width="2.7109375" style="556" customWidth="1"/>
    <col min="10513" max="10513" width="9.140625" style="556"/>
    <col min="10514" max="10524" width="10.7109375" style="556" customWidth="1"/>
    <col min="10525" max="10526" width="9.140625" style="556"/>
    <col min="10527" max="10531" width="10.7109375" style="556" customWidth="1"/>
    <col min="10532" max="10532" width="11.7109375" style="556" customWidth="1"/>
    <col min="10533" max="10535" width="12.7109375" style="556" customWidth="1"/>
    <col min="10536" max="10753" width="9.140625" style="556"/>
    <col min="10754" max="10754" width="17.7109375" style="556" customWidth="1"/>
    <col min="10755" max="10761" width="10.7109375" style="556" customWidth="1"/>
    <col min="10762" max="10762" width="9.140625" style="556"/>
    <col min="10763" max="10764" width="10.7109375" style="556" customWidth="1"/>
    <col min="10765" max="10765" width="11.7109375" style="556" customWidth="1"/>
    <col min="10766" max="10766" width="10.7109375" style="556" customWidth="1"/>
    <col min="10767" max="10767" width="9.140625" style="556"/>
    <col min="10768" max="10768" width="2.7109375" style="556" customWidth="1"/>
    <col min="10769" max="10769" width="9.140625" style="556"/>
    <col min="10770" max="10780" width="10.7109375" style="556" customWidth="1"/>
    <col min="10781" max="10782" width="9.140625" style="556"/>
    <col min="10783" max="10787" width="10.7109375" style="556" customWidth="1"/>
    <col min="10788" max="10788" width="11.7109375" style="556" customWidth="1"/>
    <col min="10789" max="10791" width="12.7109375" style="556" customWidth="1"/>
    <col min="10792" max="11009" width="9.140625" style="556"/>
    <col min="11010" max="11010" width="17.7109375" style="556" customWidth="1"/>
    <col min="11011" max="11017" width="10.7109375" style="556" customWidth="1"/>
    <col min="11018" max="11018" width="9.140625" style="556"/>
    <col min="11019" max="11020" width="10.7109375" style="556" customWidth="1"/>
    <col min="11021" max="11021" width="11.7109375" style="556" customWidth="1"/>
    <col min="11022" max="11022" width="10.7109375" style="556" customWidth="1"/>
    <col min="11023" max="11023" width="9.140625" style="556"/>
    <col min="11024" max="11024" width="2.7109375" style="556" customWidth="1"/>
    <col min="11025" max="11025" width="9.140625" style="556"/>
    <col min="11026" max="11036" width="10.7109375" style="556" customWidth="1"/>
    <col min="11037" max="11038" width="9.140625" style="556"/>
    <col min="11039" max="11043" width="10.7109375" style="556" customWidth="1"/>
    <col min="11044" max="11044" width="11.7109375" style="556" customWidth="1"/>
    <col min="11045" max="11047" width="12.7109375" style="556" customWidth="1"/>
    <col min="11048" max="11265" width="9.140625" style="556"/>
    <col min="11266" max="11266" width="17.7109375" style="556" customWidth="1"/>
    <col min="11267" max="11273" width="10.7109375" style="556" customWidth="1"/>
    <col min="11274" max="11274" width="9.140625" style="556"/>
    <col min="11275" max="11276" width="10.7109375" style="556" customWidth="1"/>
    <col min="11277" max="11277" width="11.7109375" style="556" customWidth="1"/>
    <col min="11278" max="11278" width="10.7109375" style="556" customWidth="1"/>
    <col min="11279" max="11279" width="9.140625" style="556"/>
    <col min="11280" max="11280" width="2.7109375" style="556" customWidth="1"/>
    <col min="11281" max="11281" width="9.140625" style="556"/>
    <col min="11282" max="11292" width="10.7109375" style="556" customWidth="1"/>
    <col min="11293" max="11294" width="9.140625" style="556"/>
    <col min="11295" max="11299" width="10.7109375" style="556" customWidth="1"/>
    <col min="11300" max="11300" width="11.7109375" style="556" customWidth="1"/>
    <col min="11301" max="11303" width="12.7109375" style="556" customWidth="1"/>
    <col min="11304" max="11521" width="9.140625" style="556"/>
    <col min="11522" max="11522" width="17.7109375" style="556" customWidth="1"/>
    <col min="11523" max="11529" width="10.7109375" style="556" customWidth="1"/>
    <col min="11530" max="11530" width="9.140625" style="556"/>
    <col min="11531" max="11532" width="10.7109375" style="556" customWidth="1"/>
    <col min="11533" max="11533" width="11.7109375" style="556" customWidth="1"/>
    <col min="11534" max="11534" width="10.7109375" style="556" customWidth="1"/>
    <col min="11535" max="11535" width="9.140625" style="556"/>
    <col min="11536" max="11536" width="2.7109375" style="556" customWidth="1"/>
    <col min="11537" max="11537" width="9.140625" style="556"/>
    <col min="11538" max="11548" width="10.7109375" style="556" customWidth="1"/>
    <col min="11549" max="11550" width="9.140625" style="556"/>
    <col min="11551" max="11555" width="10.7109375" style="556" customWidth="1"/>
    <col min="11556" max="11556" width="11.7109375" style="556" customWidth="1"/>
    <col min="11557" max="11559" width="12.7109375" style="556" customWidth="1"/>
    <col min="11560" max="11777" width="9.140625" style="556"/>
    <col min="11778" max="11778" width="17.7109375" style="556" customWidth="1"/>
    <col min="11779" max="11785" width="10.7109375" style="556" customWidth="1"/>
    <col min="11786" max="11786" width="9.140625" style="556"/>
    <col min="11787" max="11788" width="10.7109375" style="556" customWidth="1"/>
    <col min="11789" max="11789" width="11.7109375" style="556" customWidth="1"/>
    <col min="11790" max="11790" width="10.7109375" style="556" customWidth="1"/>
    <col min="11791" max="11791" width="9.140625" style="556"/>
    <col min="11792" max="11792" width="2.7109375" style="556" customWidth="1"/>
    <col min="11793" max="11793" width="9.140625" style="556"/>
    <col min="11794" max="11804" width="10.7109375" style="556" customWidth="1"/>
    <col min="11805" max="11806" width="9.140625" style="556"/>
    <col min="11807" max="11811" width="10.7109375" style="556" customWidth="1"/>
    <col min="11812" max="11812" width="11.7109375" style="556" customWidth="1"/>
    <col min="11813" max="11815" width="12.7109375" style="556" customWidth="1"/>
    <col min="11816" max="12033" width="9.140625" style="556"/>
    <col min="12034" max="12034" width="17.7109375" style="556" customWidth="1"/>
    <col min="12035" max="12041" width="10.7109375" style="556" customWidth="1"/>
    <col min="12042" max="12042" width="9.140625" style="556"/>
    <col min="12043" max="12044" width="10.7109375" style="556" customWidth="1"/>
    <col min="12045" max="12045" width="11.7109375" style="556" customWidth="1"/>
    <col min="12046" max="12046" width="10.7109375" style="556" customWidth="1"/>
    <col min="12047" max="12047" width="9.140625" style="556"/>
    <col min="12048" max="12048" width="2.7109375" style="556" customWidth="1"/>
    <col min="12049" max="12049" width="9.140625" style="556"/>
    <col min="12050" max="12060" width="10.7109375" style="556" customWidth="1"/>
    <col min="12061" max="12062" width="9.140625" style="556"/>
    <col min="12063" max="12067" width="10.7109375" style="556" customWidth="1"/>
    <col min="12068" max="12068" width="11.7109375" style="556" customWidth="1"/>
    <col min="12069" max="12071" width="12.7109375" style="556" customWidth="1"/>
    <col min="12072" max="12289" width="9.140625" style="556"/>
    <col min="12290" max="12290" width="17.7109375" style="556" customWidth="1"/>
    <col min="12291" max="12297" width="10.7109375" style="556" customWidth="1"/>
    <col min="12298" max="12298" width="9.140625" style="556"/>
    <col min="12299" max="12300" width="10.7109375" style="556" customWidth="1"/>
    <col min="12301" max="12301" width="11.7109375" style="556" customWidth="1"/>
    <col min="12302" max="12302" width="10.7109375" style="556" customWidth="1"/>
    <col min="12303" max="12303" width="9.140625" style="556"/>
    <col min="12304" max="12304" width="2.7109375" style="556" customWidth="1"/>
    <col min="12305" max="12305" width="9.140625" style="556"/>
    <col min="12306" max="12316" width="10.7109375" style="556" customWidth="1"/>
    <col min="12317" max="12318" width="9.140625" style="556"/>
    <col min="12319" max="12323" width="10.7109375" style="556" customWidth="1"/>
    <col min="12324" max="12324" width="11.7109375" style="556" customWidth="1"/>
    <col min="12325" max="12327" width="12.7109375" style="556" customWidth="1"/>
    <col min="12328" max="12545" width="9.140625" style="556"/>
    <col min="12546" max="12546" width="17.7109375" style="556" customWidth="1"/>
    <col min="12547" max="12553" width="10.7109375" style="556" customWidth="1"/>
    <col min="12554" max="12554" width="9.140625" style="556"/>
    <col min="12555" max="12556" width="10.7109375" style="556" customWidth="1"/>
    <col min="12557" max="12557" width="11.7109375" style="556" customWidth="1"/>
    <col min="12558" max="12558" width="10.7109375" style="556" customWidth="1"/>
    <col min="12559" max="12559" width="9.140625" style="556"/>
    <col min="12560" max="12560" width="2.7109375" style="556" customWidth="1"/>
    <col min="12561" max="12561" width="9.140625" style="556"/>
    <col min="12562" max="12572" width="10.7109375" style="556" customWidth="1"/>
    <col min="12573" max="12574" width="9.140625" style="556"/>
    <col min="12575" max="12579" width="10.7109375" style="556" customWidth="1"/>
    <col min="12580" max="12580" width="11.7109375" style="556" customWidth="1"/>
    <col min="12581" max="12583" width="12.7109375" style="556" customWidth="1"/>
    <col min="12584" max="12801" width="9.140625" style="556"/>
    <col min="12802" max="12802" width="17.7109375" style="556" customWidth="1"/>
    <col min="12803" max="12809" width="10.7109375" style="556" customWidth="1"/>
    <col min="12810" max="12810" width="9.140625" style="556"/>
    <col min="12811" max="12812" width="10.7109375" style="556" customWidth="1"/>
    <col min="12813" max="12813" width="11.7109375" style="556" customWidth="1"/>
    <col min="12814" max="12814" width="10.7109375" style="556" customWidth="1"/>
    <col min="12815" max="12815" width="9.140625" style="556"/>
    <col min="12816" max="12816" width="2.7109375" style="556" customWidth="1"/>
    <col min="12817" max="12817" width="9.140625" style="556"/>
    <col min="12818" max="12828" width="10.7109375" style="556" customWidth="1"/>
    <col min="12829" max="12830" width="9.140625" style="556"/>
    <col min="12831" max="12835" width="10.7109375" style="556" customWidth="1"/>
    <col min="12836" max="12836" width="11.7109375" style="556" customWidth="1"/>
    <col min="12837" max="12839" width="12.7109375" style="556" customWidth="1"/>
    <col min="12840" max="13057" width="9.140625" style="556"/>
    <col min="13058" max="13058" width="17.7109375" style="556" customWidth="1"/>
    <col min="13059" max="13065" width="10.7109375" style="556" customWidth="1"/>
    <col min="13066" max="13066" width="9.140625" style="556"/>
    <col min="13067" max="13068" width="10.7109375" style="556" customWidth="1"/>
    <col min="13069" max="13069" width="11.7109375" style="556" customWidth="1"/>
    <col min="13070" max="13070" width="10.7109375" style="556" customWidth="1"/>
    <col min="13071" max="13071" width="9.140625" style="556"/>
    <col min="13072" max="13072" width="2.7109375" style="556" customWidth="1"/>
    <col min="13073" max="13073" width="9.140625" style="556"/>
    <col min="13074" max="13084" width="10.7109375" style="556" customWidth="1"/>
    <col min="13085" max="13086" width="9.140625" style="556"/>
    <col min="13087" max="13091" width="10.7109375" style="556" customWidth="1"/>
    <col min="13092" max="13092" width="11.7109375" style="556" customWidth="1"/>
    <col min="13093" max="13095" width="12.7109375" style="556" customWidth="1"/>
    <col min="13096" max="13313" width="9.140625" style="556"/>
    <col min="13314" max="13314" width="17.7109375" style="556" customWidth="1"/>
    <col min="13315" max="13321" width="10.7109375" style="556" customWidth="1"/>
    <col min="13322" max="13322" width="9.140625" style="556"/>
    <col min="13323" max="13324" width="10.7109375" style="556" customWidth="1"/>
    <col min="13325" max="13325" width="11.7109375" style="556" customWidth="1"/>
    <col min="13326" max="13326" width="10.7109375" style="556" customWidth="1"/>
    <col min="13327" max="13327" width="9.140625" style="556"/>
    <col min="13328" max="13328" width="2.7109375" style="556" customWidth="1"/>
    <col min="13329" max="13329" width="9.140625" style="556"/>
    <col min="13330" max="13340" width="10.7109375" style="556" customWidth="1"/>
    <col min="13341" max="13342" width="9.140625" style="556"/>
    <col min="13343" max="13347" width="10.7109375" style="556" customWidth="1"/>
    <col min="13348" max="13348" width="11.7109375" style="556" customWidth="1"/>
    <col min="13349" max="13351" width="12.7109375" style="556" customWidth="1"/>
    <col min="13352" max="13569" width="9.140625" style="556"/>
    <col min="13570" max="13570" width="17.7109375" style="556" customWidth="1"/>
    <col min="13571" max="13577" width="10.7109375" style="556" customWidth="1"/>
    <col min="13578" max="13578" width="9.140625" style="556"/>
    <col min="13579" max="13580" width="10.7109375" style="556" customWidth="1"/>
    <col min="13581" max="13581" width="11.7109375" style="556" customWidth="1"/>
    <col min="13582" max="13582" width="10.7109375" style="556" customWidth="1"/>
    <col min="13583" max="13583" width="9.140625" style="556"/>
    <col min="13584" max="13584" width="2.7109375" style="556" customWidth="1"/>
    <col min="13585" max="13585" width="9.140625" style="556"/>
    <col min="13586" max="13596" width="10.7109375" style="556" customWidth="1"/>
    <col min="13597" max="13598" width="9.140625" style="556"/>
    <col min="13599" max="13603" width="10.7109375" style="556" customWidth="1"/>
    <col min="13604" max="13604" width="11.7109375" style="556" customWidth="1"/>
    <col min="13605" max="13607" width="12.7109375" style="556" customWidth="1"/>
    <col min="13608" max="13825" width="9.140625" style="556"/>
    <col min="13826" max="13826" width="17.7109375" style="556" customWidth="1"/>
    <col min="13827" max="13833" width="10.7109375" style="556" customWidth="1"/>
    <col min="13834" max="13834" width="9.140625" style="556"/>
    <col min="13835" max="13836" width="10.7109375" style="556" customWidth="1"/>
    <col min="13837" max="13837" width="11.7109375" style="556" customWidth="1"/>
    <col min="13838" max="13838" width="10.7109375" style="556" customWidth="1"/>
    <col min="13839" max="13839" width="9.140625" style="556"/>
    <col min="13840" max="13840" width="2.7109375" style="556" customWidth="1"/>
    <col min="13841" max="13841" width="9.140625" style="556"/>
    <col min="13842" max="13852" width="10.7109375" style="556" customWidth="1"/>
    <col min="13853" max="13854" width="9.140625" style="556"/>
    <col min="13855" max="13859" width="10.7109375" style="556" customWidth="1"/>
    <col min="13860" max="13860" width="11.7109375" style="556" customWidth="1"/>
    <col min="13861" max="13863" width="12.7109375" style="556" customWidth="1"/>
    <col min="13864" max="14081" width="9.140625" style="556"/>
    <col min="14082" max="14082" width="17.7109375" style="556" customWidth="1"/>
    <col min="14083" max="14089" width="10.7109375" style="556" customWidth="1"/>
    <col min="14090" max="14090" width="9.140625" style="556"/>
    <col min="14091" max="14092" width="10.7109375" style="556" customWidth="1"/>
    <col min="14093" max="14093" width="11.7109375" style="556" customWidth="1"/>
    <col min="14094" max="14094" width="10.7109375" style="556" customWidth="1"/>
    <col min="14095" max="14095" width="9.140625" style="556"/>
    <col min="14096" max="14096" width="2.7109375" style="556" customWidth="1"/>
    <col min="14097" max="14097" width="9.140625" style="556"/>
    <col min="14098" max="14108" width="10.7109375" style="556" customWidth="1"/>
    <col min="14109" max="14110" width="9.140625" style="556"/>
    <col min="14111" max="14115" width="10.7109375" style="556" customWidth="1"/>
    <col min="14116" max="14116" width="11.7109375" style="556" customWidth="1"/>
    <col min="14117" max="14119" width="12.7109375" style="556" customWidth="1"/>
    <col min="14120" max="14337" width="9.140625" style="556"/>
    <col min="14338" max="14338" width="17.7109375" style="556" customWidth="1"/>
    <col min="14339" max="14345" width="10.7109375" style="556" customWidth="1"/>
    <col min="14346" max="14346" width="9.140625" style="556"/>
    <col min="14347" max="14348" width="10.7109375" style="556" customWidth="1"/>
    <col min="14349" max="14349" width="11.7109375" style="556" customWidth="1"/>
    <col min="14350" max="14350" width="10.7109375" style="556" customWidth="1"/>
    <col min="14351" max="14351" width="9.140625" style="556"/>
    <col min="14352" max="14352" width="2.7109375" style="556" customWidth="1"/>
    <col min="14353" max="14353" width="9.140625" style="556"/>
    <col min="14354" max="14364" width="10.7109375" style="556" customWidth="1"/>
    <col min="14365" max="14366" width="9.140625" style="556"/>
    <col min="14367" max="14371" width="10.7109375" style="556" customWidth="1"/>
    <col min="14372" max="14372" width="11.7109375" style="556" customWidth="1"/>
    <col min="14373" max="14375" width="12.7109375" style="556" customWidth="1"/>
    <col min="14376" max="14593" width="9.140625" style="556"/>
    <col min="14594" max="14594" width="17.7109375" style="556" customWidth="1"/>
    <col min="14595" max="14601" width="10.7109375" style="556" customWidth="1"/>
    <col min="14602" max="14602" width="9.140625" style="556"/>
    <col min="14603" max="14604" width="10.7109375" style="556" customWidth="1"/>
    <col min="14605" max="14605" width="11.7109375" style="556" customWidth="1"/>
    <col min="14606" max="14606" width="10.7109375" style="556" customWidth="1"/>
    <col min="14607" max="14607" width="9.140625" style="556"/>
    <col min="14608" max="14608" width="2.7109375" style="556" customWidth="1"/>
    <col min="14609" max="14609" width="9.140625" style="556"/>
    <col min="14610" max="14620" width="10.7109375" style="556" customWidth="1"/>
    <col min="14621" max="14622" width="9.140625" style="556"/>
    <col min="14623" max="14627" width="10.7109375" style="556" customWidth="1"/>
    <col min="14628" max="14628" width="11.7109375" style="556" customWidth="1"/>
    <col min="14629" max="14631" width="12.7109375" style="556" customWidth="1"/>
    <col min="14632" max="14849" width="9.140625" style="556"/>
    <col min="14850" max="14850" width="17.7109375" style="556" customWidth="1"/>
    <col min="14851" max="14857" width="10.7109375" style="556" customWidth="1"/>
    <col min="14858" max="14858" width="9.140625" style="556"/>
    <col min="14859" max="14860" width="10.7109375" style="556" customWidth="1"/>
    <col min="14861" max="14861" width="11.7109375" style="556" customWidth="1"/>
    <col min="14862" max="14862" width="10.7109375" style="556" customWidth="1"/>
    <col min="14863" max="14863" width="9.140625" style="556"/>
    <col min="14864" max="14864" width="2.7109375" style="556" customWidth="1"/>
    <col min="14865" max="14865" width="9.140625" style="556"/>
    <col min="14866" max="14876" width="10.7109375" style="556" customWidth="1"/>
    <col min="14877" max="14878" width="9.140625" style="556"/>
    <col min="14879" max="14883" width="10.7109375" style="556" customWidth="1"/>
    <col min="14884" max="14884" width="11.7109375" style="556" customWidth="1"/>
    <col min="14885" max="14887" width="12.7109375" style="556" customWidth="1"/>
    <col min="14888" max="15105" width="9.140625" style="556"/>
    <col min="15106" max="15106" width="17.7109375" style="556" customWidth="1"/>
    <col min="15107" max="15113" width="10.7109375" style="556" customWidth="1"/>
    <col min="15114" max="15114" width="9.140625" style="556"/>
    <col min="15115" max="15116" width="10.7109375" style="556" customWidth="1"/>
    <col min="15117" max="15117" width="11.7109375" style="556" customWidth="1"/>
    <col min="15118" max="15118" width="10.7109375" style="556" customWidth="1"/>
    <col min="15119" max="15119" width="9.140625" style="556"/>
    <col min="15120" max="15120" width="2.7109375" style="556" customWidth="1"/>
    <col min="15121" max="15121" width="9.140625" style="556"/>
    <col min="15122" max="15132" width="10.7109375" style="556" customWidth="1"/>
    <col min="15133" max="15134" width="9.140625" style="556"/>
    <col min="15135" max="15139" width="10.7109375" style="556" customWidth="1"/>
    <col min="15140" max="15140" width="11.7109375" style="556" customWidth="1"/>
    <col min="15141" max="15143" width="12.7109375" style="556" customWidth="1"/>
    <col min="15144" max="15361" width="9.140625" style="556"/>
    <col min="15362" max="15362" width="17.7109375" style="556" customWidth="1"/>
    <col min="15363" max="15369" width="10.7109375" style="556" customWidth="1"/>
    <col min="15370" max="15370" width="9.140625" style="556"/>
    <col min="15371" max="15372" width="10.7109375" style="556" customWidth="1"/>
    <col min="15373" max="15373" width="11.7109375" style="556" customWidth="1"/>
    <col min="15374" max="15374" width="10.7109375" style="556" customWidth="1"/>
    <col min="15375" max="15375" width="9.140625" style="556"/>
    <col min="15376" max="15376" width="2.7109375" style="556" customWidth="1"/>
    <col min="15377" max="15377" width="9.140625" style="556"/>
    <col min="15378" max="15388" width="10.7109375" style="556" customWidth="1"/>
    <col min="15389" max="15390" width="9.140625" style="556"/>
    <col min="15391" max="15395" width="10.7109375" style="556" customWidth="1"/>
    <col min="15396" max="15396" width="11.7109375" style="556" customWidth="1"/>
    <col min="15397" max="15399" width="12.7109375" style="556" customWidth="1"/>
    <col min="15400" max="15617" width="9.140625" style="556"/>
    <col min="15618" max="15618" width="17.7109375" style="556" customWidth="1"/>
    <col min="15619" max="15625" width="10.7109375" style="556" customWidth="1"/>
    <col min="15626" max="15626" width="9.140625" style="556"/>
    <col min="15627" max="15628" width="10.7109375" style="556" customWidth="1"/>
    <col min="15629" max="15629" width="11.7109375" style="556" customWidth="1"/>
    <col min="15630" max="15630" width="10.7109375" style="556" customWidth="1"/>
    <col min="15631" max="15631" width="9.140625" style="556"/>
    <col min="15632" max="15632" width="2.7109375" style="556" customWidth="1"/>
    <col min="15633" max="15633" width="9.140625" style="556"/>
    <col min="15634" max="15644" width="10.7109375" style="556" customWidth="1"/>
    <col min="15645" max="15646" width="9.140625" style="556"/>
    <col min="15647" max="15651" width="10.7109375" style="556" customWidth="1"/>
    <col min="15652" max="15652" width="11.7109375" style="556" customWidth="1"/>
    <col min="15653" max="15655" width="12.7109375" style="556" customWidth="1"/>
    <col min="15656" max="15873" width="9.140625" style="556"/>
    <col min="15874" max="15874" width="17.7109375" style="556" customWidth="1"/>
    <col min="15875" max="15881" width="10.7109375" style="556" customWidth="1"/>
    <col min="15882" max="15882" width="9.140625" style="556"/>
    <col min="15883" max="15884" width="10.7109375" style="556" customWidth="1"/>
    <col min="15885" max="15885" width="11.7109375" style="556" customWidth="1"/>
    <col min="15886" max="15886" width="10.7109375" style="556" customWidth="1"/>
    <col min="15887" max="15887" width="9.140625" style="556"/>
    <col min="15888" max="15888" width="2.7109375" style="556" customWidth="1"/>
    <col min="15889" max="15889" width="9.140625" style="556"/>
    <col min="15890" max="15900" width="10.7109375" style="556" customWidth="1"/>
    <col min="15901" max="15902" width="9.140625" style="556"/>
    <col min="15903" max="15907" width="10.7109375" style="556" customWidth="1"/>
    <col min="15908" max="15908" width="11.7109375" style="556" customWidth="1"/>
    <col min="15909" max="15911" width="12.7109375" style="556" customWidth="1"/>
    <col min="15912" max="16129" width="9.140625" style="556"/>
    <col min="16130" max="16130" width="17.7109375" style="556" customWidth="1"/>
    <col min="16131" max="16137" width="10.7109375" style="556" customWidth="1"/>
    <col min="16138" max="16138" width="9.140625" style="556"/>
    <col min="16139" max="16140" width="10.7109375" style="556" customWidth="1"/>
    <col min="16141" max="16141" width="11.7109375" style="556" customWidth="1"/>
    <col min="16142" max="16142" width="10.7109375" style="556" customWidth="1"/>
    <col min="16143" max="16143" width="9.140625" style="556"/>
    <col min="16144" max="16144" width="2.7109375" style="556" customWidth="1"/>
    <col min="16145" max="16145" width="9.140625" style="556"/>
    <col min="16146" max="16156" width="10.7109375" style="556" customWidth="1"/>
    <col min="16157" max="16158" width="9.140625" style="556"/>
    <col min="16159" max="16163" width="10.7109375" style="556" customWidth="1"/>
    <col min="16164" max="16164" width="11.7109375" style="556" customWidth="1"/>
    <col min="16165" max="16167" width="12.7109375" style="556" customWidth="1"/>
    <col min="16168" max="16384" width="9.140625" style="556"/>
  </cols>
  <sheetData>
    <row r="2" spans="2:39" ht="20.25" x14ac:dyDescent="0.3">
      <c r="B2" s="555" t="s">
        <v>756</v>
      </c>
    </row>
    <row r="3" spans="2:39" ht="13.5" thickBot="1" x14ac:dyDescent="0.25"/>
    <row r="4" spans="2:39" ht="13.5" thickBot="1" x14ac:dyDescent="0.25">
      <c r="AC4" s="1299" t="s">
        <v>1149</v>
      </c>
      <c r="AD4" s="1300"/>
      <c r="AE4" s="1299" t="s">
        <v>1148</v>
      </c>
      <c r="AF4" s="1300"/>
    </row>
    <row r="5" spans="2:39" ht="15.75" x14ac:dyDescent="0.25">
      <c r="B5" s="840" t="s">
        <v>708</v>
      </c>
      <c r="C5" s="666" t="s">
        <v>1</v>
      </c>
      <c r="D5" s="680" t="s">
        <v>15</v>
      </c>
      <c r="E5" s="666" t="s">
        <v>684</v>
      </c>
      <c r="F5" s="680"/>
      <c r="G5" s="559" t="s">
        <v>709</v>
      </c>
      <c r="H5" s="667"/>
      <c r="I5" s="816" t="s">
        <v>357</v>
      </c>
      <c r="K5" s="606" t="s">
        <v>746</v>
      </c>
      <c r="L5" s="607"/>
      <c r="M5" s="630"/>
      <c r="N5" s="563"/>
      <c r="P5" s="766"/>
      <c r="R5" s="682" t="s">
        <v>634</v>
      </c>
      <c r="S5" s="631" t="s">
        <v>634</v>
      </c>
      <c r="T5" s="631" t="s">
        <v>355</v>
      </c>
      <c r="U5" s="631" t="s">
        <v>355</v>
      </c>
      <c r="V5" s="767" t="s">
        <v>504</v>
      </c>
      <c r="W5" s="815" t="s">
        <v>357</v>
      </c>
      <c r="X5" s="566" t="s">
        <v>731</v>
      </c>
      <c r="Y5" s="681" t="s">
        <v>1</v>
      </c>
      <c r="Z5" s="559" t="s">
        <v>15</v>
      </c>
      <c r="AA5" s="559" t="s">
        <v>1</v>
      </c>
      <c r="AB5" s="559" t="s">
        <v>15</v>
      </c>
      <c r="AC5" s="683" t="s">
        <v>711</v>
      </c>
      <c r="AD5" s="768" t="s">
        <v>504</v>
      </c>
      <c r="AE5" s="768" t="s">
        <v>711</v>
      </c>
      <c r="AF5" s="768" t="s">
        <v>359</v>
      </c>
      <c r="AG5" s="768" t="s">
        <v>712</v>
      </c>
      <c r="AH5" s="768" t="s">
        <v>712</v>
      </c>
      <c r="AI5" s="768" t="s">
        <v>732</v>
      </c>
      <c r="AJ5" s="768" t="s">
        <v>732</v>
      </c>
      <c r="AK5" s="768" t="s">
        <v>732</v>
      </c>
      <c r="AL5" s="768" t="s">
        <v>1</v>
      </c>
      <c r="AM5" s="684" t="s">
        <v>15</v>
      </c>
    </row>
    <row r="6" spans="2:39" ht="15.75" x14ac:dyDescent="0.25">
      <c r="B6" s="841" t="s">
        <v>76</v>
      </c>
      <c r="C6" s="586" t="s">
        <v>1</v>
      </c>
      <c r="D6" s="685" t="s">
        <v>15</v>
      </c>
      <c r="E6" s="586" t="s">
        <v>1</v>
      </c>
      <c r="F6" s="685" t="s">
        <v>15</v>
      </c>
      <c r="G6" s="586" t="s">
        <v>1</v>
      </c>
      <c r="H6" s="587" t="s">
        <v>15</v>
      </c>
      <c r="I6" s="818" t="s">
        <v>15</v>
      </c>
      <c r="K6" s="572" t="s">
        <v>531</v>
      </c>
      <c r="L6" s="609" t="s">
        <v>477</v>
      </c>
      <c r="M6" s="609" t="s">
        <v>359</v>
      </c>
      <c r="N6" s="573" t="s">
        <v>359</v>
      </c>
      <c r="P6" s="766"/>
      <c r="R6" s="593" t="s">
        <v>3</v>
      </c>
      <c r="S6" s="594" t="s">
        <v>521</v>
      </c>
      <c r="T6" s="594" t="s">
        <v>3</v>
      </c>
      <c r="U6" s="594" t="s">
        <v>521</v>
      </c>
      <c r="V6" s="770" t="s">
        <v>506</v>
      </c>
      <c r="W6" s="817" t="s">
        <v>521</v>
      </c>
      <c r="X6" s="576" t="s">
        <v>733</v>
      </c>
      <c r="Y6" s="686" t="s">
        <v>359</v>
      </c>
      <c r="Z6" s="569" t="s">
        <v>359</v>
      </c>
      <c r="AA6" s="569" t="s">
        <v>662</v>
      </c>
      <c r="AB6" s="569" t="s">
        <v>662</v>
      </c>
      <c r="AC6" s="687" t="s">
        <v>1</v>
      </c>
      <c r="AD6" s="771" t="s">
        <v>506</v>
      </c>
      <c r="AE6" s="771" t="s">
        <v>15</v>
      </c>
      <c r="AF6" s="771" t="s">
        <v>733</v>
      </c>
      <c r="AG6" s="771" t="s">
        <v>1</v>
      </c>
      <c r="AH6" s="771" t="s">
        <v>15</v>
      </c>
      <c r="AI6" s="771" t="s">
        <v>734</v>
      </c>
      <c r="AJ6" s="771" t="s">
        <v>734</v>
      </c>
      <c r="AK6" s="771" t="s">
        <v>734</v>
      </c>
      <c r="AL6" s="771" t="s">
        <v>713</v>
      </c>
      <c r="AM6" s="688" t="s">
        <v>713</v>
      </c>
    </row>
    <row r="7" spans="2:39" ht="15.75" x14ac:dyDescent="0.25">
      <c r="B7" s="841"/>
      <c r="C7" s="586" t="s">
        <v>0</v>
      </c>
      <c r="D7" s="685" t="s">
        <v>0</v>
      </c>
      <c r="E7" s="586" t="s">
        <v>0</v>
      </c>
      <c r="F7" s="685" t="s">
        <v>0</v>
      </c>
      <c r="G7" s="586" t="s">
        <v>0</v>
      </c>
      <c r="H7" s="587" t="s">
        <v>0</v>
      </c>
      <c r="I7" s="818" t="s">
        <v>0</v>
      </c>
      <c r="K7" s="572" t="s">
        <v>483</v>
      </c>
      <c r="L7" s="609" t="s">
        <v>484</v>
      </c>
      <c r="M7" s="609" t="s">
        <v>483</v>
      </c>
      <c r="N7" s="573" t="s">
        <v>520</v>
      </c>
      <c r="P7" s="766"/>
      <c r="R7" s="593"/>
      <c r="S7" s="594"/>
      <c r="T7" s="594"/>
      <c r="U7" s="594"/>
      <c r="V7" s="770" t="s">
        <v>3</v>
      </c>
      <c r="W7" s="817" t="s">
        <v>735</v>
      </c>
      <c r="X7" s="576" t="s">
        <v>736</v>
      </c>
      <c r="Y7" s="686" t="s">
        <v>3</v>
      </c>
      <c r="Z7" s="569" t="s">
        <v>3</v>
      </c>
      <c r="AA7" s="569" t="s">
        <v>3</v>
      </c>
      <c r="AB7" s="569" t="s">
        <v>3</v>
      </c>
      <c r="AC7" s="687" t="s">
        <v>359</v>
      </c>
      <c r="AD7" s="771" t="s">
        <v>359</v>
      </c>
      <c r="AE7" s="771" t="s">
        <v>359</v>
      </c>
      <c r="AF7" s="771" t="s">
        <v>736</v>
      </c>
      <c r="AG7" s="771" t="s">
        <v>359</v>
      </c>
      <c r="AH7" s="771" t="s">
        <v>359</v>
      </c>
      <c r="AI7" s="771" t="s">
        <v>359</v>
      </c>
      <c r="AJ7" s="771" t="s">
        <v>531</v>
      </c>
      <c r="AK7" s="771" t="s">
        <v>715</v>
      </c>
      <c r="AL7" s="771" t="s">
        <v>715</v>
      </c>
      <c r="AM7" s="688" t="s">
        <v>715</v>
      </c>
    </row>
    <row r="8" spans="2:39" ht="15.75" x14ac:dyDescent="0.25">
      <c r="B8" s="841"/>
      <c r="C8" s="586"/>
      <c r="D8" s="685"/>
      <c r="E8" s="586"/>
      <c r="F8" s="685"/>
      <c r="G8" s="569"/>
      <c r="H8" s="587"/>
      <c r="I8" s="818"/>
      <c r="K8" s="572"/>
      <c r="L8" s="609"/>
      <c r="M8" s="609"/>
      <c r="N8" s="573"/>
      <c r="P8" s="766"/>
      <c r="R8" s="593"/>
      <c r="S8" s="594"/>
      <c r="T8" s="594"/>
      <c r="U8" s="594"/>
      <c r="V8" s="770"/>
      <c r="W8" s="817"/>
      <c r="X8" s="576"/>
      <c r="Y8" s="686"/>
      <c r="Z8" s="569"/>
      <c r="AA8" s="569"/>
      <c r="AB8" s="569"/>
      <c r="AC8" s="687"/>
      <c r="AD8" s="771"/>
      <c r="AE8" s="771"/>
      <c r="AF8" s="771"/>
      <c r="AG8" s="771"/>
      <c r="AH8" s="771"/>
      <c r="AI8" s="771"/>
      <c r="AJ8" s="771"/>
      <c r="AK8" s="771"/>
      <c r="AL8" s="771"/>
      <c r="AM8" s="688"/>
    </row>
    <row r="9" spans="2:39" ht="13.5" thickBot="1" x14ac:dyDescent="0.25">
      <c r="B9" s="691" t="s">
        <v>0</v>
      </c>
      <c r="C9" s="806" t="s">
        <v>0</v>
      </c>
      <c r="D9" s="807" t="s">
        <v>0</v>
      </c>
      <c r="E9" s="806" t="s">
        <v>0</v>
      </c>
      <c r="F9" s="807" t="s">
        <v>0</v>
      </c>
      <c r="G9" s="775" t="s">
        <v>0</v>
      </c>
      <c r="H9" s="713" t="s">
        <v>0</v>
      </c>
      <c r="I9" s="820" t="s">
        <v>0</v>
      </c>
      <c r="K9" s="613" t="s">
        <v>0</v>
      </c>
      <c r="L9" s="614" t="s">
        <v>0</v>
      </c>
      <c r="M9" s="614" t="s">
        <v>99</v>
      </c>
      <c r="N9" s="696" t="s">
        <v>0</v>
      </c>
      <c r="P9" s="766"/>
      <c r="R9" s="603" t="s">
        <v>0</v>
      </c>
      <c r="S9" s="604" t="s">
        <v>0</v>
      </c>
      <c r="T9" s="604" t="s">
        <v>99</v>
      </c>
      <c r="U9" s="604" t="s">
        <v>0</v>
      </c>
      <c r="V9" s="774" t="s">
        <v>0</v>
      </c>
      <c r="W9" s="819" t="s">
        <v>0</v>
      </c>
      <c r="X9" s="605" t="s">
        <v>0</v>
      </c>
      <c r="Y9" s="712" t="s">
        <v>0</v>
      </c>
      <c r="Z9" s="775" t="s">
        <v>0</v>
      </c>
      <c r="AA9" s="775" t="s">
        <v>0</v>
      </c>
      <c r="AB9" s="775" t="s">
        <v>0</v>
      </c>
      <c r="AC9" s="776" t="s">
        <v>0</v>
      </c>
      <c r="AD9" s="777" t="s">
        <v>0</v>
      </c>
      <c r="AE9" s="777" t="s">
        <v>0</v>
      </c>
      <c r="AF9" s="777" t="s">
        <v>0</v>
      </c>
      <c r="AG9" s="777" t="s">
        <v>0</v>
      </c>
      <c r="AH9" s="777" t="s">
        <v>0</v>
      </c>
      <c r="AI9" s="777" t="s">
        <v>0</v>
      </c>
      <c r="AJ9" s="777" t="s">
        <v>0</v>
      </c>
      <c r="AK9" s="777" t="s">
        <v>0</v>
      </c>
      <c r="AL9" s="777" t="s">
        <v>99</v>
      </c>
      <c r="AM9" s="778" t="s">
        <v>0</v>
      </c>
    </row>
    <row r="10" spans="2:39" x14ac:dyDescent="0.2">
      <c r="B10" s="567"/>
      <c r="C10" s="569"/>
      <c r="D10" s="569"/>
      <c r="E10" s="586"/>
      <c r="F10" s="569"/>
      <c r="G10" s="586"/>
      <c r="H10" s="587"/>
      <c r="I10" s="818"/>
      <c r="K10" s="572"/>
      <c r="L10" s="609"/>
      <c r="M10" s="609"/>
      <c r="N10" s="573"/>
      <c r="P10" s="766"/>
      <c r="R10" s="593"/>
      <c r="S10" s="594"/>
      <c r="T10" s="594"/>
      <c r="U10" s="594"/>
      <c r="V10" s="770"/>
      <c r="W10" s="817"/>
      <c r="X10" s="576" t="s">
        <v>0</v>
      </c>
      <c r="Y10" s="686"/>
      <c r="Z10" s="569"/>
      <c r="AA10" s="569"/>
      <c r="AB10" s="569"/>
      <c r="AC10" s="683"/>
      <c r="AD10" s="768"/>
      <c r="AE10" s="768"/>
      <c r="AF10" s="768"/>
      <c r="AG10" s="768"/>
      <c r="AH10" s="768"/>
      <c r="AI10" s="768"/>
      <c r="AJ10" s="768"/>
      <c r="AK10" s="768"/>
      <c r="AL10" s="768"/>
      <c r="AM10" s="684"/>
    </row>
    <row r="11" spans="2:39" x14ac:dyDescent="0.2">
      <c r="B11" s="567"/>
      <c r="C11" s="569"/>
      <c r="D11" s="569"/>
      <c r="E11" s="586"/>
      <c r="F11" s="569"/>
      <c r="G11" s="586"/>
      <c r="H11" s="587"/>
      <c r="I11" s="818"/>
      <c r="K11" s="572"/>
      <c r="L11" s="609"/>
      <c r="M11" s="609"/>
      <c r="N11" s="573"/>
      <c r="P11" s="766"/>
      <c r="R11" s="593"/>
      <c r="S11" s="594"/>
      <c r="T11" s="594"/>
      <c r="U11" s="594"/>
      <c r="V11" s="770"/>
      <c r="W11" s="817"/>
      <c r="X11" s="576"/>
      <c r="Y11" s="686"/>
      <c r="Z11" s="569"/>
      <c r="AA11" s="569"/>
      <c r="AB11" s="569"/>
      <c r="AC11" s="687" t="s">
        <v>0</v>
      </c>
      <c r="AD11" s="771"/>
      <c r="AE11" s="771" t="s">
        <v>0</v>
      </c>
      <c r="AF11" s="771"/>
      <c r="AG11" s="771"/>
      <c r="AH11" s="771"/>
      <c r="AI11" s="771"/>
      <c r="AJ11" s="771"/>
      <c r="AK11" s="771"/>
      <c r="AL11" s="771"/>
      <c r="AM11" s="688"/>
    </row>
    <row r="12" spans="2:39" x14ac:dyDescent="0.2">
      <c r="B12" s="567" t="s">
        <v>485</v>
      </c>
      <c r="C12" s="588">
        <v>0.4</v>
      </c>
      <c r="D12" s="588">
        <v>0.4</v>
      </c>
      <c r="E12" s="589">
        <v>20</v>
      </c>
      <c r="F12" s="650">
        <v>10</v>
      </c>
      <c r="G12" s="589">
        <v>20</v>
      </c>
      <c r="H12" s="590">
        <f>((1+F12/100)*(1+Z12/100)-1)*100</f>
        <v>10.000000000000009</v>
      </c>
      <c r="I12" s="827">
        <v>10</v>
      </c>
      <c r="K12" s="591">
        <f>(C12-D12)*((1+W12/100)/(1+F$26/100)-1)</f>
        <v>0</v>
      </c>
      <c r="L12" s="663">
        <f>C12*((1+E12/100)/(1+F12/100)-1)*(1+F12/100)/(1+V$26/100)</f>
        <v>3.8022813688212899E-2</v>
      </c>
      <c r="M12" s="663">
        <f>(C12+C19-D12-D19)*((1+AB19/100)/(1+AE$26/100)-1)</f>
        <v>5.2579611726347245E-3</v>
      </c>
      <c r="N12" s="592">
        <f>C12*((1+Y12/100)/(1+Z12/100)-1)*(1+Z12/100)/(1+AD$26/100)</f>
        <v>0</v>
      </c>
      <c r="P12" s="766"/>
      <c r="R12" s="654">
        <f>+C12*E12</f>
        <v>8</v>
      </c>
      <c r="S12" s="655">
        <f>+D12*F12</f>
        <v>4</v>
      </c>
      <c r="T12" s="655">
        <f>+C12*G12</f>
        <v>8</v>
      </c>
      <c r="U12" s="655">
        <f>+D12*H12</f>
        <v>4.0000000000000036</v>
      </c>
      <c r="V12" s="779">
        <f>+C12*F12</f>
        <v>4</v>
      </c>
      <c r="W12" s="842">
        <v>10</v>
      </c>
      <c r="X12" s="828">
        <f>+D12*F12+(C12-D12)*W12</f>
        <v>4</v>
      </c>
      <c r="Y12" s="703">
        <f>((1+G12/100)/(1+E12/100)-1)*100</f>
        <v>0</v>
      </c>
      <c r="Z12" s="650">
        <v>0</v>
      </c>
      <c r="AA12" s="650"/>
      <c r="AB12" s="650" t="s">
        <v>0</v>
      </c>
      <c r="AC12" s="780">
        <f>+C12*Y12</f>
        <v>0</v>
      </c>
      <c r="AD12" s="781">
        <f>+C12*Z12</f>
        <v>0</v>
      </c>
      <c r="AE12" s="781">
        <f>+D12*Z12</f>
        <v>0</v>
      </c>
      <c r="AF12" s="782">
        <f>+(D12)*Z12</f>
        <v>0</v>
      </c>
      <c r="AG12" s="782">
        <f>+C12*Y12*(1+E12/100)/(1+E$26/100)</f>
        <v>0</v>
      </c>
      <c r="AH12" s="782">
        <f>+D12*Z12*(1+F12/100)/(1+F$26/100)</f>
        <v>0</v>
      </c>
      <c r="AI12" s="783">
        <f>(C12-D12)*((1+Z12/100)/(1+AB19/100)-1)*(1+AB19/100)/(1+AF$26/100)</f>
        <v>0</v>
      </c>
      <c r="AJ12" s="783">
        <f>(C12-D12)*((1+F12/100)/(1+W12/100)-1)*(1+W12/100)/(1+X$26/100)</f>
        <v>0</v>
      </c>
      <c r="AK12" s="783"/>
      <c r="AL12" s="783" t="s">
        <v>0</v>
      </c>
      <c r="AM12" s="784" t="s">
        <v>0</v>
      </c>
    </row>
    <row r="13" spans="2:39" x14ac:dyDescent="0.2">
      <c r="B13" s="567"/>
      <c r="C13" s="588"/>
      <c r="D13" s="588"/>
      <c r="E13" s="589"/>
      <c r="F13" s="650"/>
      <c r="G13" s="589"/>
      <c r="H13" s="590"/>
      <c r="I13" s="827"/>
      <c r="K13" s="591"/>
      <c r="L13" s="663"/>
      <c r="M13" s="609"/>
      <c r="N13" s="573"/>
      <c r="P13" s="766"/>
      <c r="R13" s="654"/>
      <c r="S13" s="655"/>
      <c r="T13" s="655"/>
      <c r="U13" s="655"/>
      <c r="V13" s="779"/>
      <c r="W13" s="842"/>
      <c r="X13" s="828"/>
      <c r="Y13" s="703"/>
      <c r="Z13" s="650"/>
      <c r="AA13" s="650"/>
      <c r="AB13" s="650"/>
      <c r="AC13" s="687"/>
      <c r="AD13" s="771"/>
      <c r="AE13" s="771"/>
      <c r="AF13" s="771"/>
      <c r="AG13" s="771"/>
      <c r="AH13" s="771"/>
      <c r="AI13" s="771"/>
      <c r="AJ13" s="771"/>
      <c r="AK13" s="771"/>
      <c r="AL13" s="783"/>
      <c r="AM13" s="784"/>
    </row>
    <row r="14" spans="2:39" x14ac:dyDescent="0.2">
      <c r="B14" s="567" t="s">
        <v>486</v>
      </c>
      <c r="C14" s="588">
        <v>0.3</v>
      </c>
      <c r="D14" s="588">
        <v>0.2</v>
      </c>
      <c r="E14" s="589">
        <v>-5</v>
      </c>
      <c r="F14" s="650">
        <v>-4</v>
      </c>
      <c r="G14" s="589">
        <v>4.7</v>
      </c>
      <c r="H14" s="590">
        <f>((1+F14/100)*(1+Z14/100)-1)*100</f>
        <v>5.600000000000005</v>
      </c>
      <c r="I14" s="827">
        <v>-3</v>
      </c>
      <c r="K14" s="591">
        <f>(C14-D14)*((1+W14/100)/(1+F$26/100)-1)</f>
        <v>-8.8345864661654155E-3</v>
      </c>
      <c r="L14" s="663">
        <f>C14*((1+E14/100)/(1+F14/100)-1)*(1+F14/100)/(1+V$26/100)</f>
        <v>-2.8517110266159593E-3</v>
      </c>
      <c r="M14" s="663">
        <f>(C14+C21-D14-D21)*((1+AB21/100)/(1+AE$26/100)-1)</f>
        <v>1.5709242276792487E-3</v>
      </c>
      <c r="N14" s="592">
        <f>C14*((1+Y14/100)/(1+Z14/100)-1)*(1+Z14/100)/(1+AD$26/100)</f>
        <v>5.9148128366404683E-4</v>
      </c>
      <c r="P14" s="766"/>
      <c r="R14" s="654">
        <f>+C14*E14</f>
        <v>-1.5</v>
      </c>
      <c r="S14" s="655">
        <f>+D14*F14</f>
        <v>-0.8</v>
      </c>
      <c r="T14" s="655">
        <f>+C14*G14</f>
        <v>1.41</v>
      </c>
      <c r="U14" s="655">
        <f>+D14*H14</f>
        <v>1.120000000000001</v>
      </c>
      <c r="V14" s="779">
        <f>+C14*F14</f>
        <v>-1.2</v>
      </c>
      <c r="W14" s="842">
        <v>-3</v>
      </c>
      <c r="X14" s="828">
        <f>+D14*F14+(C14-D14)*W14</f>
        <v>-1.1000000000000001</v>
      </c>
      <c r="Y14" s="703">
        <f>((1+G14/100)/(1+E14/100)-1)*100</f>
        <v>10.210526315789469</v>
      </c>
      <c r="Z14" s="650">
        <v>10</v>
      </c>
      <c r="AA14" s="650"/>
      <c r="AB14" s="650" t="s">
        <v>0</v>
      </c>
      <c r="AC14" s="780">
        <f>+C14*Y14</f>
        <v>3.0631578947368405</v>
      </c>
      <c r="AD14" s="781">
        <f>+C14*Z14</f>
        <v>3</v>
      </c>
      <c r="AE14" s="781">
        <f>+D14*Z14</f>
        <v>2</v>
      </c>
      <c r="AF14" s="782">
        <f>+(D14)*Z14</f>
        <v>2</v>
      </c>
      <c r="AG14" s="782">
        <f>+C14*Y14*(1+E14/100)/(1+E$26/100)</f>
        <v>2.6869806094182813</v>
      </c>
      <c r="AH14" s="782">
        <f>+D14*Z14*(1+F14/100)/(1+F$26/100)</f>
        <v>1.8045112781954886</v>
      </c>
      <c r="AI14" s="783">
        <f>(C14-D14)*((1+Z14/100)/(1+AB21/100)-1)*(1+AB21/100)/(1+AF$26/100)</f>
        <v>1.0609828383833628E-3</v>
      </c>
      <c r="AJ14" s="783">
        <f>(C14-D14)*((1+F14/100)/(1+W14/100)-1)*(1+W14/100)/(1+X$26/100)</f>
        <v>-9.5147478591816952E-4</v>
      </c>
      <c r="AK14" s="783"/>
      <c r="AL14" s="783" t="s">
        <v>99</v>
      </c>
      <c r="AM14" s="784" t="s">
        <v>0</v>
      </c>
    </row>
    <row r="15" spans="2:39" x14ac:dyDescent="0.2">
      <c r="B15" s="567"/>
      <c r="C15" s="588"/>
      <c r="D15" s="588"/>
      <c r="E15" s="589"/>
      <c r="F15" s="650"/>
      <c r="G15" s="589"/>
      <c r="H15" s="590"/>
      <c r="I15" s="827"/>
      <c r="K15" s="591"/>
      <c r="L15" s="663"/>
      <c r="M15" s="609"/>
      <c r="N15" s="573"/>
      <c r="P15" s="766"/>
      <c r="R15" s="654"/>
      <c r="S15" s="655"/>
      <c r="T15" s="655"/>
      <c r="U15" s="655"/>
      <c r="V15" s="779"/>
      <c r="W15" s="842"/>
      <c r="X15" s="828"/>
      <c r="Y15" s="703"/>
      <c r="Z15" s="650"/>
      <c r="AA15" s="650"/>
      <c r="AB15" s="650"/>
      <c r="AC15" s="687"/>
      <c r="AD15" s="771"/>
      <c r="AE15" s="771"/>
      <c r="AF15" s="771"/>
      <c r="AG15" s="771"/>
      <c r="AH15" s="771"/>
      <c r="AI15" s="771"/>
      <c r="AJ15" s="771"/>
      <c r="AK15" s="771"/>
      <c r="AL15" s="783"/>
      <c r="AM15" s="784"/>
    </row>
    <row r="16" spans="2:39" x14ac:dyDescent="0.2">
      <c r="B16" s="567" t="s">
        <v>487</v>
      </c>
      <c r="C16" s="588">
        <v>0.3</v>
      </c>
      <c r="D16" s="588">
        <v>0.4</v>
      </c>
      <c r="E16" s="589">
        <v>6</v>
      </c>
      <c r="F16" s="650">
        <v>8</v>
      </c>
      <c r="G16" s="589">
        <v>28</v>
      </c>
      <c r="H16" s="590">
        <f>((1+F16/100)*(1+Z16/100)-1)*100</f>
        <v>29.600000000000005</v>
      </c>
      <c r="I16" s="827">
        <v>10</v>
      </c>
      <c r="K16" s="591">
        <f>(C16-D16)*((1+W16/100)/(1+F$26/100)-1)</f>
        <v>-3.3834586466165561E-3</v>
      </c>
      <c r="L16" s="663">
        <f>C16*((1+E16/100)/(1+F16/100)-1)*(1+F16/100)/(1+V$26/100)</f>
        <v>-5.7034220532319307E-3</v>
      </c>
      <c r="M16" s="663">
        <f>(C16+C23-D16-D23)*((1+AB23/100)/(1+AE$26/100)-1)</f>
        <v>5.8116737819388182E-3</v>
      </c>
      <c r="N16" s="592">
        <f>C16*((1+Y16/100)/(1+Z16/100)-1)*(1+Z16/100)/(1+AD$26/100)</f>
        <v>2.120404601814545E-3</v>
      </c>
      <c r="P16" s="766"/>
      <c r="R16" s="654">
        <f>+C16*E16</f>
        <v>1.7999999999999998</v>
      </c>
      <c r="S16" s="655">
        <f>+D16*F16</f>
        <v>3.2</v>
      </c>
      <c r="T16" s="655">
        <f>+C16*G16</f>
        <v>8.4</v>
      </c>
      <c r="U16" s="655">
        <f>+D16*H16</f>
        <v>11.840000000000003</v>
      </c>
      <c r="V16" s="779">
        <f>+C16*F16</f>
        <v>2.4</v>
      </c>
      <c r="W16" s="842">
        <v>10</v>
      </c>
      <c r="X16" s="828">
        <f>+D16*F16+(C16-D16)*W16</f>
        <v>2.1999999999999997</v>
      </c>
      <c r="Y16" s="703">
        <f>((1+G16/100)/(1+E16/100)-1)*100</f>
        <v>20.75471698113207</v>
      </c>
      <c r="Z16" s="650">
        <v>20</v>
      </c>
      <c r="AA16" s="650"/>
      <c r="AB16" s="650" t="s">
        <v>0</v>
      </c>
      <c r="AC16" s="780">
        <f>+C16*Y16</f>
        <v>6.2264150943396208</v>
      </c>
      <c r="AD16" s="781">
        <f>+C16*Z16</f>
        <v>6</v>
      </c>
      <c r="AE16" s="781">
        <f>+D16*Z16</f>
        <v>8</v>
      </c>
      <c r="AF16" s="782">
        <f>+(D16)*Z16</f>
        <v>8</v>
      </c>
      <c r="AG16" s="782">
        <f>+C16*Y16*(1+E16/100)/(1+E$26/100)</f>
        <v>6.0941828254847632</v>
      </c>
      <c r="AH16" s="782">
        <f>+D16*Z16*(1+F16/100)/(1+F$26/100)</f>
        <v>8.1203007518797001</v>
      </c>
      <c r="AI16" s="783">
        <f>(C16-D16)*((1+Z16/100)/(1+AB23/100)-1)*(1+AB23/100)/(1+AF$26/100)</f>
        <v>-2.0412959072367656E-3</v>
      </c>
      <c r="AJ16" s="783">
        <f>(C16-D16)*((1+F16/100)/(1+W16/100)-1)*(1+W16/100)/(1+X$26/100)</f>
        <v>1.9029495718363482E-3</v>
      </c>
      <c r="AK16" s="783"/>
      <c r="AL16" s="783" t="s">
        <v>0</v>
      </c>
      <c r="AM16" s="784" t="s">
        <v>0</v>
      </c>
    </row>
    <row r="17" spans="2:45" ht="13.5" thickBot="1" x14ac:dyDescent="0.25">
      <c r="B17" s="657"/>
      <c r="C17" s="658"/>
      <c r="D17" s="658"/>
      <c r="E17" s="659"/>
      <c r="F17" s="706"/>
      <c r="G17" s="659"/>
      <c r="H17" s="660"/>
      <c r="I17" s="843"/>
      <c r="K17" s="591"/>
      <c r="L17" s="663"/>
      <c r="M17" s="663"/>
      <c r="N17" s="592"/>
      <c r="P17" s="766"/>
      <c r="R17" s="654"/>
      <c r="S17" s="655"/>
      <c r="T17" s="655"/>
      <c r="U17" s="655"/>
      <c r="V17" s="779"/>
      <c r="W17" s="842"/>
      <c r="X17" s="828"/>
      <c r="Y17" s="703"/>
      <c r="Z17" s="650"/>
      <c r="AA17" s="650"/>
      <c r="AB17" s="650"/>
      <c r="AC17" s="780"/>
      <c r="AD17" s="781"/>
      <c r="AE17" s="781"/>
      <c r="AF17" s="782"/>
      <c r="AG17" s="782"/>
      <c r="AH17" s="782"/>
      <c r="AI17" s="783"/>
      <c r="AJ17" s="783"/>
      <c r="AK17" s="783"/>
      <c r="AL17" s="783"/>
      <c r="AM17" s="784"/>
    </row>
    <row r="18" spans="2:45" x14ac:dyDescent="0.2">
      <c r="B18" s="567"/>
      <c r="C18" s="588" t="s">
        <v>0</v>
      </c>
      <c r="D18" s="588"/>
      <c r="E18" s="586"/>
      <c r="F18" s="569"/>
      <c r="G18" s="586"/>
      <c r="H18" s="587"/>
      <c r="K18" s="844"/>
      <c r="L18" s="845"/>
      <c r="M18" s="630"/>
      <c r="N18" s="563"/>
      <c r="P18" s="766"/>
      <c r="R18" s="654"/>
      <c r="S18" s="655"/>
      <c r="T18" s="655"/>
      <c r="U18" s="655"/>
      <c r="V18" s="779"/>
      <c r="W18" s="817"/>
      <c r="X18" s="828"/>
      <c r="Y18" s="686"/>
      <c r="Z18" s="650"/>
      <c r="AA18" s="650"/>
      <c r="AB18" s="650"/>
      <c r="AC18" s="687"/>
      <c r="AD18" s="771"/>
      <c r="AE18" s="771"/>
      <c r="AF18" s="771"/>
      <c r="AG18" s="771"/>
      <c r="AH18" s="771"/>
      <c r="AI18" s="771"/>
      <c r="AJ18" s="771"/>
      <c r="AK18" s="771"/>
      <c r="AL18" s="783"/>
      <c r="AM18" s="784"/>
    </row>
    <row r="19" spans="2:45" x14ac:dyDescent="0.2">
      <c r="B19" s="567" t="s">
        <v>678</v>
      </c>
      <c r="C19" s="588">
        <v>0.2</v>
      </c>
      <c r="D19" s="588">
        <v>0.3</v>
      </c>
      <c r="E19" s="586"/>
      <c r="F19" s="569"/>
      <c r="G19" s="586">
        <v>0</v>
      </c>
      <c r="H19" s="590">
        <f>+AB19</f>
        <v>0</v>
      </c>
      <c r="K19" s="591"/>
      <c r="L19" s="663"/>
      <c r="M19" s="663" t="s">
        <v>0</v>
      </c>
      <c r="N19" s="592">
        <f>C19*((1+AA19/100)/(1+AB19/100)-1)*(1+AB19/100)/(1+AD$26/100)</f>
        <v>0</v>
      </c>
      <c r="P19" s="766"/>
      <c r="R19" s="654"/>
      <c r="S19" s="655"/>
      <c r="T19" s="655">
        <f>+C19*G19</f>
        <v>0</v>
      </c>
      <c r="U19" s="655">
        <f>+D19*H19</f>
        <v>0</v>
      </c>
      <c r="V19" s="779"/>
      <c r="W19" s="817"/>
      <c r="X19" s="828"/>
      <c r="Y19" s="686"/>
      <c r="Z19" s="650"/>
      <c r="AA19" s="650">
        <f>+G19</f>
        <v>0</v>
      </c>
      <c r="AB19" s="650">
        <f>+((1+Z12/100)*(1+F12/100)/(1+W12/100)-1)*100</f>
        <v>0</v>
      </c>
      <c r="AC19" s="780">
        <f>+C19*G19</f>
        <v>0</v>
      </c>
      <c r="AD19" s="781">
        <f>+(C19)*AB19</f>
        <v>0</v>
      </c>
      <c r="AE19" s="781">
        <f>+D19*AB19</f>
        <v>0</v>
      </c>
      <c r="AF19" s="782">
        <f>(C19+C12-D12)*AB19</f>
        <v>0</v>
      </c>
      <c r="AG19" s="782">
        <f>+C19*AA19/(1+E$26/100)</f>
        <v>0</v>
      </c>
      <c r="AH19" s="782">
        <f>+D19*AB19/(1+F$26/100)</f>
        <v>0</v>
      </c>
      <c r="AI19" s="846" t="s">
        <v>747</v>
      </c>
      <c r="AJ19" s="846" t="s">
        <v>747</v>
      </c>
      <c r="AK19" s="846"/>
      <c r="AL19" s="783" t="s">
        <v>0</v>
      </c>
      <c r="AM19" s="784" t="s">
        <v>0</v>
      </c>
    </row>
    <row r="20" spans="2:45" x14ac:dyDescent="0.2">
      <c r="B20" s="567"/>
      <c r="C20" s="588"/>
      <c r="D20" s="588"/>
      <c r="E20" s="586"/>
      <c r="F20" s="569"/>
      <c r="G20" s="586"/>
      <c r="H20" s="587"/>
      <c r="K20" s="591"/>
      <c r="L20" s="663"/>
      <c r="M20" s="609"/>
      <c r="N20" s="573"/>
      <c r="P20" s="766"/>
      <c r="R20" s="654"/>
      <c r="S20" s="655"/>
      <c r="T20" s="655"/>
      <c r="U20" s="655"/>
      <c r="V20" s="779"/>
      <c r="W20" s="817"/>
      <c r="X20" s="828"/>
      <c r="Y20" s="686"/>
      <c r="Z20" s="650"/>
      <c r="AA20" s="650"/>
      <c r="AB20" s="650"/>
      <c r="AC20" s="687"/>
      <c r="AD20" s="771"/>
      <c r="AE20" s="771"/>
      <c r="AF20" s="771"/>
      <c r="AG20" s="771"/>
      <c r="AH20" s="771"/>
      <c r="AI20" s="771"/>
      <c r="AJ20" s="771"/>
      <c r="AK20" s="771"/>
      <c r="AL20" s="783"/>
      <c r="AM20" s="784"/>
    </row>
    <row r="21" spans="2:45" x14ac:dyDescent="0.2">
      <c r="B21" s="567" t="s">
        <v>679</v>
      </c>
      <c r="C21" s="588">
        <v>-0.15</v>
      </c>
      <c r="D21" s="588">
        <v>-0.1</v>
      </c>
      <c r="E21" s="586"/>
      <c r="F21" s="569"/>
      <c r="G21" s="589">
        <v>9.5</v>
      </c>
      <c r="H21" s="590">
        <f>+AB21</f>
        <v>8.8659793814433119</v>
      </c>
      <c r="K21" s="591"/>
      <c r="L21" s="663"/>
      <c r="M21" s="663" t="s">
        <v>0</v>
      </c>
      <c r="N21" s="592">
        <f>C21*((1+AA21/100)/(1+AB21/100)-1)*(1+AB21/100)/(1+AD$26/100)</f>
        <v>-8.906519071667895E-4</v>
      </c>
      <c r="P21" s="766"/>
      <c r="R21" s="654"/>
      <c r="S21" s="655"/>
      <c r="T21" s="655">
        <f>+C21*G21</f>
        <v>-1.425</v>
      </c>
      <c r="U21" s="655">
        <f>+D21*H21</f>
        <v>-0.88659793814433119</v>
      </c>
      <c r="V21" s="779"/>
      <c r="W21" s="817"/>
      <c r="X21" s="828"/>
      <c r="Y21" s="686"/>
      <c r="Z21" s="650"/>
      <c r="AA21" s="708">
        <f>+G21</f>
        <v>9.5</v>
      </c>
      <c r="AB21" s="708">
        <f>+((1+Z14/100)*(1+F14/100)/(1+W14/100)-1)*100</f>
        <v>8.8659793814433119</v>
      </c>
      <c r="AC21" s="780">
        <f>+C21*G21</f>
        <v>-1.425</v>
      </c>
      <c r="AD21" s="781">
        <f>+(C21)*AB21</f>
        <v>-1.3298969072164968</v>
      </c>
      <c r="AE21" s="781">
        <f>+D21*AB21</f>
        <v>-0.88659793814433119</v>
      </c>
      <c r="AF21" s="782">
        <f>(C21+C14-D14)*AB21</f>
        <v>-0.44329896907216576</v>
      </c>
      <c r="AG21" s="782">
        <f>+C21*AA21/(1+E$26/100)</f>
        <v>-1.3157894736842106</v>
      </c>
      <c r="AH21" s="782">
        <f>+D21*AB21/(1+F$26/100)</f>
        <v>-0.83326873885745412</v>
      </c>
      <c r="AI21" s="846" t="s">
        <v>747</v>
      </c>
      <c r="AJ21" s="846" t="s">
        <v>747</v>
      </c>
      <c r="AK21" s="846"/>
      <c r="AL21" s="783" t="s">
        <v>0</v>
      </c>
      <c r="AM21" s="784" t="s">
        <v>0</v>
      </c>
    </row>
    <row r="22" spans="2:45" x14ac:dyDescent="0.2">
      <c r="B22" s="567"/>
      <c r="C22" s="588"/>
      <c r="D22" s="588"/>
      <c r="E22" s="586"/>
      <c r="F22" s="569"/>
      <c r="G22" s="586"/>
      <c r="H22" s="587"/>
      <c r="K22" s="591"/>
      <c r="L22" s="663"/>
      <c r="M22" s="609"/>
      <c r="N22" s="573"/>
      <c r="P22" s="766"/>
      <c r="R22" s="654"/>
      <c r="S22" s="655"/>
      <c r="T22" s="655"/>
      <c r="U22" s="655"/>
      <c r="V22" s="779"/>
      <c r="W22" s="817"/>
      <c r="X22" s="828"/>
      <c r="Y22" s="686"/>
      <c r="Z22" s="650"/>
      <c r="AA22" s="708"/>
      <c r="AB22" s="708"/>
      <c r="AC22" s="687"/>
      <c r="AD22" s="771"/>
      <c r="AE22" s="771"/>
      <c r="AF22" s="771"/>
      <c r="AG22" s="771"/>
      <c r="AH22" s="771"/>
      <c r="AI22" s="771"/>
      <c r="AJ22" s="771"/>
      <c r="AK22" s="771"/>
      <c r="AL22" s="783"/>
      <c r="AM22" s="784" t="s">
        <v>0</v>
      </c>
    </row>
    <row r="23" spans="2:45" x14ac:dyDescent="0.2">
      <c r="B23" s="567" t="s">
        <v>680</v>
      </c>
      <c r="C23" s="588">
        <v>-0.05</v>
      </c>
      <c r="D23" s="588">
        <v>-0.2</v>
      </c>
      <c r="E23" s="586"/>
      <c r="F23" s="569"/>
      <c r="G23" s="589">
        <v>17</v>
      </c>
      <c r="H23" s="590">
        <f>AB23</f>
        <v>17.81818181818182</v>
      </c>
      <c r="K23" s="591"/>
      <c r="L23" s="663"/>
      <c r="M23" s="663" t="s">
        <v>0</v>
      </c>
      <c r="N23" s="592">
        <f>C23*((1+AA23/100)/(1+AB23/100)-1)*(1+AB23/100)/(1+AD$26/100)</f>
        <v>3.8311855873695113E-4</v>
      </c>
      <c r="P23" s="766"/>
      <c r="R23" s="654"/>
      <c r="S23" s="655"/>
      <c r="T23" s="655">
        <f>+C23*G23</f>
        <v>-0.85000000000000009</v>
      </c>
      <c r="U23" s="655">
        <f>+D23*H23</f>
        <v>-3.5636363636363644</v>
      </c>
      <c r="V23" s="779"/>
      <c r="W23" s="817"/>
      <c r="X23" s="828"/>
      <c r="Y23" s="686"/>
      <c r="Z23" s="650"/>
      <c r="AA23" s="708">
        <f>+G23</f>
        <v>17</v>
      </c>
      <c r="AB23" s="708">
        <f>+((1+Z16/100)*(1+F16/100)/(1+W16/100)-1)*100</f>
        <v>17.81818181818182</v>
      </c>
      <c r="AC23" s="780">
        <f>+C23*G23</f>
        <v>-0.85000000000000009</v>
      </c>
      <c r="AD23" s="781">
        <f>+(C23)*AB23</f>
        <v>-0.89090909090909109</v>
      </c>
      <c r="AE23" s="781">
        <f>+D23*AB23</f>
        <v>-3.5636363636363644</v>
      </c>
      <c r="AF23" s="782">
        <f>(C23+C16-D16)*AB23</f>
        <v>-2.6727272727272733</v>
      </c>
      <c r="AG23" s="782">
        <f>+C23*AA23/(1+E$26/100)</f>
        <v>-0.78485687903970458</v>
      </c>
      <c r="AH23" s="782">
        <f>+D23*AB23/(1+F$26/100)</f>
        <v>-3.3492822966507183</v>
      </c>
      <c r="AI23" s="846" t="s">
        <v>747</v>
      </c>
      <c r="AJ23" s="846" t="s">
        <v>747</v>
      </c>
      <c r="AK23" s="846"/>
      <c r="AL23" s="783" t="s">
        <v>0</v>
      </c>
      <c r="AM23" s="784" t="s">
        <v>0</v>
      </c>
    </row>
    <row r="24" spans="2:45" ht="13.5" thickBot="1" x14ac:dyDescent="0.25">
      <c r="B24" s="567"/>
      <c r="C24" s="588"/>
      <c r="D24" s="588"/>
      <c r="E24" s="586"/>
      <c r="F24" s="569"/>
      <c r="G24" s="589"/>
      <c r="H24" s="590"/>
      <c r="K24" s="847"/>
      <c r="L24" s="848"/>
      <c r="M24" s="848"/>
      <c r="N24" s="615"/>
      <c r="P24" s="766"/>
      <c r="R24" s="654"/>
      <c r="S24" s="655"/>
      <c r="T24" s="655"/>
      <c r="U24" s="655"/>
      <c r="V24" s="779"/>
      <c r="W24" s="817"/>
      <c r="X24" s="828"/>
      <c r="Y24" s="686"/>
      <c r="Z24" s="650"/>
      <c r="AA24" s="650"/>
      <c r="AB24" s="650"/>
      <c r="AC24" s="780"/>
      <c r="AD24" s="781"/>
      <c r="AE24" s="781"/>
      <c r="AF24" s="783"/>
      <c r="AG24" s="782"/>
      <c r="AH24" s="782"/>
      <c r="AI24" s="783"/>
      <c r="AJ24" s="771"/>
      <c r="AK24" s="771"/>
      <c r="AL24" s="783"/>
      <c r="AM24" s="784"/>
    </row>
    <row r="25" spans="2:45" x14ac:dyDescent="0.2">
      <c r="B25" s="664"/>
      <c r="C25" s="665"/>
      <c r="D25" s="665"/>
      <c r="E25" s="666"/>
      <c r="F25" s="559"/>
      <c r="G25" s="666"/>
      <c r="H25" s="667"/>
      <c r="K25" s="591"/>
      <c r="L25" s="663"/>
      <c r="M25" s="609"/>
      <c r="N25" s="573"/>
      <c r="P25" s="766"/>
      <c r="R25" s="788"/>
      <c r="S25" s="789"/>
      <c r="T25" s="789"/>
      <c r="U25" s="789"/>
      <c r="V25" s="790"/>
      <c r="W25" s="815"/>
      <c r="X25" s="833"/>
      <c r="Y25" s="681"/>
      <c r="Z25" s="791"/>
      <c r="AA25" s="791"/>
      <c r="AB25" s="791"/>
      <c r="AC25" s="687"/>
      <c r="AD25" s="771"/>
      <c r="AE25" s="771"/>
      <c r="AF25" s="771"/>
      <c r="AG25" s="771"/>
      <c r="AH25" s="771"/>
      <c r="AI25" s="771"/>
      <c r="AJ25" s="771"/>
      <c r="AK25" s="771"/>
      <c r="AL25" s="771"/>
      <c r="AM25" s="688"/>
    </row>
    <row r="26" spans="2:45" ht="16.5" thickBot="1" x14ac:dyDescent="0.3">
      <c r="B26" s="595" t="s">
        <v>16</v>
      </c>
      <c r="C26" s="596">
        <f>SUM(C12:C23)</f>
        <v>1</v>
      </c>
      <c r="D26" s="596">
        <v>1</v>
      </c>
      <c r="E26" s="598">
        <f>+R26</f>
        <v>8.3000000000000007</v>
      </c>
      <c r="F26" s="792">
        <f>+S26</f>
        <v>6.4</v>
      </c>
      <c r="G26" s="668">
        <f>+T26</f>
        <v>15.535000000000002</v>
      </c>
      <c r="H26" s="669">
        <f>+U26</f>
        <v>12.509765698219313</v>
      </c>
      <c r="J26" s="600"/>
      <c r="K26" s="601">
        <f>SUM(K12:K24)</f>
        <v>-1.2218045112781972E-2</v>
      </c>
      <c r="L26" s="793">
        <f>SUM(L12:L24)</f>
        <v>2.9467680608365007E-2</v>
      </c>
      <c r="M26" s="793">
        <f>SUM(M12:M16)</f>
        <v>1.2640559182252792E-2</v>
      </c>
      <c r="N26" s="602">
        <f>SUM(N12:N23)</f>
        <v>2.2043525370487533E-3</v>
      </c>
      <c r="P26" s="766"/>
      <c r="R26" s="794">
        <f>SUM(R12:R16)</f>
        <v>8.3000000000000007</v>
      </c>
      <c r="S26" s="795">
        <f>SUM(S12:S16)</f>
        <v>6.4</v>
      </c>
      <c r="T26" s="795">
        <f>SUM(T12:T23)</f>
        <v>15.535000000000002</v>
      </c>
      <c r="U26" s="795">
        <f>SUM(U12:U23)</f>
        <v>12.509765698219313</v>
      </c>
      <c r="V26" s="796">
        <f>SUM(V12:V16)</f>
        <v>5.1999999999999993</v>
      </c>
      <c r="W26" s="819"/>
      <c r="X26" s="618">
        <f>SUM(X12:X16)</f>
        <v>5.0999999999999996</v>
      </c>
      <c r="Y26" s="797">
        <f>((1+G26/100)/(1+E26/100)-1)*100</f>
        <v>6.6805170821791382</v>
      </c>
      <c r="Z26" s="798">
        <f>((1+H26/100)/(1+F26/100)-1)*100</f>
        <v>5.7422609945670056</v>
      </c>
      <c r="AA26" s="661"/>
      <c r="AB26" s="661"/>
      <c r="AC26" s="799">
        <f>SUM(AC12:AC23)</f>
        <v>7.014572989076461</v>
      </c>
      <c r="AD26" s="782">
        <f>SUM(AD12:AD23)</f>
        <v>6.7791940018744121</v>
      </c>
      <c r="AE26" s="782">
        <f>SUM(AE12:AE23)</f>
        <v>5.5497656982193053</v>
      </c>
      <c r="AF26" s="782">
        <f>SUM(AF12:AF24)</f>
        <v>6.8839737582005611</v>
      </c>
      <c r="AG26" s="782">
        <f>SUM(AG12:AG23)</f>
        <v>6.6805170821791293</v>
      </c>
      <c r="AH26" s="782">
        <f>SUM(AH12:AH23)</f>
        <v>5.7422609945670153</v>
      </c>
      <c r="AI26" s="783">
        <f>SUM(AI12:AI24)</f>
        <v>-9.8031306885340281E-4</v>
      </c>
      <c r="AJ26" s="783">
        <f>SUM(AJ12:AJ16)</f>
        <v>9.5147478591817863E-4</v>
      </c>
      <c r="AK26" s="783" t="s">
        <v>0</v>
      </c>
      <c r="AL26" s="783" t="s">
        <v>0</v>
      </c>
      <c r="AM26" s="784" t="s">
        <v>0</v>
      </c>
    </row>
    <row r="27" spans="2:45" x14ac:dyDescent="0.2">
      <c r="M27" s="562"/>
      <c r="N27" s="563"/>
      <c r="P27" s="766"/>
      <c r="AC27" s="799" t="s">
        <v>0</v>
      </c>
      <c r="AD27" s="782" t="s">
        <v>0</v>
      </c>
      <c r="AE27" s="782" t="s">
        <v>0</v>
      </c>
      <c r="AF27" s="849" t="s">
        <v>223</v>
      </c>
      <c r="AG27" s="801">
        <f>+(1+G26/100)/(1+E26/100)-1</f>
        <v>6.6805170821791382E-2</v>
      </c>
      <c r="AH27" s="801">
        <f>+(1+H26/100)/(1+F26/100)-1</f>
        <v>5.7422609945670056E-2</v>
      </c>
      <c r="AI27" s="801">
        <f>+(1+AD26/100)/(1+AF26/100)-1</f>
        <v>-9.8031306885337788E-4</v>
      </c>
      <c r="AJ27" s="801">
        <f>+(1+V26/100)/(1+X26/100)-1</f>
        <v>9.5147478591828261E-4</v>
      </c>
      <c r="AK27" s="800">
        <f>(1+AI26)*(1+AJ26)-1</f>
        <v>-2.9771026102465292E-5</v>
      </c>
      <c r="AL27" s="801">
        <f>+(1+AG26/100)/(1+AC26/100)-1</f>
        <v>-3.1215926725365328E-3</v>
      </c>
      <c r="AM27" s="850">
        <f>+(1+AE26/100)/(1+AH26/100)-1</f>
        <v>-1.8204197123947718E-3</v>
      </c>
    </row>
    <row r="28" spans="2:45" ht="13.5" thickBot="1" x14ac:dyDescent="0.25">
      <c r="M28" s="613" t="s">
        <v>748</v>
      </c>
      <c r="N28" s="602">
        <f>+AK30</f>
        <v>-4.9659538425960159E-3</v>
      </c>
      <c r="P28" s="766"/>
      <c r="AC28" s="687"/>
      <c r="AD28" s="771"/>
      <c r="AE28" s="771"/>
      <c r="AF28" s="771"/>
      <c r="AG28" s="771"/>
      <c r="AH28" s="771"/>
      <c r="AI28" s="771"/>
      <c r="AJ28" s="771"/>
      <c r="AK28" s="771"/>
      <c r="AL28" s="783"/>
      <c r="AM28" s="784"/>
      <c r="AP28" s="803"/>
      <c r="AS28" s="803" t="s">
        <v>0</v>
      </c>
    </row>
    <row r="29" spans="2:45" ht="15.75" thickBot="1" x14ac:dyDescent="0.3">
      <c r="P29" s="766"/>
      <c r="R29" s="556" t="s">
        <v>0</v>
      </c>
      <c r="V29" s="837" t="s">
        <v>737</v>
      </c>
      <c r="W29" s="838"/>
      <c r="X29" s="839">
        <f>+(1+X26/100)/(1+V26/100)-1</f>
        <v>-9.505703422054701E-4</v>
      </c>
      <c r="Y29" s="803"/>
      <c r="Z29" s="556" t="s">
        <v>0</v>
      </c>
      <c r="AC29" s="687"/>
      <c r="AD29" s="771"/>
      <c r="AE29" s="783" t="s">
        <v>0</v>
      </c>
      <c r="AF29" s="771"/>
      <c r="AG29" s="771" t="s">
        <v>0</v>
      </c>
      <c r="AH29" s="783" t="s">
        <v>0</v>
      </c>
      <c r="AI29" s="783"/>
      <c r="AJ29" s="771"/>
      <c r="AK29" s="771"/>
      <c r="AL29" s="771"/>
      <c r="AM29" s="784" t="s">
        <v>0</v>
      </c>
    </row>
    <row r="30" spans="2:45" ht="16.5" thickBot="1" x14ac:dyDescent="0.3">
      <c r="K30" s="619" t="s">
        <v>507</v>
      </c>
      <c r="L30" s="716"/>
      <c r="M30" s="621">
        <f>(1+G26/100)/(1+H26/100)-1</f>
        <v>2.6888637470769972E-2</v>
      </c>
      <c r="P30" s="766"/>
      <c r="X30" s="851" t="s">
        <v>0</v>
      </c>
      <c r="AC30" s="776"/>
      <c r="AD30" s="777"/>
      <c r="AE30" s="777"/>
      <c r="AF30" s="777"/>
      <c r="AG30" s="777" t="s">
        <v>0</v>
      </c>
      <c r="AH30" s="852" t="s">
        <v>0</v>
      </c>
      <c r="AI30" s="852"/>
      <c r="AJ30" s="777" t="s">
        <v>748</v>
      </c>
      <c r="AK30" s="852">
        <f>(1+AK27)*(1+AL27)*(1+AM27)-1</f>
        <v>-4.9659538425960159E-3</v>
      </c>
      <c r="AL30" s="777"/>
      <c r="AM30" s="778"/>
    </row>
    <row r="31" spans="2:45" x14ac:dyDescent="0.2">
      <c r="K31" s="622"/>
      <c r="L31" s="609"/>
      <c r="M31" s="763"/>
      <c r="P31" s="766"/>
      <c r="R31" s="556" t="s">
        <v>223</v>
      </c>
      <c r="X31" s="851"/>
      <c r="AH31" s="556" t="s">
        <v>0</v>
      </c>
    </row>
    <row r="32" spans="2:45" x14ac:dyDescent="0.2">
      <c r="K32" s="622" t="s">
        <v>476</v>
      </c>
      <c r="L32" s="609"/>
      <c r="M32" s="624">
        <f>+K26</f>
        <v>-1.2218045112781972E-2</v>
      </c>
      <c r="P32" s="766"/>
      <c r="R32" s="764">
        <f>+(1+X26/100)/(1+F26/100)-1</f>
        <v>-1.2218045112782017E-2</v>
      </c>
      <c r="AH32" s="556" t="s">
        <v>0</v>
      </c>
    </row>
    <row r="33" spans="11:34" x14ac:dyDescent="0.2">
      <c r="K33" s="622" t="s">
        <v>484</v>
      </c>
      <c r="L33" s="609"/>
      <c r="M33" s="624">
        <f>+L26</f>
        <v>2.9467680608365007E-2</v>
      </c>
      <c r="P33" s="766"/>
      <c r="R33" s="805">
        <f>+(1+E26/100)/(1+V26/100)-1</f>
        <v>2.946768060836491E-2</v>
      </c>
      <c r="AH33" s="556" t="s">
        <v>0</v>
      </c>
    </row>
    <row r="34" spans="11:34" x14ac:dyDescent="0.2">
      <c r="K34" s="622" t="s">
        <v>359</v>
      </c>
      <c r="L34" s="609"/>
      <c r="M34" s="624">
        <f>+M26</f>
        <v>1.2640559182252792E-2</v>
      </c>
      <c r="P34" s="766"/>
      <c r="R34" s="805">
        <f>+(1+AF26/100)/(1+AE26/100)-1</f>
        <v>1.2640559182252709E-2</v>
      </c>
      <c r="AH34" s="556" t="s">
        <v>0</v>
      </c>
    </row>
    <row r="35" spans="11:34" x14ac:dyDescent="0.2">
      <c r="K35" s="622" t="s">
        <v>725</v>
      </c>
      <c r="L35" s="609"/>
      <c r="M35" s="624">
        <f>+N26</f>
        <v>2.2043525370487533E-3</v>
      </c>
      <c r="P35" s="766"/>
      <c r="R35" s="765">
        <f>+(1+AC26/100)/(1+AD26/100)-1</f>
        <v>2.2043525370487593E-3</v>
      </c>
    </row>
    <row r="36" spans="11:34" x14ac:dyDescent="0.2">
      <c r="K36" s="622" t="s">
        <v>749</v>
      </c>
      <c r="L36" s="609"/>
      <c r="M36" s="624">
        <f>+N28</f>
        <v>-4.9659538425960159E-3</v>
      </c>
      <c r="P36" s="766"/>
    </row>
    <row r="37" spans="11:34" x14ac:dyDescent="0.2">
      <c r="K37" s="625" t="s">
        <v>524</v>
      </c>
      <c r="L37" s="626"/>
      <c r="M37" s="627">
        <f>(1+M30)/((1+M32)*(1+M33)*(1+M34)*(1+M35)*(1+M36))-1</f>
        <v>0</v>
      </c>
      <c r="P37" s="766"/>
    </row>
  </sheetData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5841" r:id="rId4">
          <objectPr defaultSize="0" autoPict="0" r:id="rId5">
            <anchor moveWithCells="1" sizeWithCells="1">
              <from>
                <xdr:col>28</xdr:col>
                <xdr:colOff>171450</xdr:colOff>
                <xdr:row>7</xdr:row>
                <xdr:rowOff>66675</xdr:rowOff>
              </from>
              <to>
                <xdr:col>28</xdr:col>
                <xdr:colOff>333375</xdr:colOff>
                <xdr:row>8</xdr:row>
                <xdr:rowOff>95250</xdr:rowOff>
              </to>
            </anchor>
          </objectPr>
        </oleObject>
      </mc:Choice>
      <mc:Fallback>
        <oleObject progId="Equation.3" shapeId="35841" r:id="rId4"/>
      </mc:Fallback>
    </mc:AlternateContent>
    <mc:AlternateContent xmlns:mc="http://schemas.openxmlformats.org/markup-compatibility/2006">
      <mc:Choice Requires="x14">
        <oleObject progId="Equation.3" shapeId="35842" r:id="rId6">
          <objectPr defaultSize="0" autoPict="0" r:id="rId7">
            <anchor moveWithCells="1" sizeWithCells="1">
              <from>
                <xdr:col>30</xdr:col>
                <xdr:colOff>209550</xdr:colOff>
                <xdr:row>7</xdr:row>
                <xdr:rowOff>47625</xdr:rowOff>
              </from>
              <to>
                <xdr:col>30</xdr:col>
                <xdr:colOff>390525</xdr:colOff>
                <xdr:row>8</xdr:row>
                <xdr:rowOff>76200</xdr:rowOff>
              </to>
            </anchor>
          </objectPr>
        </oleObject>
      </mc:Choice>
      <mc:Fallback>
        <oleObject progId="Equation.3" shapeId="35842" r:id="rId6"/>
      </mc:Fallback>
    </mc:AlternateContent>
    <mc:AlternateContent xmlns:mc="http://schemas.openxmlformats.org/markup-compatibility/2006">
      <mc:Choice Requires="x14">
        <oleObject progId="Equation.3" shapeId="35843" r:id="rId8">
          <objectPr defaultSize="0" autoPict="0" r:id="rId9">
            <anchor moveWithCells="1" sizeWithCells="1">
              <from>
                <xdr:col>29</xdr:col>
                <xdr:colOff>190500</xdr:colOff>
                <xdr:row>7</xdr:row>
                <xdr:rowOff>57150</xdr:rowOff>
              </from>
              <to>
                <xdr:col>29</xdr:col>
                <xdr:colOff>400050</xdr:colOff>
                <xdr:row>8</xdr:row>
                <xdr:rowOff>85725</xdr:rowOff>
              </to>
            </anchor>
          </objectPr>
        </oleObject>
      </mc:Choice>
      <mc:Fallback>
        <oleObject progId="Equation.3" shapeId="35843" r:id="rId8"/>
      </mc:Fallback>
    </mc:AlternateContent>
    <mc:AlternateContent xmlns:mc="http://schemas.openxmlformats.org/markup-compatibility/2006">
      <mc:Choice Requires="x14">
        <oleObject progId="Equation.3" shapeId="35844" r:id="rId10">
          <objectPr defaultSize="0" autoPict="0" r:id="rId11">
            <anchor moveWithCells="1" sizeWithCells="1">
              <from>
                <xdr:col>31</xdr:col>
                <xdr:colOff>209550</xdr:colOff>
                <xdr:row>7</xdr:row>
                <xdr:rowOff>38100</xdr:rowOff>
              </from>
              <to>
                <xdr:col>31</xdr:col>
                <xdr:colOff>438150</xdr:colOff>
                <xdr:row>8</xdr:row>
                <xdr:rowOff>66675</xdr:rowOff>
              </to>
            </anchor>
          </objectPr>
        </oleObject>
      </mc:Choice>
      <mc:Fallback>
        <oleObject progId="Equation.3" shapeId="35844" r:id="rId10"/>
      </mc:Fallback>
    </mc:AlternateContent>
    <mc:AlternateContent xmlns:mc="http://schemas.openxmlformats.org/markup-compatibility/2006">
      <mc:Choice Requires="x14">
        <oleObject progId="Equation.3" shapeId="35845" r:id="rId12">
          <objectPr defaultSize="0" autoPict="0" r:id="rId13">
            <anchor moveWithCells="1" sizeWithCells="1">
              <from>
                <xdr:col>19</xdr:col>
                <xdr:colOff>66675</xdr:colOff>
                <xdr:row>7</xdr:row>
                <xdr:rowOff>19050</xdr:rowOff>
              </from>
              <to>
                <xdr:col>19</xdr:col>
                <xdr:colOff>219075</xdr:colOff>
                <xdr:row>7</xdr:row>
                <xdr:rowOff>180975</xdr:rowOff>
              </to>
            </anchor>
          </objectPr>
        </oleObject>
      </mc:Choice>
      <mc:Fallback>
        <oleObject progId="Equation.3" shapeId="35845" r:id="rId12"/>
      </mc:Fallback>
    </mc:AlternateContent>
    <mc:AlternateContent xmlns:mc="http://schemas.openxmlformats.org/markup-compatibility/2006">
      <mc:Choice Requires="x14">
        <oleObject progId="Equation.3" shapeId="35846" r:id="rId14">
          <objectPr defaultSize="0" autoPict="0" r:id="rId15">
            <anchor moveWithCells="1" sizeWithCells="1">
              <from>
                <xdr:col>20</xdr:col>
                <xdr:colOff>161925</xdr:colOff>
                <xdr:row>7</xdr:row>
                <xdr:rowOff>0</xdr:rowOff>
              </from>
              <to>
                <xdr:col>20</xdr:col>
                <xdr:colOff>285750</xdr:colOff>
                <xdr:row>7</xdr:row>
                <xdr:rowOff>180975</xdr:rowOff>
              </to>
            </anchor>
          </objectPr>
        </oleObject>
      </mc:Choice>
      <mc:Fallback>
        <oleObject progId="Equation.3" shapeId="35846" r:id="rId14"/>
      </mc:Fallback>
    </mc:AlternateContent>
    <mc:AlternateContent xmlns:mc="http://schemas.openxmlformats.org/markup-compatibility/2006">
      <mc:Choice Requires="x14">
        <oleObject progId="Equation.3" shapeId="35847" r:id="rId16">
          <objectPr defaultSize="0" autoPict="0" r:id="rId17">
            <anchor moveWithCells="1" sizeWithCells="1">
              <from>
                <xdr:col>17</xdr:col>
                <xdr:colOff>266700</xdr:colOff>
                <xdr:row>6</xdr:row>
                <xdr:rowOff>180975</xdr:rowOff>
              </from>
              <to>
                <xdr:col>17</xdr:col>
                <xdr:colOff>419100</xdr:colOff>
                <xdr:row>8</xdr:row>
                <xdr:rowOff>0</xdr:rowOff>
              </to>
            </anchor>
          </objectPr>
        </oleObject>
      </mc:Choice>
      <mc:Fallback>
        <oleObject progId="Equation.3" shapeId="35847" r:id="rId16"/>
      </mc:Fallback>
    </mc:AlternateContent>
    <mc:AlternateContent xmlns:mc="http://schemas.openxmlformats.org/markup-compatibility/2006">
      <mc:Choice Requires="x14">
        <oleObject progId="Equation.3" shapeId="35848" r:id="rId18">
          <objectPr defaultSize="0" autoPict="0" r:id="rId19">
            <anchor moveWithCells="1" sizeWithCells="1">
              <from>
                <xdr:col>18</xdr:col>
                <xdr:colOff>142875</xdr:colOff>
                <xdr:row>6</xdr:row>
                <xdr:rowOff>171450</xdr:rowOff>
              </from>
              <to>
                <xdr:col>18</xdr:col>
                <xdr:colOff>323850</xdr:colOff>
                <xdr:row>7</xdr:row>
                <xdr:rowOff>190500</xdr:rowOff>
              </to>
            </anchor>
          </objectPr>
        </oleObject>
      </mc:Choice>
      <mc:Fallback>
        <oleObject progId="Equation.3" shapeId="35848" r:id="rId18"/>
      </mc:Fallback>
    </mc:AlternateContent>
    <mc:AlternateContent xmlns:mc="http://schemas.openxmlformats.org/markup-compatibility/2006">
      <mc:Choice Requires="x14">
        <oleObject progId="Equation.3" shapeId="35849" r:id="rId20">
          <objectPr defaultSize="0" autoPict="0" r:id="rId21">
            <anchor moveWithCells="1" sizeWithCells="1">
              <from>
                <xdr:col>21</xdr:col>
                <xdr:colOff>180975</xdr:colOff>
                <xdr:row>7</xdr:row>
                <xdr:rowOff>9525</xdr:rowOff>
              </from>
              <to>
                <xdr:col>21</xdr:col>
                <xdr:colOff>400050</xdr:colOff>
                <xdr:row>8</xdr:row>
                <xdr:rowOff>38100</xdr:rowOff>
              </to>
            </anchor>
          </objectPr>
        </oleObject>
      </mc:Choice>
      <mc:Fallback>
        <oleObject progId="Equation.3" shapeId="35849" r:id="rId20"/>
      </mc:Fallback>
    </mc:AlternateContent>
    <mc:AlternateContent xmlns:mc="http://schemas.openxmlformats.org/markup-compatibility/2006">
      <mc:Choice Requires="x14">
        <oleObject progId="Equation.3" shapeId="35850" r:id="rId22">
          <objectPr defaultSize="0" autoPict="0" r:id="rId23">
            <anchor moveWithCells="1" sizeWithCells="1">
              <from>
                <xdr:col>22</xdr:col>
                <xdr:colOff>219075</xdr:colOff>
                <xdr:row>7</xdr:row>
                <xdr:rowOff>9525</xdr:rowOff>
              </from>
              <to>
                <xdr:col>22</xdr:col>
                <xdr:colOff>438150</xdr:colOff>
                <xdr:row>8</xdr:row>
                <xdr:rowOff>38100</xdr:rowOff>
              </to>
            </anchor>
          </objectPr>
        </oleObject>
      </mc:Choice>
      <mc:Fallback>
        <oleObject progId="Equation.3" shapeId="35850" r:id="rId22"/>
      </mc:Fallback>
    </mc:AlternateContent>
    <mc:AlternateContent xmlns:mc="http://schemas.openxmlformats.org/markup-compatibility/2006">
      <mc:Choice Requires="x14">
        <oleObject progId="Equation.3" shapeId="35851" r:id="rId24">
          <objectPr defaultSize="0" autoPict="0" r:id="rId25">
            <anchor moveWithCells="1" sizeWithCells="1">
              <from>
                <xdr:col>23</xdr:col>
                <xdr:colOff>219075</xdr:colOff>
                <xdr:row>7</xdr:row>
                <xdr:rowOff>28575</xdr:rowOff>
              </from>
              <to>
                <xdr:col>23</xdr:col>
                <xdr:colOff>457200</xdr:colOff>
                <xdr:row>8</xdr:row>
                <xdr:rowOff>57150</xdr:rowOff>
              </to>
            </anchor>
          </objectPr>
        </oleObject>
      </mc:Choice>
      <mc:Fallback>
        <oleObject progId="Equation.3" shapeId="35851" r:id="rId24"/>
      </mc:Fallback>
    </mc:AlternateContent>
    <mc:AlternateContent xmlns:mc="http://schemas.openxmlformats.org/markup-compatibility/2006">
      <mc:Choice Requires="x14">
        <oleObject progId="Equation.3" shapeId="35852" r:id="rId26">
          <objectPr defaultSize="0" autoPict="0" r:id="rId27">
            <anchor moveWithCells="1" sizeWithCells="1">
              <from>
                <xdr:col>24</xdr:col>
                <xdr:colOff>314325</xdr:colOff>
                <xdr:row>7</xdr:row>
                <xdr:rowOff>38100</xdr:rowOff>
              </from>
              <to>
                <xdr:col>24</xdr:col>
                <xdr:colOff>466725</xdr:colOff>
                <xdr:row>8</xdr:row>
                <xdr:rowOff>66675</xdr:rowOff>
              </to>
            </anchor>
          </objectPr>
        </oleObject>
      </mc:Choice>
      <mc:Fallback>
        <oleObject progId="Equation.3" shapeId="35852" r:id="rId26"/>
      </mc:Fallback>
    </mc:AlternateContent>
    <mc:AlternateContent xmlns:mc="http://schemas.openxmlformats.org/markup-compatibility/2006">
      <mc:Choice Requires="x14">
        <oleObject progId="Equation.3" shapeId="35853" r:id="rId28">
          <objectPr defaultSize="0" autoPict="0" r:id="rId29">
            <anchor moveWithCells="1" sizeWithCells="1">
              <from>
                <xdr:col>25</xdr:col>
                <xdr:colOff>257175</xdr:colOff>
                <xdr:row>7</xdr:row>
                <xdr:rowOff>47625</xdr:rowOff>
              </from>
              <to>
                <xdr:col>25</xdr:col>
                <xdr:colOff>409575</xdr:colOff>
                <xdr:row>8</xdr:row>
                <xdr:rowOff>76200</xdr:rowOff>
              </to>
            </anchor>
          </objectPr>
        </oleObject>
      </mc:Choice>
      <mc:Fallback>
        <oleObject progId="Equation.3" shapeId="35853" r:id="rId28"/>
      </mc:Fallback>
    </mc:AlternateContent>
    <mc:AlternateContent xmlns:mc="http://schemas.openxmlformats.org/markup-compatibility/2006">
      <mc:Choice Requires="x14">
        <oleObject progId="Equation.3" shapeId="35854" r:id="rId30">
          <objectPr defaultSize="0" autoPict="0" r:id="rId31">
            <anchor moveWithCells="1" sizeWithCells="1">
              <from>
                <xdr:col>27</xdr:col>
                <xdr:colOff>180975</xdr:colOff>
                <xdr:row>7</xdr:row>
                <xdr:rowOff>28575</xdr:rowOff>
              </from>
              <to>
                <xdr:col>27</xdr:col>
                <xdr:colOff>342900</xdr:colOff>
                <xdr:row>8</xdr:row>
                <xdr:rowOff>57150</xdr:rowOff>
              </to>
            </anchor>
          </objectPr>
        </oleObject>
      </mc:Choice>
      <mc:Fallback>
        <oleObject progId="Equation.3" shapeId="35854" r:id="rId30"/>
      </mc:Fallback>
    </mc:AlternateContent>
    <mc:AlternateContent xmlns:mc="http://schemas.openxmlformats.org/markup-compatibility/2006">
      <mc:Choice Requires="x14">
        <oleObject progId="Equation.3" shapeId="35855" r:id="rId32">
          <objectPr defaultSize="0" autoPict="0" r:id="rId33">
            <anchor moveWithCells="1" sizeWithCells="1">
              <from>
                <xdr:col>26</xdr:col>
                <xdr:colOff>161925</xdr:colOff>
                <xdr:row>7</xdr:row>
                <xdr:rowOff>47625</xdr:rowOff>
              </from>
              <to>
                <xdr:col>26</xdr:col>
                <xdr:colOff>352425</xdr:colOff>
                <xdr:row>8</xdr:row>
                <xdr:rowOff>76200</xdr:rowOff>
              </to>
            </anchor>
          </objectPr>
        </oleObject>
      </mc:Choice>
      <mc:Fallback>
        <oleObject progId="Equation.3" shapeId="35855" r:id="rId32"/>
      </mc:Fallback>
    </mc:AlternateContent>
    <mc:AlternateContent xmlns:mc="http://schemas.openxmlformats.org/markup-compatibility/2006">
      <mc:Choice Requires="x14">
        <oleObject progId="Equation.3" shapeId="35856" r:id="rId34">
          <objectPr defaultSize="0" autoPict="0" r:id="rId35">
            <anchor moveWithCells="1" sizeWithCells="1">
              <from>
                <xdr:col>32</xdr:col>
                <xdr:colOff>266700</xdr:colOff>
                <xdr:row>7</xdr:row>
                <xdr:rowOff>47625</xdr:rowOff>
              </from>
              <to>
                <xdr:col>32</xdr:col>
                <xdr:colOff>438150</xdr:colOff>
                <xdr:row>8</xdr:row>
                <xdr:rowOff>76200</xdr:rowOff>
              </to>
            </anchor>
          </objectPr>
        </oleObject>
      </mc:Choice>
      <mc:Fallback>
        <oleObject progId="Equation.3" shapeId="35856" r:id="rId34"/>
      </mc:Fallback>
    </mc:AlternateContent>
    <mc:AlternateContent xmlns:mc="http://schemas.openxmlformats.org/markup-compatibility/2006">
      <mc:Choice Requires="x14">
        <oleObject progId="Equation.3" shapeId="35857" r:id="rId36">
          <objectPr defaultSize="0" autoPict="0" r:id="rId37">
            <anchor moveWithCells="1" sizeWithCells="1">
              <from>
                <xdr:col>33</xdr:col>
                <xdr:colOff>228600</xdr:colOff>
                <xdr:row>7</xdr:row>
                <xdr:rowOff>57150</xdr:rowOff>
              </from>
              <to>
                <xdr:col>33</xdr:col>
                <xdr:colOff>409575</xdr:colOff>
                <xdr:row>8</xdr:row>
                <xdr:rowOff>85725</xdr:rowOff>
              </to>
            </anchor>
          </objectPr>
        </oleObject>
      </mc:Choice>
      <mc:Fallback>
        <oleObject progId="Equation.3" shapeId="35857" r:id="rId36"/>
      </mc:Fallback>
    </mc:AlternateContent>
    <mc:AlternateContent xmlns:mc="http://schemas.openxmlformats.org/markup-compatibility/2006">
      <mc:Choice Requires="x14">
        <oleObject progId="Equation.3" shapeId="35858" r:id="rId38">
          <objectPr defaultSize="0" autoPict="0" r:id="rId23">
            <anchor moveWithCells="1" sizeWithCells="1">
              <from>
                <xdr:col>8</xdr:col>
                <xdr:colOff>247650</xdr:colOff>
                <xdr:row>7</xdr:row>
                <xdr:rowOff>85725</xdr:rowOff>
              </from>
              <to>
                <xdr:col>8</xdr:col>
                <xdr:colOff>466725</xdr:colOff>
                <xdr:row>8</xdr:row>
                <xdr:rowOff>114300</xdr:rowOff>
              </to>
            </anchor>
          </objectPr>
        </oleObject>
      </mc:Choice>
      <mc:Fallback>
        <oleObject progId="Equation.3" shapeId="35858" r:id="rId38"/>
      </mc:Fallback>
    </mc:AlternateContent>
    <mc:AlternateContent xmlns:mc="http://schemas.openxmlformats.org/markup-compatibility/2006">
      <mc:Choice Requires="x14">
        <oleObject progId="Equation.3" shapeId="35859" r:id="rId39">
          <objectPr defaultSize="0" autoPict="0" r:id="rId40">
            <anchor moveWithCells="1" sizeWithCells="1">
              <from>
                <xdr:col>2</xdr:col>
                <xdr:colOff>228600</xdr:colOff>
                <xdr:row>7</xdr:row>
                <xdr:rowOff>38100</xdr:rowOff>
              </from>
              <to>
                <xdr:col>2</xdr:col>
                <xdr:colOff>409575</xdr:colOff>
                <xdr:row>8</xdr:row>
                <xdr:rowOff>66675</xdr:rowOff>
              </to>
            </anchor>
          </objectPr>
        </oleObject>
      </mc:Choice>
      <mc:Fallback>
        <oleObject progId="Equation.3" shapeId="35859" r:id="rId39"/>
      </mc:Fallback>
    </mc:AlternateContent>
    <mc:AlternateContent xmlns:mc="http://schemas.openxmlformats.org/markup-compatibility/2006">
      <mc:Choice Requires="x14">
        <oleObject progId="Equation.3" shapeId="35860" r:id="rId41">
          <objectPr defaultSize="0" autoPict="0" r:id="rId42">
            <anchor moveWithCells="1" sizeWithCells="1">
              <from>
                <xdr:col>3</xdr:col>
                <xdr:colOff>238125</xdr:colOff>
                <xdr:row>7</xdr:row>
                <xdr:rowOff>66675</xdr:rowOff>
              </from>
              <to>
                <xdr:col>3</xdr:col>
                <xdr:colOff>428625</xdr:colOff>
                <xdr:row>8</xdr:row>
                <xdr:rowOff>95250</xdr:rowOff>
              </to>
            </anchor>
          </objectPr>
        </oleObject>
      </mc:Choice>
      <mc:Fallback>
        <oleObject progId="Equation.3" shapeId="35860" r:id="rId41"/>
      </mc:Fallback>
    </mc:AlternateContent>
    <mc:AlternateContent xmlns:mc="http://schemas.openxmlformats.org/markup-compatibility/2006">
      <mc:Choice Requires="x14">
        <oleObject progId="Equation.3" shapeId="35861" r:id="rId43">
          <objectPr defaultSize="0" autoPict="0" r:id="rId44">
            <anchor moveWithCells="1" sizeWithCells="1">
              <from>
                <xdr:col>4</xdr:col>
                <xdr:colOff>352425</xdr:colOff>
                <xdr:row>7</xdr:row>
                <xdr:rowOff>57150</xdr:rowOff>
              </from>
              <to>
                <xdr:col>4</xdr:col>
                <xdr:colOff>533400</xdr:colOff>
                <xdr:row>8</xdr:row>
                <xdr:rowOff>85725</xdr:rowOff>
              </to>
            </anchor>
          </objectPr>
        </oleObject>
      </mc:Choice>
      <mc:Fallback>
        <oleObject progId="Equation.3" shapeId="35861" r:id="rId43"/>
      </mc:Fallback>
    </mc:AlternateContent>
    <mc:AlternateContent xmlns:mc="http://schemas.openxmlformats.org/markup-compatibility/2006">
      <mc:Choice Requires="x14">
        <oleObject progId="Equation.3" shapeId="35862" r:id="rId45">
          <objectPr defaultSize="0" autoPict="0" r:id="rId46">
            <anchor moveWithCells="1" sizeWithCells="1">
              <from>
                <xdr:col>5</xdr:col>
                <xdr:colOff>247650</xdr:colOff>
                <xdr:row>7</xdr:row>
                <xdr:rowOff>47625</xdr:rowOff>
              </from>
              <to>
                <xdr:col>5</xdr:col>
                <xdr:colOff>438150</xdr:colOff>
                <xdr:row>8</xdr:row>
                <xdr:rowOff>76200</xdr:rowOff>
              </to>
            </anchor>
          </objectPr>
        </oleObject>
      </mc:Choice>
      <mc:Fallback>
        <oleObject progId="Equation.3" shapeId="35862" r:id="rId45"/>
      </mc:Fallback>
    </mc:AlternateContent>
    <mc:AlternateContent xmlns:mc="http://schemas.openxmlformats.org/markup-compatibility/2006">
      <mc:Choice Requires="x14">
        <oleObject progId="Equation.3" shapeId="35863" r:id="rId47">
          <objectPr defaultSize="0" autoPict="0" r:id="rId48">
            <anchor moveWithCells="1" sizeWithCells="1">
              <from>
                <xdr:col>6</xdr:col>
                <xdr:colOff>333375</xdr:colOff>
                <xdr:row>7</xdr:row>
                <xdr:rowOff>47625</xdr:rowOff>
              </from>
              <to>
                <xdr:col>6</xdr:col>
                <xdr:colOff>457200</xdr:colOff>
                <xdr:row>8</xdr:row>
                <xdr:rowOff>76200</xdr:rowOff>
              </to>
            </anchor>
          </objectPr>
        </oleObject>
      </mc:Choice>
      <mc:Fallback>
        <oleObject progId="Equation.3" shapeId="35863" r:id="rId47"/>
      </mc:Fallback>
    </mc:AlternateContent>
    <mc:AlternateContent xmlns:mc="http://schemas.openxmlformats.org/markup-compatibility/2006">
      <mc:Choice Requires="x14">
        <oleObject progId="Equation.3" shapeId="35864" r:id="rId49">
          <objectPr defaultSize="0" autoPict="0" r:id="rId50">
            <anchor moveWithCells="1" sizeWithCells="1">
              <from>
                <xdr:col>7</xdr:col>
                <xdr:colOff>247650</xdr:colOff>
                <xdr:row>7</xdr:row>
                <xdr:rowOff>28575</xdr:rowOff>
              </from>
              <to>
                <xdr:col>7</xdr:col>
                <xdr:colOff>390525</xdr:colOff>
                <xdr:row>8</xdr:row>
                <xdr:rowOff>57150</xdr:rowOff>
              </to>
            </anchor>
          </objectPr>
        </oleObject>
      </mc:Choice>
      <mc:Fallback>
        <oleObject progId="Equation.3" shapeId="35864" r:id="rId49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9701-AFFF-4FF0-972E-B650C88C228D}">
  <dimension ref="A1:AB67"/>
  <sheetViews>
    <sheetView topLeftCell="A30" workbookViewId="0">
      <selection activeCell="M69" sqref="M69"/>
    </sheetView>
  </sheetViews>
  <sheetFormatPr defaultRowHeight="12.75" x14ac:dyDescent="0.2"/>
  <cols>
    <col min="1" max="1" width="9.140625" style="556"/>
    <col min="2" max="2" width="15.7109375" style="556" customWidth="1"/>
    <col min="3" max="3" width="9.140625" style="556"/>
    <col min="4" max="4" width="10.7109375" style="556" customWidth="1"/>
    <col min="5" max="7" width="12.7109375" style="556" customWidth="1"/>
    <col min="8" max="9" width="10.7109375" style="556" customWidth="1"/>
    <col min="10" max="10" width="9.140625" style="556"/>
    <col min="11" max="11" width="11.5703125" style="556" customWidth="1"/>
    <col min="12" max="12" width="9.7109375" style="556" customWidth="1"/>
    <col min="13" max="13" width="11.5703125" style="556" customWidth="1"/>
    <col min="14" max="14" width="4.7109375" style="556" customWidth="1"/>
    <col min="15" max="15" width="9.140625" style="556"/>
    <col min="16" max="16" width="10.7109375" style="556" customWidth="1"/>
    <col min="17" max="17" width="11.7109375" style="556" customWidth="1"/>
    <col min="18" max="18" width="10.7109375" style="556" customWidth="1"/>
    <col min="19" max="19" width="10.5703125" style="556" bestFit="1" customWidth="1"/>
    <col min="20" max="21" width="9.140625" style="556"/>
    <col min="22" max="22" width="11.42578125" style="556" customWidth="1"/>
    <col min="23" max="23" width="10.85546875" style="556" customWidth="1"/>
    <col min="24" max="24" width="11.5703125" style="556" customWidth="1"/>
    <col min="25" max="25" width="10.7109375" style="556" customWidth="1"/>
    <col min="26" max="26" width="12.28515625" style="556" customWidth="1"/>
    <col min="27" max="28" width="10.7109375" style="556" customWidth="1"/>
    <col min="29" max="30" width="12.7109375" style="556" customWidth="1"/>
    <col min="31" max="242" width="9.140625" style="556"/>
    <col min="243" max="243" width="15.7109375" style="556" customWidth="1"/>
    <col min="244" max="244" width="9.140625" style="556"/>
    <col min="245" max="245" width="10.7109375" style="556" customWidth="1"/>
    <col min="246" max="248" width="12.7109375" style="556" customWidth="1"/>
    <col min="249" max="250" width="10.7109375" style="556" customWidth="1"/>
    <col min="251" max="252" width="9.140625" style="556"/>
    <col min="253" max="254" width="9.7109375" style="556" customWidth="1"/>
    <col min="255" max="255" width="4.7109375" style="556" customWidth="1"/>
    <col min="256" max="256" width="9.140625" style="556"/>
    <col min="257" max="257" width="10.7109375" style="556" customWidth="1"/>
    <col min="258" max="258" width="11.7109375" style="556" customWidth="1"/>
    <col min="259" max="259" width="10.7109375" style="556" customWidth="1"/>
    <col min="260" max="260" width="10.5703125" style="556" bestFit="1" customWidth="1"/>
    <col min="261" max="262" width="9.140625" style="556"/>
    <col min="263" max="263" width="10.7109375" style="556" customWidth="1"/>
    <col min="264" max="265" width="10.28515625" style="556" customWidth="1"/>
    <col min="266" max="269" width="10.7109375" style="556" customWidth="1"/>
    <col min="270" max="271" width="12.7109375" style="556" customWidth="1"/>
    <col min="272" max="272" width="15.7109375" style="556" customWidth="1"/>
    <col min="273" max="280" width="10.7109375" style="556" customWidth="1"/>
    <col min="281" max="281" width="4.7109375" style="556" customWidth="1"/>
    <col min="282" max="285" width="10.7109375" style="556" customWidth="1"/>
    <col min="286" max="498" width="9.140625" style="556"/>
    <col min="499" max="499" width="15.7109375" style="556" customWidth="1"/>
    <col min="500" max="500" width="9.140625" style="556"/>
    <col min="501" max="501" width="10.7109375" style="556" customWidth="1"/>
    <col min="502" max="504" width="12.7109375" style="556" customWidth="1"/>
    <col min="505" max="506" width="10.7109375" style="556" customWidth="1"/>
    <col min="507" max="508" width="9.140625" style="556"/>
    <col min="509" max="510" width="9.7109375" style="556" customWidth="1"/>
    <col min="511" max="511" width="4.7109375" style="556" customWidth="1"/>
    <col min="512" max="512" width="9.140625" style="556"/>
    <col min="513" max="513" width="10.7109375" style="556" customWidth="1"/>
    <col min="514" max="514" width="11.7109375" style="556" customWidth="1"/>
    <col min="515" max="515" width="10.7109375" style="556" customWidth="1"/>
    <col min="516" max="516" width="10.5703125" style="556" bestFit="1" customWidth="1"/>
    <col min="517" max="518" width="9.140625" style="556"/>
    <col min="519" max="519" width="10.7109375" style="556" customWidth="1"/>
    <col min="520" max="521" width="10.28515625" style="556" customWidth="1"/>
    <col min="522" max="525" width="10.7109375" style="556" customWidth="1"/>
    <col min="526" max="527" width="12.7109375" style="556" customWidth="1"/>
    <col min="528" max="528" width="15.7109375" style="556" customWidth="1"/>
    <col min="529" max="536" width="10.7109375" style="556" customWidth="1"/>
    <col min="537" max="537" width="4.7109375" style="556" customWidth="1"/>
    <col min="538" max="541" width="10.7109375" style="556" customWidth="1"/>
    <col min="542" max="754" width="9.140625" style="556"/>
    <col min="755" max="755" width="15.7109375" style="556" customWidth="1"/>
    <col min="756" max="756" width="9.140625" style="556"/>
    <col min="757" max="757" width="10.7109375" style="556" customWidth="1"/>
    <col min="758" max="760" width="12.7109375" style="556" customWidth="1"/>
    <col min="761" max="762" width="10.7109375" style="556" customWidth="1"/>
    <col min="763" max="764" width="9.140625" style="556"/>
    <col min="765" max="766" width="9.7109375" style="556" customWidth="1"/>
    <col min="767" max="767" width="4.7109375" style="556" customWidth="1"/>
    <col min="768" max="768" width="9.140625" style="556"/>
    <col min="769" max="769" width="10.7109375" style="556" customWidth="1"/>
    <col min="770" max="770" width="11.7109375" style="556" customWidth="1"/>
    <col min="771" max="771" width="10.7109375" style="556" customWidth="1"/>
    <col min="772" max="772" width="10.5703125" style="556" bestFit="1" customWidth="1"/>
    <col min="773" max="774" width="9.140625" style="556"/>
    <col min="775" max="775" width="10.7109375" style="556" customWidth="1"/>
    <col min="776" max="777" width="10.28515625" style="556" customWidth="1"/>
    <col min="778" max="781" width="10.7109375" style="556" customWidth="1"/>
    <col min="782" max="783" width="12.7109375" style="556" customWidth="1"/>
    <col min="784" max="784" width="15.7109375" style="556" customWidth="1"/>
    <col min="785" max="792" width="10.7109375" style="556" customWidth="1"/>
    <col min="793" max="793" width="4.7109375" style="556" customWidth="1"/>
    <col min="794" max="797" width="10.7109375" style="556" customWidth="1"/>
    <col min="798" max="1010" width="9.140625" style="556"/>
    <col min="1011" max="1011" width="15.7109375" style="556" customWidth="1"/>
    <col min="1012" max="1012" width="9.140625" style="556"/>
    <col min="1013" max="1013" width="10.7109375" style="556" customWidth="1"/>
    <col min="1014" max="1016" width="12.7109375" style="556" customWidth="1"/>
    <col min="1017" max="1018" width="10.7109375" style="556" customWidth="1"/>
    <col min="1019" max="1020" width="9.140625" style="556"/>
    <col min="1021" max="1022" width="9.7109375" style="556" customWidth="1"/>
    <col min="1023" max="1023" width="4.7109375" style="556" customWidth="1"/>
    <col min="1024" max="1024" width="9.140625" style="556"/>
    <col min="1025" max="1025" width="10.7109375" style="556" customWidth="1"/>
    <col min="1026" max="1026" width="11.7109375" style="556" customWidth="1"/>
    <col min="1027" max="1027" width="10.7109375" style="556" customWidth="1"/>
    <col min="1028" max="1028" width="10.5703125" style="556" bestFit="1" customWidth="1"/>
    <col min="1029" max="1030" width="9.140625" style="556"/>
    <col min="1031" max="1031" width="10.7109375" style="556" customWidth="1"/>
    <col min="1032" max="1033" width="10.28515625" style="556" customWidth="1"/>
    <col min="1034" max="1037" width="10.7109375" style="556" customWidth="1"/>
    <col min="1038" max="1039" width="12.7109375" style="556" customWidth="1"/>
    <col min="1040" max="1040" width="15.7109375" style="556" customWidth="1"/>
    <col min="1041" max="1048" width="10.7109375" style="556" customWidth="1"/>
    <col min="1049" max="1049" width="4.7109375" style="556" customWidth="1"/>
    <col min="1050" max="1053" width="10.7109375" style="556" customWidth="1"/>
    <col min="1054" max="1266" width="9.140625" style="556"/>
    <col min="1267" max="1267" width="15.7109375" style="556" customWidth="1"/>
    <col min="1268" max="1268" width="9.140625" style="556"/>
    <col min="1269" max="1269" width="10.7109375" style="556" customWidth="1"/>
    <col min="1270" max="1272" width="12.7109375" style="556" customWidth="1"/>
    <col min="1273" max="1274" width="10.7109375" style="556" customWidth="1"/>
    <col min="1275" max="1276" width="9.140625" style="556"/>
    <col min="1277" max="1278" width="9.7109375" style="556" customWidth="1"/>
    <col min="1279" max="1279" width="4.7109375" style="556" customWidth="1"/>
    <col min="1280" max="1280" width="9.140625" style="556"/>
    <col min="1281" max="1281" width="10.7109375" style="556" customWidth="1"/>
    <col min="1282" max="1282" width="11.7109375" style="556" customWidth="1"/>
    <col min="1283" max="1283" width="10.7109375" style="556" customWidth="1"/>
    <col min="1284" max="1284" width="10.5703125" style="556" bestFit="1" customWidth="1"/>
    <col min="1285" max="1286" width="9.140625" style="556"/>
    <col min="1287" max="1287" width="10.7109375" style="556" customWidth="1"/>
    <col min="1288" max="1289" width="10.28515625" style="556" customWidth="1"/>
    <col min="1290" max="1293" width="10.7109375" style="556" customWidth="1"/>
    <col min="1294" max="1295" width="12.7109375" style="556" customWidth="1"/>
    <col min="1296" max="1296" width="15.7109375" style="556" customWidth="1"/>
    <col min="1297" max="1304" width="10.7109375" style="556" customWidth="1"/>
    <col min="1305" max="1305" width="4.7109375" style="556" customWidth="1"/>
    <col min="1306" max="1309" width="10.7109375" style="556" customWidth="1"/>
    <col min="1310" max="1522" width="9.140625" style="556"/>
    <col min="1523" max="1523" width="15.7109375" style="556" customWidth="1"/>
    <col min="1524" max="1524" width="9.140625" style="556"/>
    <col min="1525" max="1525" width="10.7109375" style="556" customWidth="1"/>
    <col min="1526" max="1528" width="12.7109375" style="556" customWidth="1"/>
    <col min="1529" max="1530" width="10.7109375" style="556" customWidth="1"/>
    <col min="1531" max="1532" width="9.140625" style="556"/>
    <col min="1533" max="1534" width="9.7109375" style="556" customWidth="1"/>
    <col min="1535" max="1535" width="4.7109375" style="556" customWidth="1"/>
    <col min="1536" max="1536" width="9.140625" style="556"/>
    <col min="1537" max="1537" width="10.7109375" style="556" customWidth="1"/>
    <col min="1538" max="1538" width="11.7109375" style="556" customWidth="1"/>
    <col min="1539" max="1539" width="10.7109375" style="556" customWidth="1"/>
    <col min="1540" max="1540" width="10.5703125" style="556" bestFit="1" customWidth="1"/>
    <col min="1541" max="1542" width="9.140625" style="556"/>
    <col min="1543" max="1543" width="10.7109375" style="556" customWidth="1"/>
    <col min="1544" max="1545" width="10.28515625" style="556" customWidth="1"/>
    <col min="1546" max="1549" width="10.7109375" style="556" customWidth="1"/>
    <col min="1550" max="1551" width="12.7109375" style="556" customWidth="1"/>
    <col min="1552" max="1552" width="15.7109375" style="556" customWidth="1"/>
    <col min="1553" max="1560" width="10.7109375" style="556" customWidth="1"/>
    <col min="1561" max="1561" width="4.7109375" style="556" customWidth="1"/>
    <col min="1562" max="1565" width="10.7109375" style="556" customWidth="1"/>
    <col min="1566" max="1778" width="9.140625" style="556"/>
    <col min="1779" max="1779" width="15.7109375" style="556" customWidth="1"/>
    <col min="1780" max="1780" width="9.140625" style="556"/>
    <col min="1781" max="1781" width="10.7109375" style="556" customWidth="1"/>
    <col min="1782" max="1784" width="12.7109375" style="556" customWidth="1"/>
    <col min="1785" max="1786" width="10.7109375" style="556" customWidth="1"/>
    <col min="1787" max="1788" width="9.140625" style="556"/>
    <col min="1789" max="1790" width="9.7109375" style="556" customWidth="1"/>
    <col min="1791" max="1791" width="4.7109375" style="556" customWidth="1"/>
    <col min="1792" max="1792" width="9.140625" style="556"/>
    <col min="1793" max="1793" width="10.7109375" style="556" customWidth="1"/>
    <col min="1794" max="1794" width="11.7109375" style="556" customWidth="1"/>
    <col min="1795" max="1795" width="10.7109375" style="556" customWidth="1"/>
    <col min="1796" max="1796" width="10.5703125" style="556" bestFit="1" customWidth="1"/>
    <col min="1797" max="1798" width="9.140625" style="556"/>
    <col min="1799" max="1799" width="10.7109375" style="556" customWidth="1"/>
    <col min="1800" max="1801" width="10.28515625" style="556" customWidth="1"/>
    <col min="1802" max="1805" width="10.7109375" style="556" customWidth="1"/>
    <col min="1806" max="1807" width="12.7109375" style="556" customWidth="1"/>
    <col min="1808" max="1808" width="15.7109375" style="556" customWidth="1"/>
    <col min="1809" max="1816" width="10.7109375" style="556" customWidth="1"/>
    <col min="1817" max="1817" width="4.7109375" style="556" customWidth="1"/>
    <col min="1818" max="1821" width="10.7109375" style="556" customWidth="1"/>
    <col min="1822" max="2034" width="9.140625" style="556"/>
    <col min="2035" max="2035" width="15.7109375" style="556" customWidth="1"/>
    <col min="2036" max="2036" width="9.140625" style="556"/>
    <col min="2037" max="2037" width="10.7109375" style="556" customWidth="1"/>
    <col min="2038" max="2040" width="12.7109375" style="556" customWidth="1"/>
    <col min="2041" max="2042" width="10.7109375" style="556" customWidth="1"/>
    <col min="2043" max="2044" width="9.140625" style="556"/>
    <col min="2045" max="2046" width="9.7109375" style="556" customWidth="1"/>
    <col min="2047" max="2047" width="4.7109375" style="556" customWidth="1"/>
    <col min="2048" max="2048" width="9.140625" style="556"/>
    <col min="2049" max="2049" width="10.7109375" style="556" customWidth="1"/>
    <col min="2050" max="2050" width="11.7109375" style="556" customWidth="1"/>
    <col min="2051" max="2051" width="10.7109375" style="556" customWidth="1"/>
    <col min="2052" max="2052" width="10.5703125" style="556" bestFit="1" customWidth="1"/>
    <col min="2053" max="2054" width="9.140625" style="556"/>
    <col min="2055" max="2055" width="10.7109375" style="556" customWidth="1"/>
    <col min="2056" max="2057" width="10.28515625" style="556" customWidth="1"/>
    <col min="2058" max="2061" width="10.7109375" style="556" customWidth="1"/>
    <col min="2062" max="2063" width="12.7109375" style="556" customWidth="1"/>
    <col min="2064" max="2064" width="15.7109375" style="556" customWidth="1"/>
    <col min="2065" max="2072" width="10.7109375" style="556" customWidth="1"/>
    <col min="2073" max="2073" width="4.7109375" style="556" customWidth="1"/>
    <col min="2074" max="2077" width="10.7109375" style="556" customWidth="1"/>
    <col min="2078" max="2290" width="9.140625" style="556"/>
    <col min="2291" max="2291" width="15.7109375" style="556" customWidth="1"/>
    <col min="2292" max="2292" width="9.140625" style="556"/>
    <col min="2293" max="2293" width="10.7109375" style="556" customWidth="1"/>
    <col min="2294" max="2296" width="12.7109375" style="556" customWidth="1"/>
    <col min="2297" max="2298" width="10.7109375" style="556" customWidth="1"/>
    <col min="2299" max="2300" width="9.140625" style="556"/>
    <col min="2301" max="2302" width="9.7109375" style="556" customWidth="1"/>
    <col min="2303" max="2303" width="4.7109375" style="556" customWidth="1"/>
    <col min="2304" max="2304" width="9.140625" style="556"/>
    <col min="2305" max="2305" width="10.7109375" style="556" customWidth="1"/>
    <col min="2306" max="2306" width="11.7109375" style="556" customWidth="1"/>
    <col min="2307" max="2307" width="10.7109375" style="556" customWidth="1"/>
    <col min="2308" max="2308" width="10.5703125" style="556" bestFit="1" customWidth="1"/>
    <col min="2309" max="2310" width="9.140625" style="556"/>
    <col min="2311" max="2311" width="10.7109375" style="556" customWidth="1"/>
    <col min="2312" max="2313" width="10.28515625" style="556" customWidth="1"/>
    <col min="2314" max="2317" width="10.7109375" style="556" customWidth="1"/>
    <col min="2318" max="2319" width="12.7109375" style="556" customWidth="1"/>
    <col min="2320" max="2320" width="15.7109375" style="556" customWidth="1"/>
    <col min="2321" max="2328" width="10.7109375" style="556" customWidth="1"/>
    <col min="2329" max="2329" width="4.7109375" style="556" customWidth="1"/>
    <col min="2330" max="2333" width="10.7109375" style="556" customWidth="1"/>
    <col min="2334" max="2546" width="9.140625" style="556"/>
    <col min="2547" max="2547" width="15.7109375" style="556" customWidth="1"/>
    <col min="2548" max="2548" width="9.140625" style="556"/>
    <col min="2549" max="2549" width="10.7109375" style="556" customWidth="1"/>
    <col min="2550" max="2552" width="12.7109375" style="556" customWidth="1"/>
    <col min="2553" max="2554" width="10.7109375" style="556" customWidth="1"/>
    <col min="2555" max="2556" width="9.140625" style="556"/>
    <col min="2557" max="2558" width="9.7109375" style="556" customWidth="1"/>
    <col min="2559" max="2559" width="4.7109375" style="556" customWidth="1"/>
    <col min="2560" max="2560" width="9.140625" style="556"/>
    <col min="2561" max="2561" width="10.7109375" style="556" customWidth="1"/>
    <col min="2562" max="2562" width="11.7109375" style="556" customWidth="1"/>
    <col min="2563" max="2563" width="10.7109375" style="556" customWidth="1"/>
    <col min="2564" max="2564" width="10.5703125" style="556" bestFit="1" customWidth="1"/>
    <col min="2565" max="2566" width="9.140625" style="556"/>
    <col min="2567" max="2567" width="10.7109375" style="556" customWidth="1"/>
    <col min="2568" max="2569" width="10.28515625" style="556" customWidth="1"/>
    <col min="2570" max="2573" width="10.7109375" style="556" customWidth="1"/>
    <col min="2574" max="2575" width="12.7109375" style="556" customWidth="1"/>
    <col min="2576" max="2576" width="15.7109375" style="556" customWidth="1"/>
    <col min="2577" max="2584" width="10.7109375" style="556" customWidth="1"/>
    <col min="2585" max="2585" width="4.7109375" style="556" customWidth="1"/>
    <col min="2586" max="2589" width="10.7109375" style="556" customWidth="1"/>
    <col min="2590" max="2802" width="9.140625" style="556"/>
    <col min="2803" max="2803" width="15.7109375" style="556" customWidth="1"/>
    <col min="2804" max="2804" width="9.140625" style="556"/>
    <col min="2805" max="2805" width="10.7109375" style="556" customWidth="1"/>
    <col min="2806" max="2808" width="12.7109375" style="556" customWidth="1"/>
    <col min="2809" max="2810" width="10.7109375" style="556" customWidth="1"/>
    <col min="2811" max="2812" width="9.140625" style="556"/>
    <col min="2813" max="2814" width="9.7109375" style="556" customWidth="1"/>
    <col min="2815" max="2815" width="4.7109375" style="556" customWidth="1"/>
    <col min="2816" max="2816" width="9.140625" style="556"/>
    <col min="2817" max="2817" width="10.7109375" style="556" customWidth="1"/>
    <col min="2818" max="2818" width="11.7109375" style="556" customWidth="1"/>
    <col min="2819" max="2819" width="10.7109375" style="556" customWidth="1"/>
    <col min="2820" max="2820" width="10.5703125" style="556" bestFit="1" customWidth="1"/>
    <col min="2821" max="2822" width="9.140625" style="556"/>
    <col min="2823" max="2823" width="10.7109375" style="556" customWidth="1"/>
    <col min="2824" max="2825" width="10.28515625" style="556" customWidth="1"/>
    <col min="2826" max="2829" width="10.7109375" style="556" customWidth="1"/>
    <col min="2830" max="2831" width="12.7109375" style="556" customWidth="1"/>
    <col min="2832" max="2832" width="15.7109375" style="556" customWidth="1"/>
    <col min="2833" max="2840" width="10.7109375" style="556" customWidth="1"/>
    <col min="2841" max="2841" width="4.7109375" style="556" customWidth="1"/>
    <col min="2842" max="2845" width="10.7109375" style="556" customWidth="1"/>
    <col min="2846" max="3058" width="9.140625" style="556"/>
    <col min="3059" max="3059" width="15.7109375" style="556" customWidth="1"/>
    <col min="3060" max="3060" width="9.140625" style="556"/>
    <col min="3061" max="3061" width="10.7109375" style="556" customWidth="1"/>
    <col min="3062" max="3064" width="12.7109375" style="556" customWidth="1"/>
    <col min="3065" max="3066" width="10.7109375" style="556" customWidth="1"/>
    <col min="3067" max="3068" width="9.140625" style="556"/>
    <col min="3069" max="3070" width="9.7109375" style="556" customWidth="1"/>
    <col min="3071" max="3071" width="4.7109375" style="556" customWidth="1"/>
    <col min="3072" max="3072" width="9.140625" style="556"/>
    <col min="3073" max="3073" width="10.7109375" style="556" customWidth="1"/>
    <col min="3074" max="3074" width="11.7109375" style="556" customWidth="1"/>
    <col min="3075" max="3075" width="10.7109375" style="556" customWidth="1"/>
    <col min="3076" max="3076" width="10.5703125" style="556" bestFit="1" customWidth="1"/>
    <col min="3077" max="3078" width="9.140625" style="556"/>
    <col min="3079" max="3079" width="10.7109375" style="556" customWidth="1"/>
    <col min="3080" max="3081" width="10.28515625" style="556" customWidth="1"/>
    <col min="3082" max="3085" width="10.7109375" style="556" customWidth="1"/>
    <col min="3086" max="3087" width="12.7109375" style="556" customWidth="1"/>
    <col min="3088" max="3088" width="15.7109375" style="556" customWidth="1"/>
    <col min="3089" max="3096" width="10.7109375" style="556" customWidth="1"/>
    <col min="3097" max="3097" width="4.7109375" style="556" customWidth="1"/>
    <col min="3098" max="3101" width="10.7109375" style="556" customWidth="1"/>
    <col min="3102" max="3314" width="9.140625" style="556"/>
    <col min="3315" max="3315" width="15.7109375" style="556" customWidth="1"/>
    <col min="3316" max="3316" width="9.140625" style="556"/>
    <col min="3317" max="3317" width="10.7109375" style="556" customWidth="1"/>
    <col min="3318" max="3320" width="12.7109375" style="556" customWidth="1"/>
    <col min="3321" max="3322" width="10.7109375" style="556" customWidth="1"/>
    <col min="3323" max="3324" width="9.140625" style="556"/>
    <col min="3325" max="3326" width="9.7109375" style="556" customWidth="1"/>
    <col min="3327" max="3327" width="4.7109375" style="556" customWidth="1"/>
    <col min="3328" max="3328" width="9.140625" style="556"/>
    <col min="3329" max="3329" width="10.7109375" style="556" customWidth="1"/>
    <col min="3330" max="3330" width="11.7109375" style="556" customWidth="1"/>
    <col min="3331" max="3331" width="10.7109375" style="556" customWidth="1"/>
    <col min="3332" max="3332" width="10.5703125" style="556" bestFit="1" customWidth="1"/>
    <col min="3333" max="3334" width="9.140625" style="556"/>
    <col min="3335" max="3335" width="10.7109375" style="556" customWidth="1"/>
    <col min="3336" max="3337" width="10.28515625" style="556" customWidth="1"/>
    <col min="3338" max="3341" width="10.7109375" style="556" customWidth="1"/>
    <col min="3342" max="3343" width="12.7109375" style="556" customWidth="1"/>
    <col min="3344" max="3344" width="15.7109375" style="556" customWidth="1"/>
    <col min="3345" max="3352" width="10.7109375" style="556" customWidth="1"/>
    <col min="3353" max="3353" width="4.7109375" style="556" customWidth="1"/>
    <col min="3354" max="3357" width="10.7109375" style="556" customWidth="1"/>
    <col min="3358" max="3570" width="9.140625" style="556"/>
    <col min="3571" max="3571" width="15.7109375" style="556" customWidth="1"/>
    <col min="3572" max="3572" width="9.140625" style="556"/>
    <col min="3573" max="3573" width="10.7109375" style="556" customWidth="1"/>
    <col min="3574" max="3576" width="12.7109375" style="556" customWidth="1"/>
    <col min="3577" max="3578" width="10.7109375" style="556" customWidth="1"/>
    <col min="3579" max="3580" width="9.140625" style="556"/>
    <col min="3581" max="3582" width="9.7109375" style="556" customWidth="1"/>
    <col min="3583" max="3583" width="4.7109375" style="556" customWidth="1"/>
    <col min="3584" max="3584" width="9.140625" style="556"/>
    <col min="3585" max="3585" width="10.7109375" style="556" customWidth="1"/>
    <col min="3586" max="3586" width="11.7109375" style="556" customWidth="1"/>
    <col min="3587" max="3587" width="10.7109375" style="556" customWidth="1"/>
    <col min="3588" max="3588" width="10.5703125" style="556" bestFit="1" customWidth="1"/>
    <col min="3589" max="3590" width="9.140625" style="556"/>
    <col min="3591" max="3591" width="10.7109375" style="556" customWidth="1"/>
    <col min="3592" max="3593" width="10.28515625" style="556" customWidth="1"/>
    <col min="3594" max="3597" width="10.7109375" style="556" customWidth="1"/>
    <col min="3598" max="3599" width="12.7109375" style="556" customWidth="1"/>
    <col min="3600" max="3600" width="15.7109375" style="556" customWidth="1"/>
    <col min="3601" max="3608" width="10.7109375" style="556" customWidth="1"/>
    <col min="3609" max="3609" width="4.7109375" style="556" customWidth="1"/>
    <col min="3610" max="3613" width="10.7109375" style="556" customWidth="1"/>
    <col min="3614" max="3826" width="9.140625" style="556"/>
    <col min="3827" max="3827" width="15.7109375" style="556" customWidth="1"/>
    <col min="3828" max="3828" width="9.140625" style="556"/>
    <col min="3829" max="3829" width="10.7109375" style="556" customWidth="1"/>
    <col min="3830" max="3832" width="12.7109375" style="556" customWidth="1"/>
    <col min="3833" max="3834" width="10.7109375" style="556" customWidth="1"/>
    <col min="3835" max="3836" width="9.140625" style="556"/>
    <col min="3837" max="3838" width="9.7109375" style="556" customWidth="1"/>
    <col min="3839" max="3839" width="4.7109375" style="556" customWidth="1"/>
    <col min="3840" max="3840" width="9.140625" style="556"/>
    <col min="3841" max="3841" width="10.7109375" style="556" customWidth="1"/>
    <col min="3842" max="3842" width="11.7109375" style="556" customWidth="1"/>
    <col min="3843" max="3843" width="10.7109375" style="556" customWidth="1"/>
    <col min="3844" max="3844" width="10.5703125" style="556" bestFit="1" customWidth="1"/>
    <col min="3845" max="3846" width="9.140625" style="556"/>
    <col min="3847" max="3847" width="10.7109375" style="556" customWidth="1"/>
    <col min="3848" max="3849" width="10.28515625" style="556" customWidth="1"/>
    <col min="3850" max="3853" width="10.7109375" style="556" customWidth="1"/>
    <col min="3854" max="3855" width="12.7109375" style="556" customWidth="1"/>
    <col min="3856" max="3856" width="15.7109375" style="556" customWidth="1"/>
    <col min="3857" max="3864" width="10.7109375" style="556" customWidth="1"/>
    <col min="3865" max="3865" width="4.7109375" style="556" customWidth="1"/>
    <col min="3866" max="3869" width="10.7109375" style="556" customWidth="1"/>
    <col min="3870" max="4082" width="9.140625" style="556"/>
    <col min="4083" max="4083" width="15.7109375" style="556" customWidth="1"/>
    <col min="4084" max="4084" width="9.140625" style="556"/>
    <col min="4085" max="4085" width="10.7109375" style="556" customWidth="1"/>
    <col min="4086" max="4088" width="12.7109375" style="556" customWidth="1"/>
    <col min="4089" max="4090" width="10.7109375" style="556" customWidth="1"/>
    <col min="4091" max="4092" width="9.140625" style="556"/>
    <col min="4093" max="4094" width="9.7109375" style="556" customWidth="1"/>
    <col min="4095" max="4095" width="4.7109375" style="556" customWidth="1"/>
    <col min="4096" max="4096" width="9.140625" style="556"/>
    <col min="4097" max="4097" width="10.7109375" style="556" customWidth="1"/>
    <col min="4098" max="4098" width="11.7109375" style="556" customWidth="1"/>
    <col min="4099" max="4099" width="10.7109375" style="556" customWidth="1"/>
    <col min="4100" max="4100" width="10.5703125" style="556" bestFit="1" customWidth="1"/>
    <col min="4101" max="4102" width="9.140625" style="556"/>
    <col min="4103" max="4103" width="10.7109375" style="556" customWidth="1"/>
    <col min="4104" max="4105" width="10.28515625" style="556" customWidth="1"/>
    <col min="4106" max="4109" width="10.7109375" style="556" customWidth="1"/>
    <col min="4110" max="4111" width="12.7109375" style="556" customWidth="1"/>
    <col min="4112" max="4112" width="15.7109375" style="556" customWidth="1"/>
    <col min="4113" max="4120" width="10.7109375" style="556" customWidth="1"/>
    <col min="4121" max="4121" width="4.7109375" style="556" customWidth="1"/>
    <col min="4122" max="4125" width="10.7109375" style="556" customWidth="1"/>
    <col min="4126" max="4338" width="9.140625" style="556"/>
    <col min="4339" max="4339" width="15.7109375" style="556" customWidth="1"/>
    <col min="4340" max="4340" width="9.140625" style="556"/>
    <col min="4341" max="4341" width="10.7109375" style="556" customWidth="1"/>
    <col min="4342" max="4344" width="12.7109375" style="556" customWidth="1"/>
    <col min="4345" max="4346" width="10.7109375" style="556" customWidth="1"/>
    <col min="4347" max="4348" width="9.140625" style="556"/>
    <col min="4349" max="4350" width="9.7109375" style="556" customWidth="1"/>
    <col min="4351" max="4351" width="4.7109375" style="556" customWidth="1"/>
    <col min="4352" max="4352" width="9.140625" style="556"/>
    <col min="4353" max="4353" width="10.7109375" style="556" customWidth="1"/>
    <col min="4354" max="4354" width="11.7109375" style="556" customWidth="1"/>
    <col min="4355" max="4355" width="10.7109375" style="556" customWidth="1"/>
    <col min="4356" max="4356" width="10.5703125" style="556" bestFit="1" customWidth="1"/>
    <col min="4357" max="4358" width="9.140625" style="556"/>
    <col min="4359" max="4359" width="10.7109375" style="556" customWidth="1"/>
    <col min="4360" max="4361" width="10.28515625" style="556" customWidth="1"/>
    <col min="4362" max="4365" width="10.7109375" style="556" customWidth="1"/>
    <col min="4366" max="4367" width="12.7109375" style="556" customWidth="1"/>
    <col min="4368" max="4368" width="15.7109375" style="556" customWidth="1"/>
    <col min="4369" max="4376" width="10.7109375" style="556" customWidth="1"/>
    <col min="4377" max="4377" width="4.7109375" style="556" customWidth="1"/>
    <col min="4378" max="4381" width="10.7109375" style="556" customWidth="1"/>
    <col min="4382" max="4594" width="9.140625" style="556"/>
    <col min="4595" max="4595" width="15.7109375" style="556" customWidth="1"/>
    <col min="4596" max="4596" width="9.140625" style="556"/>
    <col min="4597" max="4597" width="10.7109375" style="556" customWidth="1"/>
    <col min="4598" max="4600" width="12.7109375" style="556" customWidth="1"/>
    <col min="4601" max="4602" width="10.7109375" style="556" customWidth="1"/>
    <col min="4603" max="4604" width="9.140625" style="556"/>
    <col min="4605" max="4606" width="9.7109375" style="556" customWidth="1"/>
    <col min="4607" max="4607" width="4.7109375" style="556" customWidth="1"/>
    <col min="4608" max="4608" width="9.140625" style="556"/>
    <col min="4609" max="4609" width="10.7109375" style="556" customWidth="1"/>
    <col min="4610" max="4610" width="11.7109375" style="556" customWidth="1"/>
    <col min="4611" max="4611" width="10.7109375" style="556" customWidth="1"/>
    <col min="4612" max="4612" width="10.5703125" style="556" bestFit="1" customWidth="1"/>
    <col min="4613" max="4614" width="9.140625" style="556"/>
    <col min="4615" max="4615" width="10.7109375" style="556" customWidth="1"/>
    <col min="4616" max="4617" width="10.28515625" style="556" customWidth="1"/>
    <col min="4618" max="4621" width="10.7109375" style="556" customWidth="1"/>
    <col min="4622" max="4623" width="12.7109375" style="556" customWidth="1"/>
    <col min="4624" max="4624" width="15.7109375" style="556" customWidth="1"/>
    <col min="4625" max="4632" width="10.7109375" style="556" customWidth="1"/>
    <col min="4633" max="4633" width="4.7109375" style="556" customWidth="1"/>
    <col min="4634" max="4637" width="10.7109375" style="556" customWidth="1"/>
    <col min="4638" max="4850" width="9.140625" style="556"/>
    <col min="4851" max="4851" width="15.7109375" style="556" customWidth="1"/>
    <col min="4852" max="4852" width="9.140625" style="556"/>
    <col min="4853" max="4853" width="10.7109375" style="556" customWidth="1"/>
    <col min="4854" max="4856" width="12.7109375" style="556" customWidth="1"/>
    <col min="4857" max="4858" width="10.7109375" style="556" customWidth="1"/>
    <col min="4859" max="4860" width="9.140625" style="556"/>
    <col min="4861" max="4862" width="9.7109375" style="556" customWidth="1"/>
    <col min="4863" max="4863" width="4.7109375" style="556" customWidth="1"/>
    <col min="4864" max="4864" width="9.140625" style="556"/>
    <col min="4865" max="4865" width="10.7109375" style="556" customWidth="1"/>
    <col min="4866" max="4866" width="11.7109375" style="556" customWidth="1"/>
    <col min="4867" max="4867" width="10.7109375" style="556" customWidth="1"/>
    <col min="4868" max="4868" width="10.5703125" style="556" bestFit="1" customWidth="1"/>
    <col min="4869" max="4870" width="9.140625" style="556"/>
    <col min="4871" max="4871" width="10.7109375" style="556" customWidth="1"/>
    <col min="4872" max="4873" width="10.28515625" style="556" customWidth="1"/>
    <col min="4874" max="4877" width="10.7109375" style="556" customWidth="1"/>
    <col min="4878" max="4879" width="12.7109375" style="556" customWidth="1"/>
    <col min="4880" max="4880" width="15.7109375" style="556" customWidth="1"/>
    <col min="4881" max="4888" width="10.7109375" style="556" customWidth="1"/>
    <col min="4889" max="4889" width="4.7109375" style="556" customWidth="1"/>
    <col min="4890" max="4893" width="10.7109375" style="556" customWidth="1"/>
    <col min="4894" max="5106" width="9.140625" style="556"/>
    <col min="5107" max="5107" width="15.7109375" style="556" customWidth="1"/>
    <col min="5108" max="5108" width="9.140625" style="556"/>
    <col min="5109" max="5109" width="10.7109375" style="556" customWidth="1"/>
    <col min="5110" max="5112" width="12.7109375" style="556" customWidth="1"/>
    <col min="5113" max="5114" width="10.7109375" style="556" customWidth="1"/>
    <col min="5115" max="5116" width="9.140625" style="556"/>
    <col min="5117" max="5118" width="9.7109375" style="556" customWidth="1"/>
    <col min="5119" max="5119" width="4.7109375" style="556" customWidth="1"/>
    <col min="5120" max="5120" width="9.140625" style="556"/>
    <col min="5121" max="5121" width="10.7109375" style="556" customWidth="1"/>
    <col min="5122" max="5122" width="11.7109375" style="556" customWidth="1"/>
    <col min="5123" max="5123" width="10.7109375" style="556" customWidth="1"/>
    <col min="5124" max="5124" width="10.5703125" style="556" bestFit="1" customWidth="1"/>
    <col min="5125" max="5126" width="9.140625" style="556"/>
    <col min="5127" max="5127" width="10.7109375" style="556" customWidth="1"/>
    <col min="5128" max="5129" width="10.28515625" style="556" customWidth="1"/>
    <col min="5130" max="5133" width="10.7109375" style="556" customWidth="1"/>
    <col min="5134" max="5135" width="12.7109375" style="556" customWidth="1"/>
    <col min="5136" max="5136" width="15.7109375" style="556" customWidth="1"/>
    <col min="5137" max="5144" width="10.7109375" style="556" customWidth="1"/>
    <col min="5145" max="5145" width="4.7109375" style="556" customWidth="1"/>
    <col min="5146" max="5149" width="10.7109375" style="556" customWidth="1"/>
    <col min="5150" max="5362" width="9.140625" style="556"/>
    <col min="5363" max="5363" width="15.7109375" style="556" customWidth="1"/>
    <col min="5364" max="5364" width="9.140625" style="556"/>
    <col min="5365" max="5365" width="10.7109375" style="556" customWidth="1"/>
    <col min="5366" max="5368" width="12.7109375" style="556" customWidth="1"/>
    <col min="5369" max="5370" width="10.7109375" style="556" customWidth="1"/>
    <col min="5371" max="5372" width="9.140625" style="556"/>
    <col min="5373" max="5374" width="9.7109375" style="556" customWidth="1"/>
    <col min="5375" max="5375" width="4.7109375" style="556" customWidth="1"/>
    <col min="5376" max="5376" width="9.140625" style="556"/>
    <col min="5377" max="5377" width="10.7109375" style="556" customWidth="1"/>
    <col min="5378" max="5378" width="11.7109375" style="556" customWidth="1"/>
    <col min="5379" max="5379" width="10.7109375" style="556" customWidth="1"/>
    <col min="5380" max="5380" width="10.5703125" style="556" bestFit="1" customWidth="1"/>
    <col min="5381" max="5382" width="9.140625" style="556"/>
    <col min="5383" max="5383" width="10.7109375" style="556" customWidth="1"/>
    <col min="5384" max="5385" width="10.28515625" style="556" customWidth="1"/>
    <col min="5386" max="5389" width="10.7109375" style="556" customWidth="1"/>
    <col min="5390" max="5391" width="12.7109375" style="556" customWidth="1"/>
    <col min="5392" max="5392" width="15.7109375" style="556" customWidth="1"/>
    <col min="5393" max="5400" width="10.7109375" style="556" customWidth="1"/>
    <col min="5401" max="5401" width="4.7109375" style="556" customWidth="1"/>
    <col min="5402" max="5405" width="10.7109375" style="556" customWidth="1"/>
    <col min="5406" max="5618" width="9.140625" style="556"/>
    <col min="5619" max="5619" width="15.7109375" style="556" customWidth="1"/>
    <col min="5620" max="5620" width="9.140625" style="556"/>
    <col min="5621" max="5621" width="10.7109375" style="556" customWidth="1"/>
    <col min="5622" max="5624" width="12.7109375" style="556" customWidth="1"/>
    <col min="5625" max="5626" width="10.7109375" style="556" customWidth="1"/>
    <col min="5627" max="5628" width="9.140625" style="556"/>
    <col min="5629" max="5630" width="9.7109375" style="556" customWidth="1"/>
    <col min="5631" max="5631" width="4.7109375" style="556" customWidth="1"/>
    <col min="5632" max="5632" width="9.140625" style="556"/>
    <col min="5633" max="5633" width="10.7109375" style="556" customWidth="1"/>
    <col min="5634" max="5634" width="11.7109375" style="556" customWidth="1"/>
    <col min="5635" max="5635" width="10.7109375" style="556" customWidth="1"/>
    <col min="5636" max="5636" width="10.5703125" style="556" bestFit="1" customWidth="1"/>
    <col min="5637" max="5638" width="9.140625" style="556"/>
    <col min="5639" max="5639" width="10.7109375" style="556" customWidth="1"/>
    <col min="5640" max="5641" width="10.28515625" style="556" customWidth="1"/>
    <col min="5642" max="5645" width="10.7109375" style="556" customWidth="1"/>
    <col min="5646" max="5647" width="12.7109375" style="556" customWidth="1"/>
    <col min="5648" max="5648" width="15.7109375" style="556" customWidth="1"/>
    <col min="5649" max="5656" width="10.7109375" style="556" customWidth="1"/>
    <col min="5657" max="5657" width="4.7109375" style="556" customWidth="1"/>
    <col min="5658" max="5661" width="10.7109375" style="556" customWidth="1"/>
    <col min="5662" max="5874" width="9.140625" style="556"/>
    <col min="5875" max="5875" width="15.7109375" style="556" customWidth="1"/>
    <col min="5876" max="5876" width="9.140625" style="556"/>
    <col min="5877" max="5877" width="10.7109375" style="556" customWidth="1"/>
    <col min="5878" max="5880" width="12.7109375" style="556" customWidth="1"/>
    <col min="5881" max="5882" width="10.7109375" style="556" customWidth="1"/>
    <col min="5883" max="5884" width="9.140625" style="556"/>
    <col min="5885" max="5886" width="9.7109375" style="556" customWidth="1"/>
    <col min="5887" max="5887" width="4.7109375" style="556" customWidth="1"/>
    <col min="5888" max="5888" width="9.140625" style="556"/>
    <col min="5889" max="5889" width="10.7109375" style="556" customWidth="1"/>
    <col min="5890" max="5890" width="11.7109375" style="556" customWidth="1"/>
    <col min="5891" max="5891" width="10.7109375" style="556" customWidth="1"/>
    <col min="5892" max="5892" width="10.5703125" style="556" bestFit="1" customWidth="1"/>
    <col min="5893" max="5894" width="9.140625" style="556"/>
    <col min="5895" max="5895" width="10.7109375" style="556" customWidth="1"/>
    <col min="5896" max="5897" width="10.28515625" style="556" customWidth="1"/>
    <col min="5898" max="5901" width="10.7109375" style="556" customWidth="1"/>
    <col min="5902" max="5903" width="12.7109375" style="556" customWidth="1"/>
    <col min="5904" max="5904" width="15.7109375" style="556" customWidth="1"/>
    <col min="5905" max="5912" width="10.7109375" style="556" customWidth="1"/>
    <col min="5913" max="5913" width="4.7109375" style="556" customWidth="1"/>
    <col min="5914" max="5917" width="10.7109375" style="556" customWidth="1"/>
    <col min="5918" max="6130" width="9.140625" style="556"/>
    <col min="6131" max="6131" width="15.7109375" style="556" customWidth="1"/>
    <col min="6132" max="6132" width="9.140625" style="556"/>
    <col min="6133" max="6133" width="10.7109375" style="556" customWidth="1"/>
    <col min="6134" max="6136" width="12.7109375" style="556" customWidth="1"/>
    <col min="6137" max="6138" width="10.7109375" style="556" customWidth="1"/>
    <col min="6139" max="6140" width="9.140625" style="556"/>
    <col min="6141" max="6142" width="9.7109375" style="556" customWidth="1"/>
    <col min="6143" max="6143" width="4.7109375" style="556" customWidth="1"/>
    <col min="6144" max="6144" width="9.140625" style="556"/>
    <col min="6145" max="6145" width="10.7109375" style="556" customWidth="1"/>
    <col min="6146" max="6146" width="11.7109375" style="556" customWidth="1"/>
    <col min="6147" max="6147" width="10.7109375" style="556" customWidth="1"/>
    <col min="6148" max="6148" width="10.5703125" style="556" bestFit="1" customWidth="1"/>
    <col min="6149" max="6150" width="9.140625" style="556"/>
    <col min="6151" max="6151" width="10.7109375" style="556" customWidth="1"/>
    <col min="6152" max="6153" width="10.28515625" style="556" customWidth="1"/>
    <col min="6154" max="6157" width="10.7109375" style="556" customWidth="1"/>
    <col min="6158" max="6159" width="12.7109375" style="556" customWidth="1"/>
    <col min="6160" max="6160" width="15.7109375" style="556" customWidth="1"/>
    <col min="6161" max="6168" width="10.7109375" style="556" customWidth="1"/>
    <col min="6169" max="6169" width="4.7109375" style="556" customWidth="1"/>
    <col min="6170" max="6173" width="10.7109375" style="556" customWidth="1"/>
    <col min="6174" max="6386" width="9.140625" style="556"/>
    <col min="6387" max="6387" width="15.7109375" style="556" customWidth="1"/>
    <col min="6388" max="6388" width="9.140625" style="556"/>
    <col min="6389" max="6389" width="10.7109375" style="556" customWidth="1"/>
    <col min="6390" max="6392" width="12.7109375" style="556" customWidth="1"/>
    <col min="6393" max="6394" width="10.7109375" style="556" customWidth="1"/>
    <col min="6395" max="6396" width="9.140625" style="556"/>
    <col min="6397" max="6398" width="9.7109375" style="556" customWidth="1"/>
    <col min="6399" max="6399" width="4.7109375" style="556" customWidth="1"/>
    <col min="6400" max="6400" width="9.140625" style="556"/>
    <col min="6401" max="6401" width="10.7109375" style="556" customWidth="1"/>
    <col min="6402" max="6402" width="11.7109375" style="556" customWidth="1"/>
    <col min="6403" max="6403" width="10.7109375" style="556" customWidth="1"/>
    <col min="6404" max="6404" width="10.5703125" style="556" bestFit="1" customWidth="1"/>
    <col min="6405" max="6406" width="9.140625" style="556"/>
    <col min="6407" max="6407" width="10.7109375" style="556" customWidth="1"/>
    <col min="6408" max="6409" width="10.28515625" style="556" customWidth="1"/>
    <col min="6410" max="6413" width="10.7109375" style="556" customWidth="1"/>
    <col min="6414" max="6415" width="12.7109375" style="556" customWidth="1"/>
    <col min="6416" max="6416" width="15.7109375" style="556" customWidth="1"/>
    <col min="6417" max="6424" width="10.7109375" style="556" customWidth="1"/>
    <col min="6425" max="6425" width="4.7109375" style="556" customWidth="1"/>
    <col min="6426" max="6429" width="10.7109375" style="556" customWidth="1"/>
    <col min="6430" max="6642" width="9.140625" style="556"/>
    <col min="6643" max="6643" width="15.7109375" style="556" customWidth="1"/>
    <col min="6644" max="6644" width="9.140625" style="556"/>
    <col min="6645" max="6645" width="10.7109375" style="556" customWidth="1"/>
    <col min="6646" max="6648" width="12.7109375" style="556" customWidth="1"/>
    <col min="6649" max="6650" width="10.7109375" style="556" customWidth="1"/>
    <col min="6651" max="6652" width="9.140625" style="556"/>
    <col min="6653" max="6654" width="9.7109375" style="556" customWidth="1"/>
    <col min="6655" max="6655" width="4.7109375" style="556" customWidth="1"/>
    <col min="6656" max="6656" width="9.140625" style="556"/>
    <col min="6657" max="6657" width="10.7109375" style="556" customWidth="1"/>
    <col min="6658" max="6658" width="11.7109375" style="556" customWidth="1"/>
    <col min="6659" max="6659" width="10.7109375" style="556" customWidth="1"/>
    <col min="6660" max="6660" width="10.5703125" style="556" bestFit="1" customWidth="1"/>
    <col min="6661" max="6662" width="9.140625" style="556"/>
    <col min="6663" max="6663" width="10.7109375" style="556" customWidth="1"/>
    <col min="6664" max="6665" width="10.28515625" style="556" customWidth="1"/>
    <col min="6666" max="6669" width="10.7109375" style="556" customWidth="1"/>
    <col min="6670" max="6671" width="12.7109375" style="556" customWidth="1"/>
    <col min="6672" max="6672" width="15.7109375" style="556" customWidth="1"/>
    <col min="6673" max="6680" width="10.7109375" style="556" customWidth="1"/>
    <col min="6681" max="6681" width="4.7109375" style="556" customWidth="1"/>
    <col min="6682" max="6685" width="10.7109375" style="556" customWidth="1"/>
    <col min="6686" max="6898" width="9.140625" style="556"/>
    <col min="6899" max="6899" width="15.7109375" style="556" customWidth="1"/>
    <col min="6900" max="6900" width="9.140625" style="556"/>
    <col min="6901" max="6901" width="10.7109375" style="556" customWidth="1"/>
    <col min="6902" max="6904" width="12.7109375" style="556" customWidth="1"/>
    <col min="6905" max="6906" width="10.7109375" style="556" customWidth="1"/>
    <col min="6907" max="6908" width="9.140625" style="556"/>
    <col min="6909" max="6910" width="9.7109375" style="556" customWidth="1"/>
    <col min="6911" max="6911" width="4.7109375" style="556" customWidth="1"/>
    <col min="6912" max="6912" width="9.140625" style="556"/>
    <col min="6913" max="6913" width="10.7109375" style="556" customWidth="1"/>
    <col min="6914" max="6914" width="11.7109375" style="556" customWidth="1"/>
    <col min="6915" max="6915" width="10.7109375" style="556" customWidth="1"/>
    <col min="6916" max="6916" width="10.5703125" style="556" bestFit="1" customWidth="1"/>
    <col min="6917" max="6918" width="9.140625" style="556"/>
    <col min="6919" max="6919" width="10.7109375" style="556" customWidth="1"/>
    <col min="6920" max="6921" width="10.28515625" style="556" customWidth="1"/>
    <col min="6922" max="6925" width="10.7109375" style="556" customWidth="1"/>
    <col min="6926" max="6927" width="12.7109375" style="556" customWidth="1"/>
    <col min="6928" max="6928" width="15.7109375" style="556" customWidth="1"/>
    <col min="6929" max="6936" width="10.7109375" style="556" customWidth="1"/>
    <col min="6937" max="6937" width="4.7109375" style="556" customWidth="1"/>
    <col min="6938" max="6941" width="10.7109375" style="556" customWidth="1"/>
    <col min="6942" max="7154" width="9.140625" style="556"/>
    <col min="7155" max="7155" width="15.7109375" style="556" customWidth="1"/>
    <col min="7156" max="7156" width="9.140625" style="556"/>
    <col min="7157" max="7157" width="10.7109375" style="556" customWidth="1"/>
    <col min="7158" max="7160" width="12.7109375" style="556" customWidth="1"/>
    <col min="7161" max="7162" width="10.7109375" style="556" customWidth="1"/>
    <col min="7163" max="7164" width="9.140625" style="556"/>
    <col min="7165" max="7166" width="9.7109375" style="556" customWidth="1"/>
    <col min="7167" max="7167" width="4.7109375" style="556" customWidth="1"/>
    <col min="7168" max="7168" width="9.140625" style="556"/>
    <col min="7169" max="7169" width="10.7109375" style="556" customWidth="1"/>
    <col min="7170" max="7170" width="11.7109375" style="556" customWidth="1"/>
    <col min="7171" max="7171" width="10.7109375" style="556" customWidth="1"/>
    <col min="7172" max="7172" width="10.5703125" style="556" bestFit="1" customWidth="1"/>
    <col min="7173" max="7174" width="9.140625" style="556"/>
    <col min="7175" max="7175" width="10.7109375" style="556" customWidth="1"/>
    <col min="7176" max="7177" width="10.28515625" style="556" customWidth="1"/>
    <col min="7178" max="7181" width="10.7109375" style="556" customWidth="1"/>
    <col min="7182" max="7183" width="12.7109375" style="556" customWidth="1"/>
    <col min="7184" max="7184" width="15.7109375" style="556" customWidth="1"/>
    <col min="7185" max="7192" width="10.7109375" style="556" customWidth="1"/>
    <col min="7193" max="7193" width="4.7109375" style="556" customWidth="1"/>
    <col min="7194" max="7197" width="10.7109375" style="556" customWidth="1"/>
    <col min="7198" max="7410" width="9.140625" style="556"/>
    <col min="7411" max="7411" width="15.7109375" style="556" customWidth="1"/>
    <col min="7412" max="7412" width="9.140625" style="556"/>
    <col min="7413" max="7413" width="10.7109375" style="556" customWidth="1"/>
    <col min="7414" max="7416" width="12.7109375" style="556" customWidth="1"/>
    <col min="7417" max="7418" width="10.7109375" style="556" customWidth="1"/>
    <col min="7419" max="7420" width="9.140625" style="556"/>
    <col min="7421" max="7422" width="9.7109375" style="556" customWidth="1"/>
    <col min="7423" max="7423" width="4.7109375" style="556" customWidth="1"/>
    <col min="7424" max="7424" width="9.140625" style="556"/>
    <col min="7425" max="7425" width="10.7109375" style="556" customWidth="1"/>
    <col min="7426" max="7426" width="11.7109375" style="556" customWidth="1"/>
    <col min="7427" max="7427" width="10.7109375" style="556" customWidth="1"/>
    <col min="7428" max="7428" width="10.5703125" style="556" bestFit="1" customWidth="1"/>
    <col min="7429" max="7430" width="9.140625" style="556"/>
    <col min="7431" max="7431" width="10.7109375" style="556" customWidth="1"/>
    <col min="7432" max="7433" width="10.28515625" style="556" customWidth="1"/>
    <col min="7434" max="7437" width="10.7109375" style="556" customWidth="1"/>
    <col min="7438" max="7439" width="12.7109375" style="556" customWidth="1"/>
    <col min="7440" max="7440" width="15.7109375" style="556" customWidth="1"/>
    <col min="7441" max="7448" width="10.7109375" style="556" customWidth="1"/>
    <col min="7449" max="7449" width="4.7109375" style="556" customWidth="1"/>
    <col min="7450" max="7453" width="10.7109375" style="556" customWidth="1"/>
    <col min="7454" max="7666" width="9.140625" style="556"/>
    <col min="7667" max="7667" width="15.7109375" style="556" customWidth="1"/>
    <col min="7668" max="7668" width="9.140625" style="556"/>
    <col min="7669" max="7669" width="10.7109375" style="556" customWidth="1"/>
    <col min="7670" max="7672" width="12.7109375" style="556" customWidth="1"/>
    <col min="7673" max="7674" width="10.7109375" style="556" customWidth="1"/>
    <col min="7675" max="7676" width="9.140625" style="556"/>
    <col min="7677" max="7678" width="9.7109375" style="556" customWidth="1"/>
    <col min="7679" max="7679" width="4.7109375" style="556" customWidth="1"/>
    <col min="7680" max="7680" width="9.140625" style="556"/>
    <col min="7681" max="7681" width="10.7109375" style="556" customWidth="1"/>
    <col min="7682" max="7682" width="11.7109375" style="556" customWidth="1"/>
    <col min="7683" max="7683" width="10.7109375" style="556" customWidth="1"/>
    <col min="7684" max="7684" width="10.5703125" style="556" bestFit="1" customWidth="1"/>
    <col min="7685" max="7686" width="9.140625" style="556"/>
    <col min="7687" max="7687" width="10.7109375" style="556" customWidth="1"/>
    <col min="7688" max="7689" width="10.28515625" style="556" customWidth="1"/>
    <col min="7690" max="7693" width="10.7109375" style="556" customWidth="1"/>
    <col min="7694" max="7695" width="12.7109375" style="556" customWidth="1"/>
    <col min="7696" max="7696" width="15.7109375" style="556" customWidth="1"/>
    <col min="7697" max="7704" width="10.7109375" style="556" customWidth="1"/>
    <col min="7705" max="7705" width="4.7109375" style="556" customWidth="1"/>
    <col min="7706" max="7709" width="10.7109375" style="556" customWidth="1"/>
    <col min="7710" max="7922" width="9.140625" style="556"/>
    <col min="7923" max="7923" width="15.7109375" style="556" customWidth="1"/>
    <col min="7924" max="7924" width="9.140625" style="556"/>
    <col min="7925" max="7925" width="10.7109375" style="556" customWidth="1"/>
    <col min="7926" max="7928" width="12.7109375" style="556" customWidth="1"/>
    <col min="7929" max="7930" width="10.7109375" style="556" customWidth="1"/>
    <col min="7931" max="7932" width="9.140625" style="556"/>
    <col min="7933" max="7934" width="9.7109375" style="556" customWidth="1"/>
    <col min="7935" max="7935" width="4.7109375" style="556" customWidth="1"/>
    <col min="7936" max="7936" width="9.140625" style="556"/>
    <col min="7937" max="7937" width="10.7109375" style="556" customWidth="1"/>
    <col min="7938" max="7938" width="11.7109375" style="556" customWidth="1"/>
    <col min="7939" max="7939" width="10.7109375" style="556" customWidth="1"/>
    <col min="7940" max="7940" width="10.5703125" style="556" bestFit="1" customWidth="1"/>
    <col min="7941" max="7942" width="9.140625" style="556"/>
    <col min="7943" max="7943" width="10.7109375" style="556" customWidth="1"/>
    <col min="7944" max="7945" width="10.28515625" style="556" customWidth="1"/>
    <col min="7946" max="7949" width="10.7109375" style="556" customWidth="1"/>
    <col min="7950" max="7951" width="12.7109375" style="556" customWidth="1"/>
    <col min="7952" max="7952" width="15.7109375" style="556" customWidth="1"/>
    <col min="7953" max="7960" width="10.7109375" style="556" customWidth="1"/>
    <col min="7961" max="7961" width="4.7109375" style="556" customWidth="1"/>
    <col min="7962" max="7965" width="10.7109375" style="556" customWidth="1"/>
    <col min="7966" max="8178" width="9.140625" style="556"/>
    <col min="8179" max="8179" width="15.7109375" style="556" customWidth="1"/>
    <col min="8180" max="8180" width="9.140625" style="556"/>
    <col min="8181" max="8181" width="10.7109375" style="556" customWidth="1"/>
    <col min="8182" max="8184" width="12.7109375" style="556" customWidth="1"/>
    <col min="8185" max="8186" width="10.7109375" style="556" customWidth="1"/>
    <col min="8187" max="8188" width="9.140625" style="556"/>
    <col min="8189" max="8190" width="9.7109375" style="556" customWidth="1"/>
    <col min="8191" max="8191" width="4.7109375" style="556" customWidth="1"/>
    <col min="8192" max="8192" width="9.140625" style="556"/>
    <col min="8193" max="8193" width="10.7109375" style="556" customWidth="1"/>
    <col min="8194" max="8194" width="11.7109375" style="556" customWidth="1"/>
    <col min="8195" max="8195" width="10.7109375" style="556" customWidth="1"/>
    <col min="8196" max="8196" width="10.5703125" style="556" bestFit="1" customWidth="1"/>
    <col min="8197" max="8198" width="9.140625" style="556"/>
    <col min="8199" max="8199" width="10.7109375" style="556" customWidth="1"/>
    <col min="8200" max="8201" width="10.28515625" style="556" customWidth="1"/>
    <col min="8202" max="8205" width="10.7109375" style="556" customWidth="1"/>
    <col min="8206" max="8207" width="12.7109375" style="556" customWidth="1"/>
    <col min="8208" max="8208" width="15.7109375" style="556" customWidth="1"/>
    <col min="8209" max="8216" width="10.7109375" style="556" customWidth="1"/>
    <col min="8217" max="8217" width="4.7109375" style="556" customWidth="1"/>
    <col min="8218" max="8221" width="10.7109375" style="556" customWidth="1"/>
    <col min="8222" max="8434" width="9.140625" style="556"/>
    <col min="8435" max="8435" width="15.7109375" style="556" customWidth="1"/>
    <col min="8436" max="8436" width="9.140625" style="556"/>
    <col min="8437" max="8437" width="10.7109375" style="556" customWidth="1"/>
    <col min="8438" max="8440" width="12.7109375" style="556" customWidth="1"/>
    <col min="8441" max="8442" width="10.7109375" style="556" customWidth="1"/>
    <col min="8443" max="8444" width="9.140625" style="556"/>
    <col min="8445" max="8446" width="9.7109375" style="556" customWidth="1"/>
    <col min="8447" max="8447" width="4.7109375" style="556" customWidth="1"/>
    <col min="8448" max="8448" width="9.140625" style="556"/>
    <col min="8449" max="8449" width="10.7109375" style="556" customWidth="1"/>
    <col min="8450" max="8450" width="11.7109375" style="556" customWidth="1"/>
    <col min="8451" max="8451" width="10.7109375" style="556" customWidth="1"/>
    <col min="8452" max="8452" width="10.5703125" style="556" bestFit="1" customWidth="1"/>
    <col min="8453" max="8454" width="9.140625" style="556"/>
    <col min="8455" max="8455" width="10.7109375" style="556" customWidth="1"/>
    <col min="8456" max="8457" width="10.28515625" style="556" customWidth="1"/>
    <col min="8458" max="8461" width="10.7109375" style="556" customWidth="1"/>
    <col min="8462" max="8463" width="12.7109375" style="556" customWidth="1"/>
    <col min="8464" max="8464" width="15.7109375" style="556" customWidth="1"/>
    <col min="8465" max="8472" width="10.7109375" style="556" customWidth="1"/>
    <col min="8473" max="8473" width="4.7109375" style="556" customWidth="1"/>
    <col min="8474" max="8477" width="10.7109375" style="556" customWidth="1"/>
    <col min="8478" max="8690" width="9.140625" style="556"/>
    <col min="8691" max="8691" width="15.7109375" style="556" customWidth="1"/>
    <col min="8692" max="8692" width="9.140625" style="556"/>
    <col min="8693" max="8693" width="10.7109375" style="556" customWidth="1"/>
    <col min="8694" max="8696" width="12.7109375" style="556" customWidth="1"/>
    <col min="8697" max="8698" width="10.7109375" style="556" customWidth="1"/>
    <col min="8699" max="8700" width="9.140625" style="556"/>
    <col min="8701" max="8702" width="9.7109375" style="556" customWidth="1"/>
    <col min="8703" max="8703" width="4.7109375" style="556" customWidth="1"/>
    <col min="8704" max="8704" width="9.140625" style="556"/>
    <col min="8705" max="8705" width="10.7109375" style="556" customWidth="1"/>
    <col min="8706" max="8706" width="11.7109375" style="556" customWidth="1"/>
    <col min="8707" max="8707" width="10.7109375" style="556" customWidth="1"/>
    <col min="8708" max="8708" width="10.5703125" style="556" bestFit="1" customWidth="1"/>
    <col min="8709" max="8710" width="9.140625" style="556"/>
    <col min="8711" max="8711" width="10.7109375" style="556" customWidth="1"/>
    <col min="8712" max="8713" width="10.28515625" style="556" customWidth="1"/>
    <col min="8714" max="8717" width="10.7109375" style="556" customWidth="1"/>
    <col min="8718" max="8719" width="12.7109375" style="556" customWidth="1"/>
    <col min="8720" max="8720" width="15.7109375" style="556" customWidth="1"/>
    <col min="8721" max="8728" width="10.7109375" style="556" customWidth="1"/>
    <col min="8729" max="8729" width="4.7109375" style="556" customWidth="1"/>
    <col min="8730" max="8733" width="10.7109375" style="556" customWidth="1"/>
    <col min="8734" max="8946" width="9.140625" style="556"/>
    <col min="8947" max="8947" width="15.7109375" style="556" customWidth="1"/>
    <col min="8948" max="8948" width="9.140625" style="556"/>
    <col min="8949" max="8949" width="10.7109375" style="556" customWidth="1"/>
    <col min="8950" max="8952" width="12.7109375" style="556" customWidth="1"/>
    <col min="8953" max="8954" width="10.7109375" style="556" customWidth="1"/>
    <col min="8955" max="8956" width="9.140625" style="556"/>
    <col min="8957" max="8958" width="9.7109375" style="556" customWidth="1"/>
    <col min="8959" max="8959" width="4.7109375" style="556" customWidth="1"/>
    <col min="8960" max="8960" width="9.140625" style="556"/>
    <col min="8961" max="8961" width="10.7109375" style="556" customWidth="1"/>
    <col min="8962" max="8962" width="11.7109375" style="556" customWidth="1"/>
    <col min="8963" max="8963" width="10.7109375" style="556" customWidth="1"/>
    <col min="8964" max="8964" width="10.5703125" style="556" bestFit="1" customWidth="1"/>
    <col min="8965" max="8966" width="9.140625" style="556"/>
    <col min="8967" max="8967" width="10.7109375" style="556" customWidth="1"/>
    <col min="8968" max="8969" width="10.28515625" style="556" customWidth="1"/>
    <col min="8970" max="8973" width="10.7109375" style="556" customWidth="1"/>
    <col min="8974" max="8975" width="12.7109375" style="556" customWidth="1"/>
    <col min="8976" max="8976" width="15.7109375" style="556" customWidth="1"/>
    <col min="8977" max="8984" width="10.7109375" style="556" customWidth="1"/>
    <col min="8985" max="8985" width="4.7109375" style="556" customWidth="1"/>
    <col min="8986" max="8989" width="10.7109375" style="556" customWidth="1"/>
    <col min="8990" max="9202" width="9.140625" style="556"/>
    <col min="9203" max="9203" width="15.7109375" style="556" customWidth="1"/>
    <col min="9204" max="9204" width="9.140625" style="556"/>
    <col min="9205" max="9205" width="10.7109375" style="556" customWidth="1"/>
    <col min="9206" max="9208" width="12.7109375" style="556" customWidth="1"/>
    <col min="9209" max="9210" width="10.7109375" style="556" customWidth="1"/>
    <col min="9211" max="9212" width="9.140625" style="556"/>
    <col min="9213" max="9214" width="9.7109375" style="556" customWidth="1"/>
    <col min="9215" max="9215" width="4.7109375" style="556" customWidth="1"/>
    <col min="9216" max="9216" width="9.140625" style="556"/>
    <col min="9217" max="9217" width="10.7109375" style="556" customWidth="1"/>
    <col min="9218" max="9218" width="11.7109375" style="556" customWidth="1"/>
    <col min="9219" max="9219" width="10.7109375" style="556" customWidth="1"/>
    <col min="9220" max="9220" width="10.5703125" style="556" bestFit="1" customWidth="1"/>
    <col min="9221" max="9222" width="9.140625" style="556"/>
    <col min="9223" max="9223" width="10.7109375" style="556" customWidth="1"/>
    <col min="9224" max="9225" width="10.28515625" style="556" customWidth="1"/>
    <col min="9226" max="9229" width="10.7109375" style="556" customWidth="1"/>
    <col min="9230" max="9231" width="12.7109375" style="556" customWidth="1"/>
    <col min="9232" max="9232" width="15.7109375" style="556" customWidth="1"/>
    <col min="9233" max="9240" width="10.7109375" style="556" customWidth="1"/>
    <col min="9241" max="9241" width="4.7109375" style="556" customWidth="1"/>
    <col min="9242" max="9245" width="10.7109375" style="556" customWidth="1"/>
    <col min="9246" max="9458" width="9.140625" style="556"/>
    <col min="9459" max="9459" width="15.7109375" style="556" customWidth="1"/>
    <col min="9460" max="9460" width="9.140625" style="556"/>
    <col min="9461" max="9461" width="10.7109375" style="556" customWidth="1"/>
    <col min="9462" max="9464" width="12.7109375" style="556" customWidth="1"/>
    <col min="9465" max="9466" width="10.7109375" style="556" customWidth="1"/>
    <col min="9467" max="9468" width="9.140625" style="556"/>
    <col min="9469" max="9470" width="9.7109375" style="556" customWidth="1"/>
    <col min="9471" max="9471" width="4.7109375" style="556" customWidth="1"/>
    <col min="9472" max="9472" width="9.140625" style="556"/>
    <col min="9473" max="9473" width="10.7109375" style="556" customWidth="1"/>
    <col min="9474" max="9474" width="11.7109375" style="556" customWidth="1"/>
    <col min="9475" max="9475" width="10.7109375" style="556" customWidth="1"/>
    <col min="9476" max="9476" width="10.5703125" style="556" bestFit="1" customWidth="1"/>
    <col min="9477" max="9478" width="9.140625" style="556"/>
    <col min="9479" max="9479" width="10.7109375" style="556" customWidth="1"/>
    <col min="9480" max="9481" width="10.28515625" style="556" customWidth="1"/>
    <col min="9482" max="9485" width="10.7109375" style="556" customWidth="1"/>
    <col min="9486" max="9487" width="12.7109375" style="556" customWidth="1"/>
    <col min="9488" max="9488" width="15.7109375" style="556" customWidth="1"/>
    <col min="9489" max="9496" width="10.7109375" style="556" customWidth="1"/>
    <col min="9497" max="9497" width="4.7109375" style="556" customWidth="1"/>
    <col min="9498" max="9501" width="10.7109375" style="556" customWidth="1"/>
    <col min="9502" max="9714" width="9.140625" style="556"/>
    <col min="9715" max="9715" width="15.7109375" style="556" customWidth="1"/>
    <col min="9716" max="9716" width="9.140625" style="556"/>
    <col min="9717" max="9717" width="10.7109375" style="556" customWidth="1"/>
    <col min="9718" max="9720" width="12.7109375" style="556" customWidth="1"/>
    <col min="9721" max="9722" width="10.7109375" style="556" customWidth="1"/>
    <col min="9723" max="9724" width="9.140625" style="556"/>
    <col min="9725" max="9726" width="9.7109375" style="556" customWidth="1"/>
    <col min="9727" max="9727" width="4.7109375" style="556" customWidth="1"/>
    <col min="9728" max="9728" width="9.140625" style="556"/>
    <col min="9729" max="9729" width="10.7109375" style="556" customWidth="1"/>
    <col min="9730" max="9730" width="11.7109375" style="556" customWidth="1"/>
    <col min="9731" max="9731" width="10.7109375" style="556" customWidth="1"/>
    <col min="9732" max="9732" width="10.5703125" style="556" bestFit="1" customWidth="1"/>
    <col min="9733" max="9734" width="9.140625" style="556"/>
    <col min="9735" max="9735" width="10.7109375" style="556" customWidth="1"/>
    <col min="9736" max="9737" width="10.28515625" style="556" customWidth="1"/>
    <col min="9738" max="9741" width="10.7109375" style="556" customWidth="1"/>
    <col min="9742" max="9743" width="12.7109375" style="556" customWidth="1"/>
    <col min="9744" max="9744" width="15.7109375" style="556" customWidth="1"/>
    <col min="9745" max="9752" width="10.7109375" style="556" customWidth="1"/>
    <col min="9753" max="9753" width="4.7109375" style="556" customWidth="1"/>
    <col min="9754" max="9757" width="10.7109375" style="556" customWidth="1"/>
    <col min="9758" max="9970" width="9.140625" style="556"/>
    <col min="9971" max="9971" width="15.7109375" style="556" customWidth="1"/>
    <col min="9972" max="9972" width="9.140625" style="556"/>
    <col min="9973" max="9973" width="10.7109375" style="556" customWidth="1"/>
    <col min="9974" max="9976" width="12.7109375" style="556" customWidth="1"/>
    <col min="9977" max="9978" width="10.7109375" style="556" customWidth="1"/>
    <col min="9979" max="9980" width="9.140625" style="556"/>
    <col min="9981" max="9982" width="9.7109375" style="556" customWidth="1"/>
    <col min="9983" max="9983" width="4.7109375" style="556" customWidth="1"/>
    <col min="9984" max="9984" width="9.140625" style="556"/>
    <col min="9985" max="9985" width="10.7109375" style="556" customWidth="1"/>
    <col min="9986" max="9986" width="11.7109375" style="556" customWidth="1"/>
    <col min="9987" max="9987" width="10.7109375" style="556" customWidth="1"/>
    <col min="9988" max="9988" width="10.5703125" style="556" bestFit="1" customWidth="1"/>
    <col min="9989" max="9990" width="9.140625" style="556"/>
    <col min="9991" max="9991" width="10.7109375" style="556" customWidth="1"/>
    <col min="9992" max="9993" width="10.28515625" style="556" customWidth="1"/>
    <col min="9994" max="9997" width="10.7109375" style="556" customWidth="1"/>
    <col min="9998" max="9999" width="12.7109375" style="556" customWidth="1"/>
    <col min="10000" max="10000" width="15.7109375" style="556" customWidth="1"/>
    <col min="10001" max="10008" width="10.7109375" style="556" customWidth="1"/>
    <col min="10009" max="10009" width="4.7109375" style="556" customWidth="1"/>
    <col min="10010" max="10013" width="10.7109375" style="556" customWidth="1"/>
    <col min="10014" max="10226" width="9.140625" style="556"/>
    <col min="10227" max="10227" width="15.7109375" style="556" customWidth="1"/>
    <col min="10228" max="10228" width="9.140625" style="556"/>
    <col min="10229" max="10229" width="10.7109375" style="556" customWidth="1"/>
    <col min="10230" max="10232" width="12.7109375" style="556" customWidth="1"/>
    <col min="10233" max="10234" width="10.7109375" style="556" customWidth="1"/>
    <col min="10235" max="10236" width="9.140625" style="556"/>
    <col min="10237" max="10238" width="9.7109375" style="556" customWidth="1"/>
    <col min="10239" max="10239" width="4.7109375" style="556" customWidth="1"/>
    <col min="10240" max="10240" width="9.140625" style="556"/>
    <col min="10241" max="10241" width="10.7109375" style="556" customWidth="1"/>
    <col min="10242" max="10242" width="11.7109375" style="556" customWidth="1"/>
    <col min="10243" max="10243" width="10.7109375" style="556" customWidth="1"/>
    <col min="10244" max="10244" width="10.5703125" style="556" bestFit="1" customWidth="1"/>
    <col min="10245" max="10246" width="9.140625" style="556"/>
    <col min="10247" max="10247" width="10.7109375" style="556" customWidth="1"/>
    <col min="10248" max="10249" width="10.28515625" style="556" customWidth="1"/>
    <col min="10250" max="10253" width="10.7109375" style="556" customWidth="1"/>
    <col min="10254" max="10255" width="12.7109375" style="556" customWidth="1"/>
    <col min="10256" max="10256" width="15.7109375" style="556" customWidth="1"/>
    <col min="10257" max="10264" width="10.7109375" style="556" customWidth="1"/>
    <col min="10265" max="10265" width="4.7109375" style="556" customWidth="1"/>
    <col min="10266" max="10269" width="10.7109375" style="556" customWidth="1"/>
    <col min="10270" max="10482" width="9.140625" style="556"/>
    <col min="10483" max="10483" width="15.7109375" style="556" customWidth="1"/>
    <col min="10484" max="10484" width="9.140625" style="556"/>
    <col min="10485" max="10485" width="10.7109375" style="556" customWidth="1"/>
    <col min="10486" max="10488" width="12.7109375" style="556" customWidth="1"/>
    <col min="10489" max="10490" width="10.7109375" style="556" customWidth="1"/>
    <col min="10491" max="10492" width="9.140625" style="556"/>
    <col min="10493" max="10494" width="9.7109375" style="556" customWidth="1"/>
    <col min="10495" max="10495" width="4.7109375" style="556" customWidth="1"/>
    <col min="10496" max="10496" width="9.140625" style="556"/>
    <col min="10497" max="10497" width="10.7109375" style="556" customWidth="1"/>
    <col min="10498" max="10498" width="11.7109375" style="556" customWidth="1"/>
    <col min="10499" max="10499" width="10.7109375" style="556" customWidth="1"/>
    <col min="10500" max="10500" width="10.5703125" style="556" bestFit="1" customWidth="1"/>
    <col min="10501" max="10502" width="9.140625" style="556"/>
    <col min="10503" max="10503" width="10.7109375" style="556" customWidth="1"/>
    <col min="10504" max="10505" width="10.28515625" style="556" customWidth="1"/>
    <col min="10506" max="10509" width="10.7109375" style="556" customWidth="1"/>
    <col min="10510" max="10511" width="12.7109375" style="556" customWidth="1"/>
    <col min="10512" max="10512" width="15.7109375" style="556" customWidth="1"/>
    <col min="10513" max="10520" width="10.7109375" style="556" customWidth="1"/>
    <col min="10521" max="10521" width="4.7109375" style="556" customWidth="1"/>
    <col min="10522" max="10525" width="10.7109375" style="556" customWidth="1"/>
    <col min="10526" max="10738" width="9.140625" style="556"/>
    <col min="10739" max="10739" width="15.7109375" style="556" customWidth="1"/>
    <col min="10740" max="10740" width="9.140625" style="556"/>
    <col min="10741" max="10741" width="10.7109375" style="556" customWidth="1"/>
    <col min="10742" max="10744" width="12.7109375" style="556" customWidth="1"/>
    <col min="10745" max="10746" width="10.7109375" style="556" customWidth="1"/>
    <col min="10747" max="10748" width="9.140625" style="556"/>
    <col min="10749" max="10750" width="9.7109375" style="556" customWidth="1"/>
    <col min="10751" max="10751" width="4.7109375" style="556" customWidth="1"/>
    <col min="10752" max="10752" width="9.140625" style="556"/>
    <col min="10753" max="10753" width="10.7109375" style="556" customWidth="1"/>
    <col min="10754" max="10754" width="11.7109375" style="556" customWidth="1"/>
    <col min="10755" max="10755" width="10.7109375" style="556" customWidth="1"/>
    <col min="10756" max="10756" width="10.5703125" style="556" bestFit="1" customWidth="1"/>
    <col min="10757" max="10758" width="9.140625" style="556"/>
    <col min="10759" max="10759" width="10.7109375" style="556" customWidth="1"/>
    <col min="10760" max="10761" width="10.28515625" style="556" customWidth="1"/>
    <col min="10762" max="10765" width="10.7109375" style="556" customWidth="1"/>
    <col min="10766" max="10767" width="12.7109375" style="556" customWidth="1"/>
    <col min="10768" max="10768" width="15.7109375" style="556" customWidth="1"/>
    <col min="10769" max="10776" width="10.7109375" style="556" customWidth="1"/>
    <col min="10777" max="10777" width="4.7109375" style="556" customWidth="1"/>
    <col min="10778" max="10781" width="10.7109375" style="556" customWidth="1"/>
    <col min="10782" max="10994" width="9.140625" style="556"/>
    <col min="10995" max="10995" width="15.7109375" style="556" customWidth="1"/>
    <col min="10996" max="10996" width="9.140625" style="556"/>
    <col min="10997" max="10997" width="10.7109375" style="556" customWidth="1"/>
    <col min="10998" max="11000" width="12.7109375" style="556" customWidth="1"/>
    <col min="11001" max="11002" width="10.7109375" style="556" customWidth="1"/>
    <col min="11003" max="11004" width="9.140625" style="556"/>
    <col min="11005" max="11006" width="9.7109375" style="556" customWidth="1"/>
    <col min="11007" max="11007" width="4.7109375" style="556" customWidth="1"/>
    <col min="11008" max="11008" width="9.140625" style="556"/>
    <col min="11009" max="11009" width="10.7109375" style="556" customWidth="1"/>
    <col min="11010" max="11010" width="11.7109375" style="556" customWidth="1"/>
    <col min="11011" max="11011" width="10.7109375" style="556" customWidth="1"/>
    <col min="11012" max="11012" width="10.5703125" style="556" bestFit="1" customWidth="1"/>
    <col min="11013" max="11014" width="9.140625" style="556"/>
    <col min="11015" max="11015" width="10.7109375" style="556" customWidth="1"/>
    <col min="11016" max="11017" width="10.28515625" style="556" customWidth="1"/>
    <col min="11018" max="11021" width="10.7109375" style="556" customWidth="1"/>
    <col min="11022" max="11023" width="12.7109375" style="556" customWidth="1"/>
    <col min="11024" max="11024" width="15.7109375" style="556" customWidth="1"/>
    <col min="11025" max="11032" width="10.7109375" style="556" customWidth="1"/>
    <col min="11033" max="11033" width="4.7109375" style="556" customWidth="1"/>
    <col min="11034" max="11037" width="10.7109375" style="556" customWidth="1"/>
    <col min="11038" max="11250" width="9.140625" style="556"/>
    <col min="11251" max="11251" width="15.7109375" style="556" customWidth="1"/>
    <col min="11252" max="11252" width="9.140625" style="556"/>
    <col min="11253" max="11253" width="10.7109375" style="556" customWidth="1"/>
    <col min="11254" max="11256" width="12.7109375" style="556" customWidth="1"/>
    <col min="11257" max="11258" width="10.7109375" style="556" customWidth="1"/>
    <col min="11259" max="11260" width="9.140625" style="556"/>
    <col min="11261" max="11262" width="9.7109375" style="556" customWidth="1"/>
    <col min="11263" max="11263" width="4.7109375" style="556" customWidth="1"/>
    <col min="11264" max="11264" width="9.140625" style="556"/>
    <col min="11265" max="11265" width="10.7109375" style="556" customWidth="1"/>
    <col min="11266" max="11266" width="11.7109375" style="556" customWidth="1"/>
    <col min="11267" max="11267" width="10.7109375" style="556" customWidth="1"/>
    <col min="11268" max="11268" width="10.5703125" style="556" bestFit="1" customWidth="1"/>
    <col min="11269" max="11270" width="9.140625" style="556"/>
    <col min="11271" max="11271" width="10.7109375" style="556" customWidth="1"/>
    <col min="11272" max="11273" width="10.28515625" style="556" customWidth="1"/>
    <col min="11274" max="11277" width="10.7109375" style="556" customWidth="1"/>
    <col min="11278" max="11279" width="12.7109375" style="556" customWidth="1"/>
    <col min="11280" max="11280" width="15.7109375" style="556" customWidth="1"/>
    <col min="11281" max="11288" width="10.7109375" style="556" customWidth="1"/>
    <col min="11289" max="11289" width="4.7109375" style="556" customWidth="1"/>
    <col min="11290" max="11293" width="10.7109375" style="556" customWidth="1"/>
    <col min="11294" max="11506" width="9.140625" style="556"/>
    <col min="11507" max="11507" width="15.7109375" style="556" customWidth="1"/>
    <col min="11508" max="11508" width="9.140625" style="556"/>
    <col min="11509" max="11509" width="10.7109375" style="556" customWidth="1"/>
    <col min="11510" max="11512" width="12.7109375" style="556" customWidth="1"/>
    <col min="11513" max="11514" width="10.7109375" style="556" customWidth="1"/>
    <col min="11515" max="11516" width="9.140625" style="556"/>
    <col min="11517" max="11518" width="9.7109375" style="556" customWidth="1"/>
    <col min="11519" max="11519" width="4.7109375" style="556" customWidth="1"/>
    <col min="11520" max="11520" width="9.140625" style="556"/>
    <col min="11521" max="11521" width="10.7109375" style="556" customWidth="1"/>
    <col min="11522" max="11522" width="11.7109375" style="556" customWidth="1"/>
    <col min="11523" max="11523" width="10.7109375" style="556" customWidth="1"/>
    <col min="11524" max="11524" width="10.5703125" style="556" bestFit="1" customWidth="1"/>
    <col min="11525" max="11526" width="9.140625" style="556"/>
    <col min="11527" max="11527" width="10.7109375" style="556" customWidth="1"/>
    <col min="11528" max="11529" width="10.28515625" style="556" customWidth="1"/>
    <col min="11530" max="11533" width="10.7109375" style="556" customWidth="1"/>
    <col min="11534" max="11535" width="12.7109375" style="556" customWidth="1"/>
    <col min="11536" max="11536" width="15.7109375" style="556" customWidth="1"/>
    <col min="11537" max="11544" width="10.7109375" style="556" customWidth="1"/>
    <col min="11545" max="11545" width="4.7109375" style="556" customWidth="1"/>
    <col min="11546" max="11549" width="10.7109375" style="556" customWidth="1"/>
    <col min="11550" max="11762" width="9.140625" style="556"/>
    <col min="11763" max="11763" width="15.7109375" style="556" customWidth="1"/>
    <col min="11764" max="11764" width="9.140625" style="556"/>
    <col min="11765" max="11765" width="10.7109375" style="556" customWidth="1"/>
    <col min="11766" max="11768" width="12.7109375" style="556" customWidth="1"/>
    <col min="11769" max="11770" width="10.7109375" style="556" customWidth="1"/>
    <col min="11771" max="11772" width="9.140625" style="556"/>
    <col min="11773" max="11774" width="9.7109375" style="556" customWidth="1"/>
    <col min="11775" max="11775" width="4.7109375" style="556" customWidth="1"/>
    <col min="11776" max="11776" width="9.140625" style="556"/>
    <col min="11777" max="11777" width="10.7109375" style="556" customWidth="1"/>
    <col min="11778" max="11778" width="11.7109375" style="556" customWidth="1"/>
    <col min="11779" max="11779" width="10.7109375" style="556" customWidth="1"/>
    <col min="11780" max="11780" width="10.5703125" style="556" bestFit="1" customWidth="1"/>
    <col min="11781" max="11782" width="9.140625" style="556"/>
    <col min="11783" max="11783" width="10.7109375" style="556" customWidth="1"/>
    <col min="11784" max="11785" width="10.28515625" style="556" customWidth="1"/>
    <col min="11786" max="11789" width="10.7109375" style="556" customWidth="1"/>
    <col min="11790" max="11791" width="12.7109375" style="556" customWidth="1"/>
    <col min="11792" max="11792" width="15.7109375" style="556" customWidth="1"/>
    <col min="11793" max="11800" width="10.7109375" style="556" customWidth="1"/>
    <col min="11801" max="11801" width="4.7109375" style="556" customWidth="1"/>
    <col min="11802" max="11805" width="10.7109375" style="556" customWidth="1"/>
    <col min="11806" max="12018" width="9.140625" style="556"/>
    <col min="12019" max="12019" width="15.7109375" style="556" customWidth="1"/>
    <col min="12020" max="12020" width="9.140625" style="556"/>
    <col min="12021" max="12021" width="10.7109375" style="556" customWidth="1"/>
    <col min="12022" max="12024" width="12.7109375" style="556" customWidth="1"/>
    <col min="12025" max="12026" width="10.7109375" style="556" customWidth="1"/>
    <col min="12027" max="12028" width="9.140625" style="556"/>
    <col min="12029" max="12030" width="9.7109375" style="556" customWidth="1"/>
    <col min="12031" max="12031" width="4.7109375" style="556" customWidth="1"/>
    <col min="12032" max="12032" width="9.140625" style="556"/>
    <col min="12033" max="12033" width="10.7109375" style="556" customWidth="1"/>
    <col min="12034" max="12034" width="11.7109375" style="556" customWidth="1"/>
    <col min="12035" max="12035" width="10.7109375" style="556" customWidth="1"/>
    <col min="12036" max="12036" width="10.5703125" style="556" bestFit="1" customWidth="1"/>
    <col min="12037" max="12038" width="9.140625" style="556"/>
    <col min="12039" max="12039" width="10.7109375" style="556" customWidth="1"/>
    <col min="12040" max="12041" width="10.28515625" style="556" customWidth="1"/>
    <col min="12042" max="12045" width="10.7109375" style="556" customWidth="1"/>
    <col min="12046" max="12047" width="12.7109375" style="556" customWidth="1"/>
    <col min="12048" max="12048" width="15.7109375" style="556" customWidth="1"/>
    <col min="12049" max="12056" width="10.7109375" style="556" customWidth="1"/>
    <col min="12057" max="12057" width="4.7109375" style="556" customWidth="1"/>
    <col min="12058" max="12061" width="10.7109375" style="556" customWidth="1"/>
    <col min="12062" max="12274" width="9.140625" style="556"/>
    <col min="12275" max="12275" width="15.7109375" style="556" customWidth="1"/>
    <col min="12276" max="12276" width="9.140625" style="556"/>
    <col min="12277" max="12277" width="10.7109375" style="556" customWidth="1"/>
    <col min="12278" max="12280" width="12.7109375" style="556" customWidth="1"/>
    <col min="12281" max="12282" width="10.7109375" style="556" customWidth="1"/>
    <col min="12283" max="12284" width="9.140625" style="556"/>
    <col min="12285" max="12286" width="9.7109375" style="556" customWidth="1"/>
    <col min="12287" max="12287" width="4.7109375" style="556" customWidth="1"/>
    <col min="12288" max="12288" width="9.140625" style="556"/>
    <col min="12289" max="12289" width="10.7109375" style="556" customWidth="1"/>
    <col min="12290" max="12290" width="11.7109375" style="556" customWidth="1"/>
    <col min="12291" max="12291" width="10.7109375" style="556" customWidth="1"/>
    <col min="12292" max="12292" width="10.5703125" style="556" bestFit="1" customWidth="1"/>
    <col min="12293" max="12294" width="9.140625" style="556"/>
    <col min="12295" max="12295" width="10.7109375" style="556" customWidth="1"/>
    <col min="12296" max="12297" width="10.28515625" style="556" customWidth="1"/>
    <col min="12298" max="12301" width="10.7109375" style="556" customWidth="1"/>
    <col min="12302" max="12303" width="12.7109375" style="556" customWidth="1"/>
    <col min="12304" max="12304" width="15.7109375" style="556" customWidth="1"/>
    <col min="12305" max="12312" width="10.7109375" style="556" customWidth="1"/>
    <col min="12313" max="12313" width="4.7109375" style="556" customWidth="1"/>
    <col min="12314" max="12317" width="10.7109375" style="556" customWidth="1"/>
    <col min="12318" max="12530" width="9.140625" style="556"/>
    <col min="12531" max="12531" width="15.7109375" style="556" customWidth="1"/>
    <col min="12532" max="12532" width="9.140625" style="556"/>
    <col min="12533" max="12533" width="10.7109375" style="556" customWidth="1"/>
    <col min="12534" max="12536" width="12.7109375" style="556" customWidth="1"/>
    <col min="12537" max="12538" width="10.7109375" style="556" customWidth="1"/>
    <col min="12539" max="12540" width="9.140625" style="556"/>
    <col min="12541" max="12542" width="9.7109375" style="556" customWidth="1"/>
    <col min="12543" max="12543" width="4.7109375" style="556" customWidth="1"/>
    <col min="12544" max="12544" width="9.140625" style="556"/>
    <col min="12545" max="12545" width="10.7109375" style="556" customWidth="1"/>
    <col min="12546" max="12546" width="11.7109375" style="556" customWidth="1"/>
    <col min="12547" max="12547" width="10.7109375" style="556" customWidth="1"/>
    <col min="12548" max="12548" width="10.5703125" style="556" bestFit="1" customWidth="1"/>
    <col min="12549" max="12550" width="9.140625" style="556"/>
    <col min="12551" max="12551" width="10.7109375" style="556" customWidth="1"/>
    <col min="12552" max="12553" width="10.28515625" style="556" customWidth="1"/>
    <col min="12554" max="12557" width="10.7109375" style="556" customWidth="1"/>
    <col min="12558" max="12559" width="12.7109375" style="556" customWidth="1"/>
    <col min="12560" max="12560" width="15.7109375" style="556" customWidth="1"/>
    <col min="12561" max="12568" width="10.7109375" style="556" customWidth="1"/>
    <col min="12569" max="12569" width="4.7109375" style="556" customWidth="1"/>
    <col min="12570" max="12573" width="10.7109375" style="556" customWidth="1"/>
    <col min="12574" max="12786" width="9.140625" style="556"/>
    <col min="12787" max="12787" width="15.7109375" style="556" customWidth="1"/>
    <col min="12788" max="12788" width="9.140625" style="556"/>
    <col min="12789" max="12789" width="10.7109375" style="556" customWidth="1"/>
    <col min="12790" max="12792" width="12.7109375" style="556" customWidth="1"/>
    <col min="12793" max="12794" width="10.7109375" style="556" customWidth="1"/>
    <col min="12795" max="12796" width="9.140625" style="556"/>
    <col min="12797" max="12798" width="9.7109375" style="556" customWidth="1"/>
    <col min="12799" max="12799" width="4.7109375" style="556" customWidth="1"/>
    <col min="12800" max="12800" width="9.140625" style="556"/>
    <col min="12801" max="12801" width="10.7109375" style="556" customWidth="1"/>
    <col min="12802" max="12802" width="11.7109375" style="556" customWidth="1"/>
    <col min="12803" max="12803" width="10.7109375" style="556" customWidth="1"/>
    <col min="12804" max="12804" width="10.5703125" style="556" bestFit="1" customWidth="1"/>
    <col min="12805" max="12806" width="9.140625" style="556"/>
    <col min="12807" max="12807" width="10.7109375" style="556" customWidth="1"/>
    <col min="12808" max="12809" width="10.28515625" style="556" customWidth="1"/>
    <col min="12810" max="12813" width="10.7109375" style="556" customWidth="1"/>
    <col min="12814" max="12815" width="12.7109375" style="556" customWidth="1"/>
    <col min="12816" max="12816" width="15.7109375" style="556" customWidth="1"/>
    <col min="12817" max="12824" width="10.7109375" style="556" customWidth="1"/>
    <col min="12825" max="12825" width="4.7109375" style="556" customWidth="1"/>
    <col min="12826" max="12829" width="10.7109375" style="556" customWidth="1"/>
    <col min="12830" max="13042" width="9.140625" style="556"/>
    <col min="13043" max="13043" width="15.7109375" style="556" customWidth="1"/>
    <col min="13044" max="13044" width="9.140625" style="556"/>
    <col min="13045" max="13045" width="10.7109375" style="556" customWidth="1"/>
    <col min="13046" max="13048" width="12.7109375" style="556" customWidth="1"/>
    <col min="13049" max="13050" width="10.7109375" style="556" customWidth="1"/>
    <col min="13051" max="13052" width="9.140625" style="556"/>
    <col min="13053" max="13054" width="9.7109375" style="556" customWidth="1"/>
    <col min="13055" max="13055" width="4.7109375" style="556" customWidth="1"/>
    <col min="13056" max="13056" width="9.140625" style="556"/>
    <col min="13057" max="13057" width="10.7109375" style="556" customWidth="1"/>
    <col min="13058" max="13058" width="11.7109375" style="556" customWidth="1"/>
    <col min="13059" max="13059" width="10.7109375" style="556" customWidth="1"/>
    <col min="13060" max="13060" width="10.5703125" style="556" bestFit="1" customWidth="1"/>
    <col min="13061" max="13062" width="9.140625" style="556"/>
    <col min="13063" max="13063" width="10.7109375" style="556" customWidth="1"/>
    <col min="13064" max="13065" width="10.28515625" style="556" customWidth="1"/>
    <col min="13066" max="13069" width="10.7109375" style="556" customWidth="1"/>
    <col min="13070" max="13071" width="12.7109375" style="556" customWidth="1"/>
    <col min="13072" max="13072" width="15.7109375" style="556" customWidth="1"/>
    <col min="13073" max="13080" width="10.7109375" style="556" customWidth="1"/>
    <col min="13081" max="13081" width="4.7109375" style="556" customWidth="1"/>
    <col min="13082" max="13085" width="10.7109375" style="556" customWidth="1"/>
    <col min="13086" max="13298" width="9.140625" style="556"/>
    <col min="13299" max="13299" width="15.7109375" style="556" customWidth="1"/>
    <col min="13300" max="13300" width="9.140625" style="556"/>
    <col min="13301" max="13301" width="10.7109375" style="556" customWidth="1"/>
    <col min="13302" max="13304" width="12.7109375" style="556" customWidth="1"/>
    <col min="13305" max="13306" width="10.7109375" style="556" customWidth="1"/>
    <col min="13307" max="13308" width="9.140625" style="556"/>
    <col min="13309" max="13310" width="9.7109375" style="556" customWidth="1"/>
    <col min="13311" max="13311" width="4.7109375" style="556" customWidth="1"/>
    <col min="13312" max="13312" width="9.140625" style="556"/>
    <col min="13313" max="13313" width="10.7109375" style="556" customWidth="1"/>
    <col min="13314" max="13314" width="11.7109375" style="556" customWidth="1"/>
    <col min="13315" max="13315" width="10.7109375" style="556" customWidth="1"/>
    <col min="13316" max="13316" width="10.5703125" style="556" bestFit="1" customWidth="1"/>
    <col min="13317" max="13318" width="9.140625" style="556"/>
    <col min="13319" max="13319" width="10.7109375" style="556" customWidth="1"/>
    <col min="13320" max="13321" width="10.28515625" style="556" customWidth="1"/>
    <col min="13322" max="13325" width="10.7109375" style="556" customWidth="1"/>
    <col min="13326" max="13327" width="12.7109375" style="556" customWidth="1"/>
    <col min="13328" max="13328" width="15.7109375" style="556" customWidth="1"/>
    <col min="13329" max="13336" width="10.7109375" style="556" customWidth="1"/>
    <col min="13337" max="13337" width="4.7109375" style="556" customWidth="1"/>
    <col min="13338" max="13341" width="10.7109375" style="556" customWidth="1"/>
    <col min="13342" max="13554" width="9.140625" style="556"/>
    <col min="13555" max="13555" width="15.7109375" style="556" customWidth="1"/>
    <col min="13556" max="13556" width="9.140625" style="556"/>
    <col min="13557" max="13557" width="10.7109375" style="556" customWidth="1"/>
    <col min="13558" max="13560" width="12.7109375" style="556" customWidth="1"/>
    <col min="13561" max="13562" width="10.7109375" style="556" customWidth="1"/>
    <col min="13563" max="13564" width="9.140625" style="556"/>
    <col min="13565" max="13566" width="9.7109375" style="556" customWidth="1"/>
    <col min="13567" max="13567" width="4.7109375" style="556" customWidth="1"/>
    <col min="13568" max="13568" width="9.140625" style="556"/>
    <col min="13569" max="13569" width="10.7109375" style="556" customWidth="1"/>
    <col min="13570" max="13570" width="11.7109375" style="556" customWidth="1"/>
    <col min="13571" max="13571" width="10.7109375" style="556" customWidth="1"/>
    <col min="13572" max="13572" width="10.5703125" style="556" bestFit="1" customWidth="1"/>
    <col min="13573" max="13574" width="9.140625" style="556"/>
    <col min="13575" max="13575" width="10.7109375" style="556" customWidth="1"/>
    <col min="13576" max="13577" width="10.28515625" style="556" customWidth="1"/>
    <col min="13578" max="13581" width="10.7109375" style="556" customWidth="1"/>
    <col min="13582" max="13583" width="12.7109375" style="556" customWidth="1"/>
    <col min="13584" max="13584" width="15.7109375" style="556" customWidth="1"/>
    <col min="13585" max="13592" width="10.7109375" style="556" customWidth="1"/>
    <col min="13593" max="13593" width="4.7109375" style="556" customWidth="1"/>
    <col min="13594" max="13597" width="10.7109375" style="556" customWidth="1"/>
    <col min="13598" max="13810" width="9.140625" style="556"/>
    <col min="13811" max="13811" width="15.7109375" style="556" customWidth="1"/>
    <col min="13812" max="13812" width="9.140625" style="556"/>
    <col min="13813" max="13813" width="10.7109375" style="556" customWidth="1"/>
    <col min="13814" max="13816" width="12.7109375" style="556" customWidth="1"/>
    <col min="13817" max="13818" width="10.7109375" style="556" customWidth="1"/>
    <col min="13819" max="13820" width="9.140625" style="556"/>
    <col min="13821" max="13822" width="9.7109375" style="556" customWidth="1"/>
    <col min="13823" max="13823" width="4.7109375" style="556" customWidth="1"/>
    <col min="13824" max="13824" width="9.140625" style="556"/>
    <col min="13825" max="13825" width="10.7109375" style="556" customWidth="1"/>
    <col min="13826" max="13826" width="11.7109375" style="556" customWidth="1"/>
    <col min="13827" max="13827" width="10.7109375" style="556" customWidth="1"/>
    <col min="13828" max="13828" width="10.5703125" style="556" bestFit="1" customWidth="1"/>
    <col min="13829" max="13830" width="9.140625" style="556"/>
    <col min="13831" max="13831" width="10.7109375" style="556" customWidth="1"/>
    <col min="13832" max="13833" width="10.28515625" style="556" customWidth="1"/>
    <col min="13834" max="13837" width="10.7109375" style="556" customWidth="1"/>
    <col min="13838" max="13839" width="12.7109375" style="556" customWidth="1"/>
    <col min="13840" max="13840" width="15.7109375" style="556" customWidth="1"/>
    <col min="13841" max="13848" width="10.7109375" style="556" customWidth="1"/>
    <col min="13849" max="13849" width="4.7109375" style="556" customWidth="1"/>
    <col min="13850" max="13853" width="10.7109375" style="556" customWidth="1"/>
    <col min="13854" max="14066" width="9.140625" style="556"/>
    <col min="14067" max="14067" width="15.7109375" style="556" customWidth="1"/>
    <col min="14068" max="14068" width="9.140625" style="556"/>
    <col min="14069" max="14069" width="10.7109375" style="556" customWidth="1"/>
    <col min="14070" max="14072" width="12.7109375" style="556" customWidth="1"/>
    <col min="14073" max="14074" width="10.7109375" style="556" customWidth="1"/>
    <col min="14075" max="14076" width="9.140625" style="556"/>
    <col min="14077" max="14078" width="9.7109375" style="556" customWidth="1"/>
    <col min="14079" max="14079" width="4.7109375" style="556" customWidth="1"/>
    <col min="14080" max="14080" width="9.140625" style="556"/>
    <col min="14081" max="14081" width="10.7109375" style="556" customWidth="1"/>
    <col min="14082" max="14082" width="11.7109375" style="556" customWidth="1"/>
    <col min="14083" max="14083" width="10.7109375" style="556" customWidth="1"/>
    <col min="14084" max="14084" width="10.5703125" style="556" bestFit="1" customWidth="1"/>
    <col min="14085" max="14086" width="9.140625" style="556"/>
    <col min="14087" max="14087" width="10.7109375" style="556" customWidth="1"/>
    <col min="14088" max="14089" width="10.28515625" style="556" customWidth="1"/>
    <col min="14090" max="14093" width="10.7109375" style="556" customWidth="1"/>
    <col min="14094" max="14095" width="12.7109375" style="556" customWidth="1"/>
    <col min="14096" max="14096" width="15.7109375" style="556" customWidth="1"/>
    <col min="14097" max="14104" width="10.7109375" style="556" customWidth="1"/>
    <col min="14105" max="14105" width="4.7109375" style="556" customWidth="1"/>
    <col min="14106" max="14109" width="10.7109375" style="556" customWidth="1"/>
    <col min="14110" max="14322" width="9.140625" style="556"/>
    <col min="14323" max="14323" width="15.7109375" style="556" customWidth="1"/>
    <col min="14324" max="14324" width="9.140625" style="556"/>
    <col min="14325" max="14325" width="10.7109375" style="556" customWidth="1"/>
    <col min="14326" max="14328" width="12.7109375" style="556" customWidth="1"/>
    <col min="14329" max="14330" width="10.7109375" style="556" customWidth="1"/>
    <col min="14331" max="14332" width="9.140625" style="556"/>
    <col min="14333" max="14334" width="9.7109375" style="556" customWidth="1"/>
    <col min="14335" max="14335" width="4.7109375" style="556" customWidth="1"/>
    <col min="14336" max="14336" width="9.140625" style="556"/>
    <col min="14337" max="14337" width="10.7109375" style="556" customWidth="1"/>
    <col min="14338" max="14338" width="11.7109375" style="556" customWidth="1"/>
    <col min="14339" max="14339" width="10.7109375" style="556" customWidth="1"/>
    <col min="14340" max="14340" width="10.5703125" style="556" bestFit="1" customWidth="1"/>
    <col min="14341" max="14342" width="9.140625" style="556"/>
    <col min="14343" max="14343" width="10.7109375" style="556" customWidth="1"/>
    <col min="14344" max="14345" width="10.28515625" style="556" customWidth="1"/>
    <col min="14346" max="14349" width="10.7109375" style="556" customWidth="1"/>
    <col min="14350" max="14351" width="12.7109375" style="556" customWidth="1"/>
    <col min="14352" max="14352" width="15.7109375" style="556" customWidth="1"/>
    <col min="14353" max="14360" width="10.7109375" style="556" customWidth="1"/>
    <col min="14361" max="14361" width="4.7109375" style="556" customWidth="1"/>
    <col min="14362" max="14365" width="10.7109375" style="556" customWidth="1"/>
    <col min="14366" max="14578" width="9.140625" style="556"/>
    <col min="14579" max="14579" width="15.7109375" style="556" customWidth="1"/>
    <col min="14580" max="14580" width="9.140625" style="556"/>
    <col min="14581" max="14581" width="10.7109375" style="556" customWidth="1"/>
    <col min="14582" max="14584" width="12.7109375" style="556" customWidth="1"/>
    <col min="14585" max="14586" width="10.7109375" style="556" customWidth="1"/>
    <col min="14587" max="14588" width="9.140625" style="556"/>
    <col min="14589" max="14590" width="9.7109375" style="556" customWidth="1"/>
    <col min="14591" max="14591" width="4.7109375" style="556" customWidth="1"/>
    <col min="14592" max="14592" width="9.140625" style="556"/>
    <col min="14593" max="14593" width="10.7109375" style="556" customWidth="1"/>
    <col min="14594" max="14594" width="11.7109375" style="556" customWidth="1"/>
    <col min="14595" max="14595" width="10.7109375" style="556" customWidth="1"/>
    <col min="14596" max="14596" width="10.5703125" style="556" bestFit="1" customWidth="1"/>
    <col min="14597" max="14598" width="9.140625" style="556"/>
    <col min="14599" max="14599" width="10.7109375" style="556" customWidth="1"/>
    <col min="14600" max="14601" width="10.28515625" style="556" customWidth="1"/>
    <col min="14602" max="14605" width="10.7109375" style="556" customWidth="1"/>
    <col min="14606" max="14607" width="12.7109375" style="556" customWidth="1"/>
    <col min="14608" max="14608" width="15.7109375" style="556" customWidth="1"/>
    <col min="14609" max="14616" width="10.7109375" style="556" customWidth="1"/>
    <col min="14617" max="14617" width="4.7109375" style="556" customWidth="1"/>
    <col min="14618" max="14621" width="10.7109375" style="556" customWidth="1"/>
    <col min="14622" max="14834" width="9.140625" style="556"/>
    <col min="14835" max="14835" width="15.7109375" style="556" customWidth="1"/>
    <col min="14836" max="14836" width="9.140625" style="556"/>
    <col min="14837" max="14837" width="10.7109375" style="556" customWidth="1"/>
    <col min="14838" max="14840" width="12.7109375" style="556" customWidth="1"/>
    <col min="14841" max="14842" width="10.7109375" style="556" customWidth="1"/>
    <col min="14843" max="14844" width="9.140625" style="556"/>
    <col min="14845" max="14846" width="9.7109375" style="556" customWidth="1"/>
    <col min="14847" max="14847" width="4.7109375" style="556" customWidth="1"/>
    <col min="14848" max="14848" width="9.140625" style="556"/>
    <col min="14849" max="14849" width="10.7109375" style="556" customWidth="1"/>
    <col min="14850" max="14850" width="11.7109375" style="556" customWidth="1"/>
    <col min="14851" max="14851" width="10.7109375" style="556" customWidth="1"/>
    <col min="14852" max="14852" width="10.5703125" style="556" bestFit="1" customWidth="1"/>
    <col min="14853" max="14854" width="9.140625" style="556"/>
    <col min="14855" max="14855" width="10.7109375" style="556" customWidth="1"/>
    <col min="14856" max="14857" width="10.28515625" style="556" customWidth="1"/>
    <col min="14858" max="14861" width="10.7109375" style="556" customWidth="1"/>
    <col min="14862" max="14863" width="12.7109375" style="556" customWidth="1"/>
    <col min="14864" max="14864" width="15.7109375" style="556" customWidth="1"/>
    <col min="14865" max="14872" width="10.7109375" style="556" customWidth="1"/>
    <col min="14873" max="14873" width="4.7109375" style="556" customWidth="1"/>
    <col min="14874" max="14877" width="10.7109375" style="556" customWidth="1"/>
    <col min="14878" max="15090" width="9.140625" style="556"/>
    <col min="15091" max="15091" width="15.7109375" style="556" customWidth="1"/>
    <col min="15092" max="15092" width="9.140625" style="556"/>
    <col min="15093" max="15093" width="10.7109375" style="556" customWidth="1"/>
    <col min="15094" max="15096" width="12.7109375" style="556" customWidth="1"/>
    <col min="15097" max="15098" width="10.7109375" style="556" customWidth="1"/>
    <col min="15099" max="15100" width="9.140625" style="556"/>
    <col min="15101" max="15102" width="9.7109375" style="556" customWidth="1"/>
    <col min="15103" max="15103" width="4.7109375" style="556" customWidth="1"/>
    <col min="15104" max="15104" width="9.140625" style="556"/>
    <col min="15105" max="15105" width="10.7109375" style="556" customWidth="1"/>
    <col min="15106" max="15106" width="11.7109375" style="556" customWidth="1"/>
    <col min="15107" max="15107" width="10.7109375" style="556" customWidth="1"/>
    <col min="15108" max="15108" width="10.5703125" style="556" bestFit="1" customWidth="1"/>
    <col min="15109" max="15110" width="9.140625" style="556"/>
    <col min="15111" max="15111" width="10.7109375" style="556" customWidth="1"/>
    <col min="15112" max="15113" width="10.28515625" style="556" customWidth="1"/>
    <col min="15114" max="15117" width="10.7109375" style="556" customWidth="1"/>
    <col min="15118" max="15119" width="12.7109375" style="556" customWidth="1"/>
    <col min="15120" max="15120" width="15.7109375" style="556" customWidth="1"/>
    <col min="15121" max="15128" width="10.7109375" style="556" customWidth="1"/>
    <col min="15129" max="15129" width="4.7109375" style="556" customWidth="1"/>
    <col min="15130" max="15133" width="10.7109375" style="556" customWidth="1"/>
    <col min="15134" max="15346" width="9.140625" style="556"/>
    <col min="15347" max="15347" width="15.7109375" style="556" customWidth="1"/>
    <col min="15348" max="15348" width="9.140625" style="556"/>
    <col min="15349" max="15349" width="10.7109375" style="556" customWidth="1"/>
    <col min="15350" max="15352" width="12.7109375" style="556" customWidth="1"/>
    <col min="15353" max="15354" width="10.7109375" style="556" customWidth="1"/>
    <col min="15355" max="15356" width="9.140625" style="556"/>
    <col min="15357" max="15358" width="9.7109375" style="556" customWidth="1"/>
    <col min="15359" max="15359" width="4.7109375" style="556" customWidth="1"/>
    <col min="15360" max="15360" width="9.140625" style="556"/>
    <col min="15361" max="15361" width="10.7109375" style="556" customWidth="1"/>
    <col min="15362" max="15362" width="11.7109375" style="556" customWidth="1"/>
    <col min="15363" max="15363" width="10.7109375" style="556" customWidth="1"/>
    <col min="15364" max="15364" width="10.5703125" style="556" bestFit="1" customWidth="1"/>
    <col min="15365" max="15366" width="9.140625" style="556"/>
    <col min="15367" max="15367" width="10.7109375" style="556" customWidth="1"/>
    <col min="15368" max="15369" width="10.28515625" style="556" customWidth="1"/>
    <col min="15370" max="15373" width="10.7109375" style="556" customWidth="1"/>
    <col min="15374" max="15375" width="12.7109375" style="556" customWidth="1"/>
    <col min="15376" max="15376" width="15.7109375" style="556" customWidth="1"/>
    <col min="15377" max="15384" width="10.7109375" style="556" customWidth="1"/>
    <col min="15385" max="15385" width="4.7109375" style="556" customWidth="1"/>
    <col min="15386" max="15389" width="10.7109375" style="556" customWidth="1"/>
    <col min="15390" max="15602" width="9.140625" style="556"/>
    <col min="15603" max="15603" width="15.7109375" style="556" customWidth="1"/>
    <col min="15604" max="15604" width="9.140625" style="556"/>
    <col min="15605" max="15605" width="10.7109375" style="556" customWidth="1"/>
    <col min="15606" max="15608" width="12.7109375" style="556" customWidth="1"/>
    <col min="15609" max="15610" width="10.7109375" style="556" customWidth="1"/>
    <col min="15611" max="15612" width="9.140625" style="556"/>
    <col min="15613" max="15614" width="9.7109375" style="556" customWidth="1"/>
    <col min="15615" max="15615" width="4.7109375" style="556" customWidth="1"/>
    <col min="15616" max="15616" width="9.140625" style="556"/>
    <col min="15617" max="15617" width="10.7109375" style="556" customWidth="1"/>
    <col min="15618" max="15618" width="11.7109375" style="556" customWidth="1"/>
    <col min="15619" max="15619" width="10.7109375" style="556" customWidth="1"/>
    <col min="15620" max="15620" width="10.5703125" style="556" bestFit="1" customWidth="1"/>
    <col min="15621" max="15622" width="9.140625" style="556"/>
    <col min="15623" max="15623" width="10.7109375" style="556" customWidth="1"/>
    <col min="15624" max="15625" width="10.28515625" style="556" customWidth="1"/>
    <col min="15626" max="15629" width="10.7109375" style="556" customWidth="1"/>
    <col min="15630" max="15631" width="12.7109375" style="556" customWidth="1"/>
    <col min="15632" max="15632" width="15.7109375" style="556" customWidth="1"/>
    <col min="15633" max="15640" width="10.7109375" style="556" customWidth="1"/>
    <col min="15641" max="15641" width="4.7109375" style="556" customWidth="1"/>
    <col min="15642" max="15645" width="10.7109375" style="556" customWidth="1"/>
    <col min="15646" max="15858" width="9.140625" style="556"/>
    <col min="15859" max="15859" width="15.7109375" style="556" customWidth="1"/>
    <col min="15860" max="15860" width="9.140625" style="556"/>
    <col min="15861" max="15861" width="10.7109375" style="556" customWidth="1"/>
    <col min="15862" max="15864" width="12.7109375" style="556" customWidth="1"/>
    <col min="15865" max="15866" width="10.7109375" style="556" customWidth="1"/>
    <col min="15867" max="15868" width="9.140625" style="556"/>
    <col min="15869" max="15870" width="9.7109375" style="556" customWidth="1"/>
    <col min="15871" max="15871" width="4.7109375" style="556" customWidth="1"/>
    <col min="15872" max="15872" width="9.140625" style="556"/>
    <col min="15873" max="15873" width="10.7109375" style="556" customWidth="1"/>
    <col min="15874" max="15874" width="11.7109375" style="556" customWidth="1"/>
    <col min="15875" max="15875" width="10.7109375" style="556" customWidth="1"/>
    <col min="15876" max="15876" width="10.5703125" style="556" bestFit="1" customWidth="1"/>
    <col min="15877" max="15878" width="9.140625" style="556"/>
    <col min="15879" max="15879" width="10.7109375" style="556" customWidth="1"/>
    <col min="15880" max="15881" width="10.28515625" style="556" customWidth="1"/>
    <col min="15882" max="15885" width="10.7109375" style="556" customWidth="1"/>
    <col min="15886" max="15887" width="12.7109375" style="556" customWidth="1"/>
    <col min="15888" max="15888" width="15.7109375" style="556" customWidth="1"/>
    <col min="15889" max="15896" width="10.7109375" style="556" customWidth="1"/>
    <col min="15897" max="15897" width="4.7109375" style="556" customWidth="1"/>
    <col min="15898" max="15901" width="10.7109375" style="556" customWidth="1"/>
    <col min="15902" max="16114" width="9.140625" style="556"/>
    <col min="16115" max="16115" width="15.7109375" style="556" customWidth="1"/>
    <col min="16116" max="16116" width="9.140625" style="556"/>
    <col min="16117" max="16117" width="10.7109375" style="556" customWidth="1"/>
    <col min="16118" max="16120" width="12.7109375" style="556" customWidth="1"/>
    <col min="16121" max="16122" width="10.7109375" style="556" customWidth="1"/>
    <col min="16123" max="16124" width="9.140625" style="556"/>
    <col min="16125" max="16126" width="9.7109375" style="556" customWidth="1"/>
    <col min="16127" max="16127" width="4.7109375" style="556" customWidth="1"/>
    <col min="16128" max="16128" width="9.140625" style="556"/>
    <col min="16129" max="16129" width="10.7109375" style="556" customWidth="1"/>
    <col min="16130" max="16130" width="11.7109375" style="556" customWidth="1"/>
    <col min="16131" max="16131" width="10.7109375" style="556" customWidth="1"/>
    <col min="16132" max="16132" width="10.5703125" style="556" bestFit="1" customWidth="1"/>
    <col min="16133" max="16134" width="9.140625" style="556"/>
    <col min="16135" max="16135" width="10.7109375" style="556" customWidth="1"/>
    <col min="16136" max="16137" width="10.28515625" style="556" customWidth="1"/>
    <col min="16138" max="16141" width="10.7109375" style="556" customWidth="1"/>
    <col min="16142" max="16143" width="12.7109375" style="556" customWidth="1"/>
    <col min="16144" max="16144" width="15.7109375" style="556" customWidth="1"/>
    <col min="16145" max="16152" width="10.7109375" style="556" customWidth="1"/>
    <col min="16153" max="16153" width="4.7109375" style="556" customWidth="1"/>
    <col min="16154" max="16157" width="10.7109375" style="556" customWidth="1"/>
    <col min="16158" max="16384" width="9.140625" style="556"/>
  </cols>
  <sheetData>
    <row r="1" spans="1:26" x14ac:dyDescent="0.2">
      <c r="S1" s="556" t="s">
        <v>0</v>
      </c>
      <c r="W1" s="556" t="s">
        <v>0</v>
      </c>
    </row>
    <row r="2" spans="1:26" ht="21" thickBot="1" x14ac:dyDescent="0.35">
      <c r="A2" s="556" t="s">
        <v>0</v>
      </c>
      <c r="C2" s="555" t="s">
        <v>780</v>
      </c>
      <c r="D2" s="555"/>
    </row>
    <row r="3" spans="1:26" ht="13.5" thickBot="1" x14ac:dyDescent="0.25">
      <c r="K3" s="1301" t="s">
        <v>1151</v>
      </c>
      <c r="M3" s="1301" t="s">
        <v>1150</v>
      </c>
      <c r="Y3" s="1299" t="s">
        <v>1153</v>
      </c>
      <c r="Z3" s="1300"/>
    </row>
    <row r="4" spans="1:26" ht="15.75" x14ac:dyDescent="0.25">
      <c r="B4" s="840" t="s">
        <v>75</v>
      </c>
      <c r="C4" s="666" t="s">
        <v>1</v>
      </c>
      <c r="D4" s="559" t="s">
        <v>15</v>
      </c>
      <c r="E4" s="558" t="s">
        <v>1</v>
      </c>
      <c r="F4" s="629" t="s">
        <v>15</v>
      </c>
      <c r="G4" s="853" t="s">
        <v>1</v>
      </c>
      <c r="H4" s="853" t="s">
        <v>15</v>
      </c>
      <c r="I4" s="854"/>
      <c r="J4" s="855" t="s">
        <v>1</v>
      </c>
      <c r="K4" s="855" t="s">
        <v>1</v>
      </c>
      <c r="L4" s="856" t="s">
        <v>15</v>
      </c>
      <c r="M4" s="857" t="s">
        <v>15</v>
      </c>
      <c r="O4" s="858"/>
      <c r="P4" s="859" t="s">
        <v>0</v>
      </c>
      <c r="Q4" s="860"/>
      <c r="R4" s="861"/>
      <c r="U4" s="682" t="s">
        <v>1</v>
      </c>
      <c r="V4" s="631" t="s">
        <v>15</v>
      </c>
      <c r="W4" s="631" t="s">
        <v>1</v>
      </c>
      <c r="X4" s="632" t="s">
        <v>15</v>
      </c>
      <c r="Y4" s="1316" t="s">
        <v>198</v>
      </c>
      <c r="Z4" s="1326" t="s">
        <v>198</v>
      </c>
    </row>
    <row r="5" spans="1:26" x14ac:dyDescent="0.2">
      <c r="B5" s="686"/>
      <c r="C5" s="586" t="s">
        <v>328</v>
      </c>
      <c r="D5" s="568" t="s">
        <v>328</v>
      </c>
      <c r="E5" s="568" t="s">
        <v>198</v>
      </c>
      <c r="F5" s="634" t="s">
        <v>198</v>
      </c>
      <c r="G5" s="866" t="s">
        <v>758</v>
      </c>
      <c r="H5" s="866" t="s">
        <v>758</v>
      </c>
      <c r="I5" s="867" t="s">
        <v>759</v>
      </c>
      <c r="J5" s="868" t="s">
        <v>3</v>
      </c>
      <c r="K5" s="868" t="s">
        <v>112</v>
      </c>
      <c r="L5" s="869" t="s">
        <v>3</v>
      </c>
      <c r="M5" s="870" t="s">
        <v>112</v>
      </c>
      <c r="O5" s="871" t="s">
        <v>760</v>
      </c>
      <c r="P5" s="872" t="s">
        <v>713</v>
      </c>
      <c r="Q5" s="873" t="s">
        <v>69</v>
      </c>
      <c r="R5" s="637" t="s">
        <v>484</v>
      </c>
      <c r="U5" s="593" t="s">
        <v>3</v>
      </c>
      <c r="V5" s="594" t="s">
        <v>50</v>
      </c>
      <c r="W5" s="594" t="s">
        <v>69</v>
      </c>
      <c r="X5" s="638" t="s">
        <v>69</v>
      </c>
      <c r="Y5" s="1317" t="s">
        <v>506</v>
      </c>
      <c r="Z5" s="1327" t="s">
        <v>1152</v>
      </c>
    </row>
    <row r="6" spans="1:26" x14ac:dyDescent="0.2">
      <c r="B6" s="686"/>
      <c r="C6" s="586" t="s">
        <v>0</v>
      </c>
      <c r="D6" s="568" t="s">
        <v>0</v>
      </c>
      <c r="E6" s="568" t="s">
        <v>0</v>
      </c>
      <c r="F6" s="634" t="s">
        <v>0</v>
      </c>
      <c r="G6" s="866" t="s">
        <v>198</v>
      </c>
      <c r="H6" s="866" t="s">
        <v>198</v>
      </c>
      <c r="I6" s="867" t="s">
        <v>70</v>
      </c>
      <c r="J6" s="868" t="s">
        <v>762</v>
      </c>
      <c r="K6" s="868" t="s">
        <v>763</v>
      </c>
      <c r="L6" s="869" t="s">
        <v>762</v>
      </c>
      <c r="M6" s="870" t="s">
        <v>763</v>
      </c>
      <c r="O6" s="871" t="s">
        <v>198</v>
      </c>
      <c r="P6" s="872" t="s">
        <v>483</v>
      </c>
      <c r="Q6" s="873" t="s">
        <v>70</v>
      </c>
      <c r="R6" s="637" t="s">
        <v>0</v>
      </c>
      <c r="U6" s="593"/>
      <c r="V6" s="594"/>
      <c r="W6" s="594" t="s">
        <v>70</v>
      </c>
      <c r="X6" s="638" t="s">
        <v>70</v>
      </c>
      <c r="Y6" s="1317" t="s">
        <v>3</v>
      </c>
      <c r="Z6" s="1327" t="s">
        <v>587</v>
      </c>
    </row>
    <row r="7" spans="1:26" x14ac:dyDescent="0.2">
      <c r="B7" s="686"/>
      <c r="C7" s="586"/>
      <c r="D7" s="568"/>
      <c r="E7" s="568"/>
      <c r="F7" s="634"/>
      <c r="G7" s="866"/>
      <c r="H7" s="866"/>
      <c r="I7" s="867"/>
      <c r="J7" s="868"/>
      <c r="K7" s="868"/>
      <c r="L7" s="869"/>
      <c r="M7" s="870"/>
      <c r="O7" s="871"/>
      <c r="P7" s="872"/>
      <c r="Q7" s="873" t="s">
        <v>764</v>
      </c>
      <c r="R7" s="637"/>
      <c r="U7" s="593"/>
      <c r="V7" s="594"/>
      <c r="W7" s="594"/>
      <c r="X7" s="638"/>
      <c r="Y7" s="1317"/>
      <c r="Z7" s="1321"/>
    </row>
    <row r="8" spans="1:26" x14ac:dyDescent="0.2">
      <c r="B8" s="639" t="s">
        <v>0</v>
      </c>
      <c r="C8" s="692" t="s">
        <v>0</v>
      </c>
      <c r="D8" s="578" t="s">
        <v>0</v>
      </c>
      <c r="E8" s="578" t="s">
        <v>0</v>
      </c>
      <c r="F8" s="733" t="s">
        <v>0</v>
      </c>
      <c r="G8" s="876" t="s">
        <v>0</v>
      </c>
      <c r="H8" s="876" t="s">
        <v>0</v>
      </c>
      <c r="I8" s="877" t="s">
        <v>0</v>
      </c>
      <c r="J8" s="878" t="s">
        <v>0</v>
      </c>
      <c r="K8" s="878" t="s">
        <v>0</v>
      </c>
      <c r="L8" s="879" t="s">
        <v>0</v>
      </c>
      <c r="M8" s="880"/>
      <c r="O8" s="881" t="s">
        <v>0</v>
      </c>
      <c r="P8" s="882" t="s">
        <v>0</v>
      </c>
      <c r="Q8" s="883" t="s">
        <v>0</v>
      </c>
      <c r="R8" s="583" t="s">
        <v>0</v>
      </c>
      <c r="U8" s="1322" t="s">
        <v>0</v>
      </c>
      <c r="V8" s="911" t="s">
        <v>0</v>
      </c>
      <c r="W8" s="911" t="s">
        <v>0</v>
      </c>
      <c r="X8" s="1308" t="s">
        <v>0</v>
      </c>
      <c r="Y8" s="1320" t="s">
        <v>0</v>
      </c>
      <c r="Z8" s="1323"/>
    </row>
    <row r="9" spans="1:26" x14ac:dyDescent="0.2">
      <c r="B9" s="567"/>
      <c r="C9" s="569"/>
      <c r="D9" s="569"/>
      <c r="E9" s="569"/>
      <c r="F9" s="569"/>
      <c r="G9" s="885"/>
      <c r="H9" s="886"/>
      <c r="I9" s="569"/>
      <c r="J9" s="885"/>
      <c r="K9" s="866"/>
      <c r="L9" s="867"/>
      <c r="M9" s="887"/>
      <c r="O9" s="572"/>
      <c r="P9" s="622"/>
      <c r="Q9" s="623"/>
      <c r="R9" s="573"/>
      <c r="U9" s="593"/>
      <c r="V9" s="594"/>
      <c r="W9" s="594"/>
      <c r="X9" s="638"/>
      <c r="Y9" s="1318"/>
      <c r="Z9" s="1321"/>
    </row>
    <row r="10" spans="1:26" x14ac:dyDescent="0.2">
      <c r="B10" s="567"/>
      <c r="C10" s="569"/>
      <c r="D10" s="569"/>
      <c r="E10" s="569"/>
      <c r="F10" s="569"/>
      <c r="G10" s="885"/>
      <c r="H10" s="886"/>
      <c r="I10" s="569"/>
      <c r="J10" s="885"/>
      <c r="K10" s="866"/>
      <c r="L10" s="867"/>
      <c r="M10" s="887"/>
      <c r="O10" s="572"/>
      <c r="P10" s="622"/>
      <c r="Q10" s="623"/>
      <c r="R10" s="573"/>
      <c r="U10" s="593"/>
      <c r="V10" s="594"/>
      <c r="W10" s="594"/>
      <c r="X10" s="638"/>
      <c r="Y10" s="1318"/>
      <c r="Z10" s="1321"/>
    </row>
    <row r="11" spans="1:26" x14ac:dyDescent="0.2">
      <c r="B11" s="567" t="s">
        <v>765</v>
      </c>
      <c r="C11" s="588">
        <v>0.5</v>
      </c>
      <c r="D11" s="588">
        <v>0.5</v>
      </c>
      <c r="E11" s="650">
        <v>7.8</v>
      </c>
      <c r="F11" s="650">
        <v>5</v>
      </c>
      <c r="G11" s="888">
        <f>C11*E11</f>
        <v>3.9</v>
      </c>
      <c r="H11" s="889">
        <f>D11*F11</f>
        <v>2.5</v>
      </c>
      <c r="I11" s="650">
        <v>1</v>
      </c>
      <c r="J11" s="888">
        <v>5.6</v>
      </c>
      <c r="K11" s="890">
        <f>-(J11-I11)/E11</f>
        <v>-0.58974358974358976</v>
      </c>
      <c r="L11" s="891">
        <v>3.5</v>
      </c>
      <c r="M11" s="892">
        <f>-(L11-I11)/F11</f>
        <v>-0.5</v>
      </c>
      <c r="O11" s="572"/>
      <c r="P11" s="893">
        <f>+(G11-H11*G$19/H$19)*(M$19-M11)</f>
        <v>-5.9276791584483957E-2</v>
      </c>
      <c r="Q11" s="623">
        <f>+(C11-D11)*(I11-I$19)</f>
        <v>0</v>
      </c>
      <c r="R11" s="653">
        <f>+G11*(M11-K11)</f>
        <v>0.35000000000000003</v>
      </c>
      <c r="U11" s="593">
        <f>+C11*J11</f>
        <v>2.8</v>
      </c>
      <c r="V11" s="594">
        <f>+D11*L11</f>
        <v>1.75</v>
      </c>
      <c r="W11" s="1309">
        <f>+C11*I11</f>
        <v>0.5</v>
      </c>
      <c r="X11" s="894">
        <f>+D11*I11</f>
        <v>0.5</v>
      </c>
      <c r="Y11" s="1318"/>
      <c r="Z11" s="1321">
        <f>+E11*C11*(-M11)</f>
        <v>1.95</v>
      </c>
    </row>
    <row r="12" spans="1:26" x14ac:dyDescent="0.2">
      <c r="B12" s="567"/>
      <c r="C12" s="588"/>
      <c r="D12" s="588"/>
      <c r="E12" s="650"/>
      <c r="F12" s="650"/>
      <c r="G12" s="888"/>
      <c r="H12" s="889"/>
      <c r="I12" s="650"/>
      <c r="J12" s="888"/>
      <c r="K12" s="890"/>
      <c r="L12" s="891"/>
      <c r="M12" s="892"/>
      <c r="O12" s="572"/>
      <c r="P12" s="622"/>
      <c r="Q12" s="623"/>
      <c r="R12" s="653"/>
      <c r="U12" s="593"/>
      <c r="V12" s="594"/>
      <c r="W12" s="1309"/>
      <c r="X12" s="894"/>
      <c r="Y12" s="1318"/>
      <c r="Z12" s="1321"/>
    </row>
    <row r="13" spans="1:26" x14ac:dyDescent="0.2">
      <c r="B13" s="567" t="s">
        <v>766</v>
      </c>
      <c r="C13" s="588">
        <v>0.2</v>
      </c>
      <c r="D13" s="588">
        <v>0.1</v>
      </c>
      <c r="E13" s="650">
        <v>1</v>
      </c>
      <c r="F13" s="650">
        <v>2</v>
      </c>
      <c r="G13" s="888">
        <f>C13*E13</f>
        <v>0.2</v>
      </c>
      <c r="H13" s="889">
        <f>D13*F13</f>
        <v>0.2</v>
      </c>
      <c r="I13" s="650">
        <v>0.1</v>
      </c>
      <c r="J13" s="888">
        <v>0.5</v>
      </c>
      <c r="K13" s="890">
        <f>-(J13-I13)/E13</f>
        <v>-0.4</v>
      </c>
      <c r="L13" s="891">
        <v>0.5</v>
      </c>
      <c r="M13" s="892">
        <f>-(L13-I13)/F13</f>
        <v>-0.2</v>
      </c>
      <c r="O13" s="572"/>
      <c r="P13" s="893">
        <f>+(G13-H13*G$19/H$19)*(M$19-M13)</f>
        <v>3.0006574621959225E-2</v>
      </c>
      <c r="Q13" s="623">
        <f>+(C13-D13)*(I13-I$19)</f>
        <v>-4.9000000000000016E-2</v>
      </c>
      <c r="R13" s="653">
        <f>+G13*(M13-K13)</f>
        <v>4.0000000000000008E-2</v>
      </c>
      <c r="U13" s="593">
        <f>+C13*J13</f>
        <v>0.1</v>
      </c>
      <c r="V13" s="594">
        <f>+D13*L13</f>
        <v>0.05</v>
      </c>
      <c r="W13" s="1309">
        <f>+C13*I13</f>
        <v>2.0000000000000004E-2</v>
      </c>
      <c r="X13" s="894">
        <f>+D13*I13</f>
        <v>1.0000000000000002E-2</v>
      </c>
      <c r="Y13" s="1318"/>
      <c r="Z13" s="1321">
        <f>+E13*C13*(-M13)</f>
        <v>4.0000000000000008E-2</v>
      </c>
    </row>
    <row r="14" spans="1:26" x14ac:dyDescent="0.2">
      <c r="B14" s="567"/>
      <c r="C14" s="588"/>
      <c r="D14" s="588"/>
      <c r="E14" s="650" t="s">
        <v>0</v>
      </c>
      <c r="F14" s="650"/>
      <c r="G14" s="888"/>
      <c r="H14" s="889"/>
      <c r="I14" s="650"/>
      <c r="J14" s="888"/>
      <c r="K14" s="890"/>
      <c r="L14" s="891"/>
      <c r="M14" s="892"/>
      <c r="O14" s="572"/>
      <c r="P14" s="622"/>
      <c r="Q14" s="623"/>
      <c r="R14" s="653"/>
      <c r="U14" s="593"/>
      <c r="V14" s="594"/>
      <c r="W14" s="1309"/>
      <c r="X14" s="894"/>
      <c r="Y14" s="1318"/>
      <c r="Z14" s="1321"/>
    </row>
    <row r="15" spans="1:26" x14ac:dyDescent="0.2">
      <c r="B15" s="567" t="s">
        <v>767</v>
      </c>
      <c r="C15" s="588">
        <v>0.3</v>
      </c>
      <c r="D15" s="588">
        <v>0.4</v>
      </c>
      <c r="E15" s="650">
        <v>4</v>
      </c>
      <c r="F15" s="650">
        <v>3</v>
      </c>
      <c r="G15" s="888">
        <f>C15*E15</f>
        <v>1.2</v>
      </c>
      <c r="H15" s="889">
        <f>D15*F15</f>
        <v>1.2000000000000002</v>
      </c>
      <c r="I15" s="650">
        <v>0.2</v>
      </c>
      <c r="J15" s="888">
        <v>3.2</v>
      </c>
      <c r="K15" s="890">
        <f>-(J15-I15)/E15</f>
        <v>-0.75</v>
      </c>
      <c r="L15" s="891">
        <v>3</v>
      </c>
      <c r="M15" s="892">
        <f>-(L15-I15)/F15</f>
        <v>-0.93333333333333324</v>
      </c>
      <c r="O15" s="572"/>
      <c r="P15" s="893">
        <f>+(G15-H15*G$19/H$19)*(M$19-M15)</f>
        <v>-0.13585798816568043</v>
      </c>
      <c r="Q15" s="623">
        <f>+(C15-D15)*(I15-I$19)</f>
        <v>3.9000000000000021E-2</v>
      </c>
      <c r="R15" s="653">
        <f>+G15*(M15-K15)</f>
        <v>-0.21999999999999989</v>
      </c>
      <c r="U15" s="593">
        <f>+C15*J15</f>
        <v>0.96</v>
      </c>
      <c r="V15" s="594">
        <f>+D15*L15</f>
        <v>1.2000000000000002</v>
      </c>
      <c r="W15" s="1309">
        <f>+C15*I15</f>
        <v>0.06</v>
      </c>
      <c r="X15" s="894">
        <f>+D15*I15</f>
        <v>8.0000000000000016E-2</v>
      </c>
      <c r="Y15" s="1318"/>
      <c r="Z15" s="1321">
        <f>+E15*C15*(-M15)</f>
        <v>1.1199999999999999</v>
      </c>
    </row>
    <row r="16" spans="1:26" x14ac:dyDescent="0.2">
      <c r="B16" s="567"/>
      <c r="C16" s="588"/>
      <c r="D16" s="588"/>
      <c r="E16" s="588"/>
      <c r="F16" s="588"/>
      <c r="G16" s="895"/>
      <c r="H16" s="886"/>
      <c r="I16" s="569"/>
      <c r="J16" s="888"/>
      <c r="K16" s="896"/>
      <c r="L16" s="891"/>
      <c r="M16" s="897"/>
      <c r="O16" s="572"/>
      <c r="P16" s="746"/>
      <c r="Q16" s="898"/>
      <c r="R16" s="653"/>
      <c r="U16" s="593"/>
      <c r="V16" s="594"/>
      <c r="W16" s="594"/>
      <c r="X16" s="638"/>
      <c r="Y16" s="1318"/>
      <c r="Z16" s="1321"/>
    </row>
    <row r="17" spans="2:26" x14ac:dyDescent="0.2">
      <c r="B17" s="567" t="s">
        <v>0</v>
      </c>
      <c r="C17" s="588"/>
      <c r="D17" s="588"/>
      <c r="E17" s="588" t="s">
        <v>0</v>
      </c>
      <c r="F17" s="588"/>
      <c r="G17" s="895"/>
      <c r="H17" s="886"/>
      <c r="I17" s="569"/>
      <c r="J17" s="885"/>
      <c r="K17" s="866"/>
      <c r="L17" s="867"/>
      <c r="M17" s="887"/>
      <c r="O17" s="572" t="s">
        <v>0</v>
      </c>
      <c r="P17" s="622"/>
      <c r="Q17" s="623"/>
      <c r="R17" s="653" t="s">
        <v>0</v>
      </c>
      <c r="U17" s="593"/>
      <c r="V17" s="594"/>
      <c r="W17" s="594"/>
      <c r="X17" s="638"/>
      <c r="Y17" s="1318"/>
      <c r="Z17" s="1324">
        <f>+I19</f>
        <v>0.59000000000000008</v>
      </c>
    </row>
    <row r="18" spans="2:26" x14ac:dyDescent="0.2">
      <c r="B18" s="567"/>
      <c r="C18" s="588"/>
      <c r="D18" s="588"/>
      <c r="E18" s="588"/>
      <c r="F18" s="588"/>
      <c r="G18" s="895"/>
      <c r="H18" s="886"/>
      <c r="I18" s="569"/>
      <c r="J18" s="885"/>
      <c r="K18" s="866"/>
      <c r="L18" s="867"/>
      <c r="M18" s="887"/>
      <c r="O18" s="572"/>
      <c r="P18" s="622"/>
      <c r="Q18" s="623"/>
      <c r="R18" s="653"/>
      <c r="U18" s="593"/>
      <c r="V18" s="594"/>
      <c r="W18" s="594"/>
      <c r="X18" s="638"/>
      <c r="Y18" s="1318"/>
      <c r="Z18" s="1321"/>
    </row>
    <row r="19" spans="2:26" ht="13.5" thickBot="1" x14ac:dyDescent="0.25">
      <c r="B19" s="595" t="s">
        <v>16</v>
      </c>
      <c r="C19" s="596">
        <v>1</v>
      </c>
      <c r="D19" s="596">
        <v>1</v>
      </c>
      <c r="E19" s="596" t="s">
        <v>0</v>
      </c>
      <c r="F19" s="596"/>
      <c r="G19" s="899">
        <f>SUM(G11:G15)</f>
        <v>5.3</v>
      </c>
      <c r="H19" s="900">
        <f>SUM(H11:H15)</f>
        <v>3.9000000000000004</v>
      </c>
      <c r="I19" s="792">
        <f>+X19</f>
        <v>0.59000000000000008</v>
      </c>
      <c r="J19" s="901">
        <f>U19</f>
        <v>3.86</v>
      </c>
      <c r="K19" s="902">
        <f>-(J19-W19)/G19</f>
        <v>-0.61886792452830186</v>
      </c>
      <c r="L19" s="903">
        <f>+V19</f>
        <v>3</v>
      </c>
      <c r="M19" s="904">
        <f>-(L19-I19)/H19</f>
        <v>-0.61794871794871797</v>
      </c>
      <c r="N19" s="600"/>
      <c r="O19" s="670">
        <f>(G19/H19-1)*(L19-I19)</f>
        <v>0.86512820512820476</v>
      </c>
      <c r="P19" s="905">
        <f>SUM(P11:P15)</f>
        <v>-0.16512820512820517</v>
      </c>
      <c r="Q19" s="906">
        <f>SUM(Q11:Q15)</f>
        <v>-9.999999999999995E-3</v>
      </c>
      <c r="R19" s="672">
        <f>SUM(R11:R17)</f>
        <v>0.17000000000000012</v>
      </c>
      <c r="U19" s="794">
        <f>SUM(U11:U15)</f>
        <v>3.86</v>
      </c>
      <c r="V19" s="795">
        <f>SUM(V11:V15)</f>
        <v>3</v>
      </c>
      <c r="W19" s="795">
        <f>SUM(W11:W15)</f>
        <v>0.58000000000000007</v>
      </c>
      <c r="X19" s="907">
        <f>SUM(X11:X15)</f>
        <v>0.59000000000000008</v>
      </c>
      <c r="Y19" s="1319">
        <f>G19/H19*(L19-I19)+I19</f>
        <v>3.8651282051282054</v>
      </c>
      <c r="Z19" s="1325">
        <f>SUM(Z11:Z17)</f>
        <v>3.7</v>
      </c>
    </row>
    <row r="21" spans="2:26" ht="13.5" thickBot="1" x14ac:dyDescent="0.25"/>
    <row r="22" spans="2:26" ht="16.5" thickBot="1" x14ac:dyDescent="0.3">
      <c r="F22" s="556" t="s">
        <v>0</v>
      </c>
      <c r="M22" s="556" t="s">
        <v>0</v>
      </c>
      <c r="P22" s="606" t="s">
        <v>507</v>
      </c>
      <c r="Q22" s="607"/>
      <c r="R22" s="676"/>
      <c r="S22" s="677">
        <f>J19-L19</f>
        <v>0.85999999999999988</v>
      </c>
      <c r="U22" s="1328"/>
      <c r="V22" s="1329"/>
      <c r="W22" s="1330">
        <f>J19-L19</f>
        <v>0.85999999999999988</v>
      </c>
    </row>
    <row r="23" spans="2:26" ht="13.5" thickBot="1" x14ac:dyDescent="0.25">
      <c r="P23" s="572"/>
      <c r="Q23" s="609"/>
      <c r="R23" s="609"/>
      <c r="S23" s="804"/>
      <c r="U23" s="1331" t="s">
        <v>0</v>
      </c>
      <c r="V23" s="1332"/>
      <c r="W23" s="1333" t="s">
        <v>0</v>
      </c>
    </row>
    <row r="24" spans="2:26" ht="13.5" thickBot="1" x14ac:dyDescent="0.25">
      <c r="G24" s="556" t="s">
        <v>0</v>
      </c>
      <c r="P24" s="572" t="s">
        <v>768</v>
      </c>
      <c r="Q24" s="609"/>
      <c r="R24" s="609"/>
      <c r="S24" s="678">
        <f>+O19</f>
        <v>0.86512820512820476</v>
      </c>
      <c r="U24" s="1334" t="s">
        <v>768</v>
      </c>
      <c r="V24" s="1332"/>
      <c r="W24" s="1335">
        <f>+Y19-L19</f>
        <v>0.86512820512820543</v>
      </c>
      <c r="X24" s="1302" t="s">
        <v>1154</v>
      </c>
    </row>
    <row r="25" spans="2:26" ht="13.5" thickBot="1" x14ac:dyDescent="0.25">
      <c r="P25" s="572" t="s">
        <v>769</v>
      </c>
      <c r="Q25" s="609"/>
      <c r="R25" s="609"/>
      <c r="S25" s="678">
        <f>+P19</f>
        <v>-0.16512820512820517</v>
      </c>
      <c r="U25" s="1334" t="s">
        <v>769</v>
      </c>
      <c r="V25" s="1332"/>
      <c r="W25" s="1335">
        <f>+Z19-Y19</f>
        <v>-0.16512820512820525</v>
      </c>
      <c r="X25" s="1302" t="s">
        <v>1155</v>
      </c>
    </row>
    <row r="26" spans="2:26" ht="13.5" thickBot="1" x14ac:dyDescent="0.25">
      <c r="P26" s="572" t="s">
        <v>771</v>
      </c>
      <c r="Q26" s="609"/>
      <c r="R26" s="609"/>
      <c r="S26" s="678">
        <f>+Q19</f>
        <v>-9.999999999999995E-3</v>
      </c>
      <c r="U26" s="1334" t="s">
        <v>1158</v>
      </c>
      <c r="V26" s="1332"/>
      <c r="W26" s="1335">
        <f>W19-X19</f>
        <v>-1.0000000000000009E-2</v>
      </c>
      <c r="X26" s="1302" t="s">
        <v>1156</v>
      </c>
    </row>
    <row r="27" spans="2:26" ht="13.5" thickBot="1" x14ac:dyDescent="0.25">
      <c r="P27" s="572" t="s">
        <v>484</v>
      </c>
      <c r="Q27" s="609"/>
      <c r="R27" s="609"/>
      <c r="S27" s="678">
        <f>+R19</f>
        <v>0.17000000000000012</v>
      </c>
      <c r="U27" s="1334" t="s">
        <v>484</v>
      </c>
      <c r="V27" s="1332"/>
      <c r="W27" s="1335">
        <f>+U19-Z19-(W19-X19)</f>
        <v>0.16999999999999971</v>
      </c>
      <c r="X27" s="1302" t="s">
        <v>1157</v>
      </c>
    </row>
    <row r="28" spans="2:26" x14ac:dyDescent="0.2">
      <c r="P28" s="572" t="s">
        <v>0</v>
      </c>
      <c r="Q28" s="609"/>
      <c r="R28" s="609"/>
      <c r="S28" s="678" t="s">
        <v>0</v>
      </c>
      <c r="U28" s="1331"/>
      <c r="V28" s="1332"/>
      <c r="W28" s="1321"/>
    </row>
    <row r="29" spans="2:26" ht="13.5" thickBot="1" x14ac:dyDescent="0.25">
      <c r="P29" s="613" t="s">
        <v>524</v>
      </c>
      <c r="Q29" s="614"/>
      <c r="R29" s="614"/>
      <c r="S29" s="679">
        <f>+S22-S24-S25-S26-S27</f>
        <v>0</v>
      </c>
      <c r="U29" s="1336"/>
      <c r="V29" s="1337"/>
      <c r="W29" s="1325">
        <f>+W22-W24-W25-W26-W27</f>
        <v>0</v>
      </c>
    </row>
    <row r="31" spans="2:26" x14ac:dyDescent="0.2">
      <c r="U31" s="1298" t="s">
        <v>1159</v>
      </c>
    </row>
    <row r="39" spans="2:28" ht="20.25" x14ac:dyDescent="0.3">
      <c r="C39" s="555" t="s">
        <v>781</v>
      </c>
    </row>
    <row r="40" spans="2:28" ht="13.5" thickBot="1" x14ac:dyDescent="0.25"/>
    <row r="41" spans="2:28" ht="13.5" thickBot="1" x14ac:dyDescent="0.25">
      <c r="K41" s="1301" t="s">
        <v>1151</v>
      </c>
      <c r="M41" s="1301" t="s">
        <v>1150</v>
      </c>
    </row>
    <row r="42" spans="2:28" ht="15.75" x14ac:dyDescent="0.25">
      <c r="B42" s="557" t="s">
        <v>76</v>
      </c>
      <c r="C42" s="666" t="s">
        <v>1</v>
      </c>
      <c r="D42" s="559" t="s">
        <v>15</v>
      </c>
      <c r="E42" s="558" t="s">
        <v>1</v>
      </c>
      <c r="F42" s="629" t="s">
        <v>15</v>
      </c>
      <c r="G42" s="853" t="s">
        <v>1</v>
      </c>
      <c r="H42" s="853" t="s">
        <v>15</v>
      </c>
      <c r="I42" s="854"/>
      <c r="J42" s="855" t="s">
        <v>1</v>
      </c>
      <c r="K42" s="855" t="s">
        <v>1</v>
      </c>
      <c r="L42" s="856" t="s">
        <v>15</v>
      </c>
      <c r="M42" s="857" t="s">
        <v>15</v>
      </c>
      <c r="O42" s="862"/>
      <c r="P42" s="863" t="s">
        <v>0</v>
      </c>
      <c r="Q42" s="864"/>
      <c r="R42" s="865"/>
      <c r="U42" s="682" t="s">
        <v>1</v>
      </c>
      <c r="V42" s="631" t="s">
        <v>15</v>
      </c>
      <c r="W42" s="631" t="s">
        <v>1</v>
      </c>
      <c r="X42" s="631" t="s">
        <v>15</v>
      </c>
      <c r="Y42" s="1315" t="s">
        <v>198</v>
      </c>
      <c r="Z42" s="631" t="s">
        <v>713</v>
      </c>
      <c r="AA42" s="631" t="s">
        <v>760</v>
      </c>
      <c r="AB42" s="632" t="s">
        <v>198</v>
      </c>
    </row>
    <row r="43" spans="2:28" x14ac:dyDescent="0.2">
      <c r="B43" s="567"/>
      <c r="C43" s="586" t="s">
        <v>328</v>
      </c>
      <c r="D43" s="568" t="s">
        <v>328</v>
      </c>
      <c r="E43" s="568" t="s">
        <v>198</v>
      </c>
      <c r="F43" s="634" t="s">
        <v>198</v>
      </c>
      <c r="G43" s="866" t="s">
        <v>758</v>
      </c>
      <c r="H43" s="866" t="s">
        <v>758</v>
      </c>
      <c r="I43" s="867" t="s">
        <v>759</v>
      </c>
      <c r="J43" s="868" t="s">
        <v>3</v>
      </c>
      <c r="K43" s="868" t="s">
        <v>112</v>
      </c>
      <c r="L43" s="869" t="s">
        <v>3</v>
      </c>
      <c r="M43" s="870" t="s">
        <v>112</v>
      </c>
      <c r="O43" s="874" t="s">
        <v>760</v>
      </c>
      <c r="P43" s="872" t="s">
        <v>713</v>
      </c>
      <c r="Q43" s="873" t="s">
        <v>69</v>
      </c>
      <c r="R43" s="875" t="s">
        <v>484</v>
      </c>
      <c r="U43" s="593" t="s">
        <v>3</v>
      </c>
      <c r="V43" s="594" t="s">
        <v>50</v>
      </c>
      <c r="W43" s="594" t="s">
        <v>69</v>
      </c>
      <c r="X43" s="594" t="s">
        <v>69</v>
      </c>
      <c r="Y43" s="742" t="s">
        <v>506</v>
      </c>
      <c r="Z43" s="594" t="s">
        <v>483</v>
      </c>
      <c r="AA43" s="594" t="s">
        <v>155</v>
      </c>
      <c r="AB43" s="638" t="s">
        <v>155</v>
      </c>
    </row>
    <row r="44" spans="2:28" x14ac:dyDescent="0.2">
      <c r="B44" s="567"/>
      <c r="C44" s="586" t="s">
        <v>0</v>
      </c>
      <c r="D44" s="568" t="s">
        <v>0</v>
      </c>
      <c r="E44" s="568" t="s">
        <v>0</v>
      </c>
      <c r="F44" s="634" t="s">
        <v>0</v>
      </c>
      <c r="G44" s="866" t="s">
        <v>198</v>
      </c>
      <c r="H44" s="866" t="s">
        <v>198</v>
      </c>
      <c r="I44" s="867" t="s">
        <v>70</v>
      </c>
      <c r="J44" s="868" t="s">
        <v>762</v>
      </c>
      <c r="K44" s="868" t="s">
        <v>763</v>
      </c>
      <c r="L44" s="869" t="s">
        <v>762</v>
      </c>
      <c r="M44" s="870" t="s">
        <v>763</v>
      </c>
      <c r="O44" s="874"/>
      <c r="P44" s="872"/>
      <c r="Q44" s="873"/>
      <c r="R44" s="875"/>
      <c r="U44" s="593"/>
      <c r="V44" s="594"/>
      <c r="W44" s="594" t="s">
        <v>70</v>
      </c>
      <c r="X44" s="594" t="s">
        <v>70</v>
      </c>
      <c r="Y44" s="742" t="s">
        <v>3</v>
      </c>
      <c r="Z44" s="594" t="s">
        <v>3</v>
      </c>
      <c r="AA44" s="594" t="s">
        <v>15</v>
      </c>
      <c r="AB44" s="638" t="s">
        <v>15</v>
      </c>
    </row>
    <row r="45" spans="2:28" x14ac:dyDescent="0.2">
      <c r="B45" s="567"/>
      <c r="C45" s="586"/>
      <c r="D45" s="568"/>
      <c r="E45" s="568"/>
      <c r="F45" s="634"/>
      <c r="G45" s="866"/>
      <c r="H45" s="866"/>
      <c r="I45" s="867"/>
      <c r="J45" s="868"/>
      <c r="K45" s="868"/>
      <c r="L45" s="869"/>
      <c r="M45" s="870"/>
      <c r="O45" s="874"/>
      <c r="P45" s="872"/>
      <c r="Q45" s="873"/>
      <c r="R45" s="875"/>
      <c r="U45" s="593"/>
      <c r="V45" s="594"/>
      <c r="W45" s="594"/>
      <c r="X45" s="909"/>
      <c r="Y45" s="742"/>
      <c r="Z45" s="594"/>
      <c r="AA45" s="594"/>
      <c r="AB45" s="638"/>
    </row>
    <row r="46" spans="2:28" ht="13.5" thickBot="1" x14ac:dyDescent="0.25">
      <c r="B46" s="577" t="s">
        <v>0</v>
      </c>
      <c r="C46" s="692" t="s">
        <v>0</v>
      </c>
      <c r="D46" s="578" t="s">
        <v>0</v>
      </c>
      <c r="E46" s="578" t="s">
        <v>0</v>
      </c>
      <c r="F46" s="733" t="s">
        <v>0</v>
      </c>
      <c r="G46" s="876" t="s">
        <v>0</v>
      </c>
      <c r="H46" s="876" t="s">
        <v>0</v>
      </c>
      <c r="I46" s="877" t="s">
        <v>0</v>
      </c>
      <c r="J46" s="878" t="s">
        <v>0</v>
      </c>
      <c r="K46" s="878" t="s">
        <v>0</v>
      </c>
      <c r="L46" s="879" t="s">
        <v>0</v>
      </c>
      <c r="M46" s="880"/>
      <c r="O46" s="884" t="s">
        <v>198</v>
      </c>
      <c r="P46" s="882" t="s">
        <v>483</v>
      </c>
      <c r="Q46" s="883" t="s">
        <v>70</v>
      </c>
      <c r="R46" s="910" t="s">
        <v>0</v>
      </c>
      <c r="U46" s="603" t="s">
        <v>0</v>
      </c>
      <c r="V46" s="604" t="s">
        <v>0</v>
      </c>
      <c r="W46" s="604" t="s">
        <v>0</v>
      </c>
      <c r="X46" s="1312" t="s">
        <v>0</v>
      </c>
      <c r="Y46" s="1313" t="s">
        <v>0</v>
      </c>
      <c r="Z46" s="604" t="s">
        <v>0</v>
      </c>
      <c r="AA46" s="604" t="s">
        <v>0</v>
      </c>
      <c r="AB46" s="1314" t="s">
        <v>0</v>
      </c>
    </row>
    <row r="47" spans="2:28" x14ac:dyDescent="0.2">
      <c r="B47" s="567"/>
      <c r="C47" s="569"/>
      <c r="D47" s="569"/>
      <c r="E47" s="569"/>
      <c r="F47" s="569"/>
      <c r="G47" s="885"/>
      <c r="H47" s="886"/>
      <c r="I47" s="569"/>
      <c r="J47" s="885"/>
      <c r="K47" s="866"/>
      <c r="L47" s="867"/>
      <c r="M47" s="1303"/>
      <c r="O47" s="874"/>
      <c r="P47" s="622"/>
      <c r="Q47" s="623"/>
      <c r="R47" s="623"/>
      <c r="U47" s="593"/>
      <c r="V47" s="594"/>
      <c r="W47" s="594"/>
      <c r="X47" s="909"/>
      <c r="Y47" s="912"/>
      <c r="Z47" s="655"/>
      <c r="AA47" s="655"/>
      <c r="AB47" s="656"/>
    </row>
    <row r="48" spans="2:28" x14ac:dyDescent="0.2">
      <c r="B48" s="567"/>
      <c r="C48" s="569"/>
      <c r="D48" s="569"/>
      <c r="E48" s="569"/>
      <c r="F48" s="569"/>
      <c r="G48" s="885"/>
      <c r="H48" s="886"/>
      <c r="I48" s="569"/>
      <c r="J48" s="885"/>
      <c r="K48" s="866"/>
      <c r="L48" s="867"/>
      <c r="M48" s="1303"/>
      <c r="O48" s="874"/>
      <c r="P48" s="622"/>
      <c r="Q48" s="623"/>
      <c r="R48" s="623"/>
      <c r="U48" s="593"/>
      <c r="V48" s="594"/>
      <c r="W48" s="594"/>
      <c r="X48" s="909"/>
      <c r="Y48" s="912"/>
      <c r="Z48" s="655"/>
      <c r="AA48" s="655"/>
      <c r="AB48" s="656"/>
    </row>
    <row r="49" spans="2:28" x14ac:dyDescent="0.2">
      <c r="B49" s="567" t="s">
        <v>765</v>
      </c>
      <c r="C49" s="588">
        <v>0.5</v>
      </c>
      <c r="D49" s="588">
        <v>0.5</v>
      </c>
      <c r="E49" s="650">
        <v>7.8</v>
      </c>
      <c r="F49" s="650">
        <v>5</v>
      </c>
      <c r="G49" s="888">
        <f>C49*E49</f>
        <v>3.9</v>
      </c>
      <c r="H49" s="889">
        <f>D49*F49</f>
        <v>2.5</v>
      </c>
      <c r="I49" s="650">
        <v>1</v>
      </c>
      <c r="J49" s="888">
        <v>5.6</v>
      </c>
      <c r="K49" s="890">
        <f>-(J49-I49)/E49</f>
        <v>-0.58974358974358976</v>
      </c>
      <c r="L49" s="891">
        <v>3.5</v>
      </c>
      <c r="M49" s="1304">
        <f>-(L49-I49)/F49</f>
        <v>-0.5</v>
      </c>
      <c r="O49" s="874"/>
      <c r="P49" s="893">
        <f>+(G49-H49*G$57/H$57)*(M$57-M49)/(1+Y$57/100)</f>
        <v>-5.7070927084801153E-2</v>
      </c>
      <c r="Q49" s="914">
        <f>(C49-D49)*((1+I49/100)/(1+X$57/100)-1)*(1+X$57/100)/(1+Y$57/100)*100</f>
        <v>0</v>
      </c>
      <c r="R49" s="914">
        <f>C49*((1+J49/100)/(1+AB49/100)-1)*(1+AB49/100)/(1+Z$57/100)*100</f>
        <v>0.33754460410841036</v>
      </c>
      <c r="U49" s="593">
        <f>+C49*J49</f>
        <v>2.8</v>
      </c>
      <c r="V49" s="594">
        <f>+D49*L49</f>
        <v>1.75</v>
      </c>
      <c r="W49" s="1309">
        <f>+C49*I49</f>
        <v>0.5</v>
      </c>
      <c r="X49" s="915">
        <f>+D49*I49</f>
        <v>0.5</v>
      </c>
      <c r="Y49" s="912"/>
      <c r="Z49" s="655">
        <f>+C49*(E49/F49*(L49-I49)+I49)</f>
        <v>2.4500000000000002</v>
      </c>
      <c r="AA49" s="655">
        <f>D49*(+G$57/H$57*(L49-I49)+I49)</f>
        <v>2.1987179487179485</v>
      </c>
      <c r="AB49" s="656">
        <f>+E49/F49*(L49-I49)+I49</f>
        <v>4.9000000000000004</v>
      </c>
    </row>
    <row r="50" spans="2:28" x14ac:dyDescent="0.2">
      <c r="B50" s="567"/>
      <c r="C50" s="588"/>
      <c r="D50" s="588"/>
      <c r="E50" s="650"/>
      <c r="F50" s="650"/>
      <c r="G50" s="888"/>
      <c r="H50" s="889"/>
      <c r="I50" s="650"/>
      <c r="J50" s="888"/>
      <c r="K50" s="890"/>
      <c r="L50" s="891"/>
      <c r="M50" s="1304"/>
      <c r="O50" s="874"/>
      <c r="P50" s="622"/>
      <c r="Q50" s="623"/>
      <c r="R50" s="914"/>
      <c r="U50" s="593"/>
      <c r="V50" s="594"/>
      <c r="W50" s="1309"/>
      <c r="X50" s="915"/>
      <c r="Y50" s="912"/>
      <c r="Z50" s="655"/>
      <c r="AA50" s="655"/>
      <c r="AB50" s="656"/>
    </row>
    <row r="51" spans="2:28" x14ac:dyDescent="0.2">
      <c r="B51" s="567" t="s">
        <v>766</v>
      </c>
      <c r="C51" s="588">
        <v>0.2</v>
      </c>
      <c r="D51" s="588">
        <v>0.1</v>
      </c>
      <c r="E51" s="650">
        <v>1</v>
      </c>
      <c r="F51" s="650">
        <v>2</v>
      </c>
      <c r="G51" s="888">
        <f>C51*E51</f>
        <v>0.2</v>
      </c>
      <c r="H51" s="889">
        <f>D51*F51</f>
        <v>0.2</v>
      </c>
      <c r="I51" s="650">
        <v>0.1</v>
      </c>
      <c r="J51" s="888">
        <v>0.5</v>
      </c>
      <c r="K51" s="890">
        <f>-(J51-I51)/E51</f>
        <v>-0.4</v>
      </c>
      <c r="L51" s="891">
        <v>0.5</v>
      </c>
      <c r="M51" s="1304">
        <f>-(L51-I51)/F51</f>
        <v>-0.2</v>
      </c>
      <c r="O51" s="874"/>
      <c r="P51" s="893">
        <f>+(G51-H51*G$57/H$57)*(M$57-M51)/(1+Y$57/100)</f>
        <v>2.8889941350380664E-2</v>
      </c>
      <c r="Q51" s="914">
        <f>(C51-D51)*((1+I51/100)/(1+X$57/100)-1)*(1+X$57/100)/(1+Y$57/100)*100</f>
        <v>-4.7176565269557102E-2</v>
      </c>
      <c r="R51" s="914">
        <f>C51*((1+J51/100)/(1+AB51/100)-1)*(1+AB51/100)/(1+Z$57/100)*100</f>
        <v>3.8576526183816788E-2</v>
      </c>
      <c r="U51" s="593">
        <f>+C51*J51</f>
        <v>0.1</v>
      </c>
      <c r="V51" s="594">
        <f>+D51*L51</f>
        <v>0.05</v>
      </c>
      <c r="W51" s="1309">
        <f>+C51*I51</f>
        <v>2.0000000000000004E-2</v>
      </c>
      <c r="X51" s="915">
        <f>+D51*I51</f>
        <v>1.0000000000000002E-2</v>
      </c>
      <c r="Y51" s="912"/>
      <c r="Z51" s="655">
        <f>+C51*(E51/F51*(L51-I51)+I51)</f>
        <v>6.0000000000000012E-2</v>
      </c>
      <c r="AA51" s="655">
        <f>D51*(+G$57/H$57*(L51-I51)+I51)</f>
        <v>6.435897435897435E-2</v>
      </c>
      <c r="AB51" s="656">
        <f>+E51/F51*(L51-I51)+I51</f>
        <v>0.30000000000000004</v>
      </c>
    </row>
    <row r="52" spans="2:28" x14ac:dyDescent="0.2">
      <c r="B52" s="567"/>
      <c r="C52" s="588"/>
      <c r="D52" s="588"/>
      <c r="E52" s="650" t="s">
        <v>0</v>
      </c>
      <c r="F52" s="650"/>
      <c r="G52" s="888"/>
      <c r="H52" s="889"/>
      <c r="I52" s="650"/>
      <c r="J52" s="888"/>
      <c r="K52" s="890"/>
      <c r="L52" s="891"/>
      <c r="M52" s="1304"/>
      <c r="O52" s="874"/>
      <c r="P52" s="622"/>
      <c r="Q52" s="623"/>
      <c r="R52" s="914"/>
      <c r="U52" s="593"/>
      <c r="V52" s="594"/>
      <c r="W52" s="1309"/>
      <c r="X52" s="915"/>
      <c r="Y52" s="912"/>
      <c r="Z52" s="655"/>
      <c r="AA52" s="655"/>
      <c r="AB52" s="656"/>
    </row>
    <row r="53" spans="2:28" x14ac:dyDescent="0.2">
      <c r="B53" s="567" t="s">
        <v>767</v>
      </c>
      <c r="C53" s="588">
        <v>0.3</v>
      </c>
      <c r="D53" s="588">
        <v>0.4</v>
      </c>
      <c r="E53" s="650">
        <v>4</v>
      </c>
      <c r="F53" s="650">
        <v>3</v>
      </c>
      <c r="G53" s="888">
        <f>C53*E53</f>
        <v>1.2</v>
      </c>
      <c r="H53" s="889">
        <f>D53*F53</f>
        <v>1.2000000000000002</v>
      </c>
      <c r="I53" s="650">
        <v>0.2</v>
      </c>
      <c r="J53" s="888">
        <v>3.2</v>
      </c>
      <c r="K53" s="890">
        <f>-(J53-I53)/E53</f>
        <v>-0.75</v>
      </c>
      <c r="L53" s="891">
        <v>3</v>
      </c>
      <c r="M53" s="1304">
        <f>-(L53-I53)/F53</f>
        <v>-0.93333333333333324</v>
      </c>
      <c r="O53" s="874"/>
      <c r="P53" s="893">
        <f>+(G53-H53*G$57/H$57)*(M$57-M53)/(1+Y$57/100)</f>
        <v>-0.13080231114466828</v>
      </c>
      <c r="Q53" s="914">
        <f>(C53-D53)*((1+I53/100)/(1+X$57/100)-1)*(1+X$57/100)/(1+Y$57/100)*100</f>
        <v>3.7548694806381233E-2</v>
      </c>
      <c r="R53" s="914">
        <f>C53*((1+J53/100)/(1+AB53/100)-1)*(1+AB53/100)/(1+Z$57/100)*100</f>
        <v>-0.21217089401099598</v>
      </c>
      <c r="U53" s="593">
        <f>+C53*J53</f>
        <v>0.96</v>
      </c>
      <c r="V53" s="594">
        <f>+D53*L53</f>
        <v>1.2000000000000002</v>
      </c>
      <c r="W53" s="1309">
        <f>+C53*I53</f>
        <v>0.06</v>
      </c>
      <c r="X53" s="915">
        <f>+D53*I53</f>
        <v>8.0000000000000016E-2</v>
      </c>
      <c r="Y53" s="912"/>
      <c r="Z53" s="655">
        <f>+C53*(E53/F53*(L53-I53)+I53)</f>
        <v>1.18</v>
      </c>
      <c r="AA53" s="655">
        <f>D53*(+G$57/H$57*(L53-I53)+I53)</f>
        <v>1.6020512820512818</v>
      </c>
      <c r="AB53" s="656">
        <f>+E53/F53*(L53-I53)+I53</f>
        <v>3.9333333333333331</v>
      </c>
    </row>
    <row r="54" spans="2:28" x14ac:dyDescent="0.2">
      <c r="B54" s="567"/>
      <c r="C54" s="588"/>
      <c r="D54" s="588"/>
      <c r="E54" s="588"/>
      <c r="F54" s="588"/>
      <c r="G54" s="895"/>
      <c r="H54" s="886"/>
      <c r="I54" s="569"/>
      <c r="J54" s="888"/>
      <c r="K54" s="896"/>
      <c r="L54" s="891"/>
      <c r="M54" s="1305"/>
      <c r="O54" s="874"/>
      <c r="P54" s="746"/>
      <c r="Q54" s="898"/>
      <c r="R54" s="914"/>
      <c r="S54" s="556" t="s">
        <v>0</v>
      </c>
      <c r="U54" s="593"/>
      <c r="V54" s="594"/>
      <c r="W54" s="594"/>
      <c r="X54" s="909"/>
      <c r="Y54" s="912"/>
      <c r="Z54" s="655"/>
      <c r="AA54" s="655"/>
      <c r="AB54" s="656"/>
    </row>
    <row r="55" spans="2:28" x14ac:dyDescent="0.2">
      <c r="B55" s="567" t="s">
        <v>0</v>
      </c>
      <c r="C55" s="588"/>
      <c r="D55" s="588"/>
      <c r="E55" s="588" t="s">
        <v>0</v>
      </c>
      <c r="F55" s="588"/>
      <c r="G55" s="895"/>
      <c r="H55" s="886"/>
      <c r="I55" s="569"/>
      <c r="J55" s="885"/>
      <c r="K55" s="866"/>
      <c r="L55" s="867"/>
      <c r="M55" s="1303"/>
      <c r="O55" s="874" t="s">
        <v>0</v>
      </c>
      <c r="P55" s="622"/>
      <c r="Q55" s="623"/>
      <c r="R55" s="914" t="s">
        <v>0</v>
      </c>
      <c r="U55" s="593"/>
      <c r="V55" s="594"/>
      <c r="W55" s="594"/>
      <c r="X55" s="909"/>
      <c r="Y55" s="912"/>
      <c r="Z55" s="655"/>
      <c r="AA55" s="655"/>
      <c r="AB55" s="656"/>
    </row>
    <row r="56" spans="2:28" x14ac:dyDescent="0.2">
      <c r="B56" s="567"/>
      <c r="C56" s="588"/>
      <c r="D56" s="588"/>
      <c r="E56" s="588"/>
      <c r="F56" s="588"/>
      <c r="G56" s="895"/>
      <c r="H56" s="886"/>
      <c r="I56" s="569"/>
      <c r="J56" s="885"/>
      <c r="K56" s="866"/>
      <c r="L56" s="867"/>
      <c r="M56" s="1303"/>
      <c r="O56" s="874"/>
      <c r="P56" s="622"/>
      <c r="Q56" s="623"/>
      <c r="R56" s="914"/>
      <c r="U56" s="593"/>
      <c r="V56" s="594"/>
      <c r="W56" s="594"/>
      <c r="X56" s="909"/>
      <c r="Y56" s="912"/>
      <c r="Z56" s="655"/>
      <c r="AA56" s="655"/>
      <c r="AB56" s="656"/>
    </row>
    <row r="57" spans="2:28" ht="13.5" thickBot="1" x14ac:dyDescent="0.25">
      <c r="B57" s="595" t="s">
        <v>16</v>
      </c>
      <c r="C57" s="596">
        <v>1</v>
      </c>
      <c r="D57" s="596">
        <v>1</v>
      </c>
      <c r="E57" s="596" t="s">
        <v>0</v>
      </c>
      <c r="F57" s="596"/>
      <c r="G57" s="899">
        <f>SUM(G49:G53)</f>
        <v>5.3</v>
      </c>
      <c r="H57" s="900">
        <f>SUM(H49:H53)</f>
        <v>3.9000000000000004</v>
      </c>
      <c r="I57" s="1306">
        <f>+X57</f>
        <v>0.59000000000000008</v>
      </c>
      <c r="J57" s="901">
        <f>U57</f>
        <v>3.86</v>
      </c>
      <c r="K57" s="902">
        <f>-(J57-W57)/G57</f>
        <v>-0.61886792452830186</v>
      </c>
      <c r="L57" s="903">
        <f>+V57</f>
        <v>3</v>
      </c>
      <c r="M57" s="1307">
        <f>-(L57-I57)/H57</f>
        <v>-0.61794871794871797</v>
      </c>
      <c r="N57" s="600"/>
      <c r="O57" s="916">
        <f>((1+Y57/100)/(1+L57/100)-1)*100</f>
        <v>0.83993029624098714</v>
      </c>
      <c r="P57" s="917">
        <f>SUM(P49:P53)</f>
        <v>-0.15898329687908877</v>
      </c>
      <c r="Q57" s="908">
        <f>SUM(Q49:Q53)</f>
        <v>-9.6278704631758694E-3</v>
      </c>
      <c r="R57" s="908">
        <f>SUM(R49:R55)</f>
        <v>0.16395023628123118</v>
      </c>
      <c r="U57" s="794">
        <f>SUM(U49:U53)</f>
        <v>3.86</v>
      </c>
      <c r="V57" s="795">
        <f>SUM(V49:V53)</f>
        <v>3</v>
      </c>
      <c r="W57" s="795">
        <f>SUM(W49:W53)</f>
        <v>0.58000000000000007</v>
      </c>
      <c r="X57" s="1310">
        <f>SUM(X49:X53)</f>
        <v>0.59000000000000008</v>
      </c>
      <c r="Y57" s="1311">
        <f>G57/H57*(L57-I57)+I57</f>
        <v>3.8651282051282054</v>
      </c>
      <c r="Z57" s="795">
        <f>SUM(Z49:Z53)</f>
        <v>3.6900000000000004</v>
      </c>
      <c r="AA57" s="795">
        <f>SUM(AA49:AA54)</f>
        <v>3.8651282051282045</v>
      </c>
      <c r="AB57" s="907"/>
    </row>
    <row r="59" spans="2:28" x14ac:dyDescent="0.2">
      <c r="U59" s="556" t="s">
        <v>0</v>
      </c>
    </row>
    <row r="60" spans="2:28" ht="15.75" x14ac:dyDescent="0.25">
      <c r="M60" s="556" t="s">
        <v>0</v>
      </c>
      <c r="P60" s="619" t="s">
        <v>507</v>
      </c>
      <c r="Q60" s="620"/>
      <c r="R60" s="716"/>
      <c r="S60" s="717">
        <f>((1+J57/100)/(1+L57/100)-1)*100</f>
        <v>0.83495145631067302</v>
      </c>
    </row>
    <row r="61" spans="2:28" ht="13.5" thickBot="1" x14ac:dyDescent="0.25">
      <c r="P61" s="622"/>
      <c r="Q61" s="609"/>
      <c r="R61" s="609"/>
      <c r="S61" s="763"/>
      <c r="U61" s="556" t="s">
        <v>0</v>
      </c>
    </row>
    <row r="62" spans="2:28" ht="13.5" thickBot="1" x14ac:dyDescent="0.25">
      <c r="P62" s="622" t="s">
        <v>768</v>
      </c>
      <c r="Q62" s="609"/>
      <c r="R62" s="609"/>
      <c r="S62" s="718">
        <f>+O57</f>
        <v>0.83993029624098714</v>
      </c>
      <c r="U62" s="918">
        <f>((1+Y57/100)/(1+L57/100)-1)*100</f>
        <v>0.83993029624098714</v>
      </c>
      <c r="V62" s="1302" t="s">
        <v>1160</v>
      </c>
    </row>
    <row r="63" spans="2:28" ht="13.5" thickBot="1" x14ac:dyDescent="0.25">
      <c r="P63" s="622" t="s">
        <v>770</v>
      </c>
      <c r="Q63" s="609"/>
      <c r="R63" s="609"/>
      <c r="S63" s="718">
        <f>+P57+Q57</f>
        <v>-0.16861116734226464</v>
      </c>
      <c r="U63" s="919">
        <f>((1+Z57/100)/(1+Y57/100)-1)*100</f>
        <v>-0.16861116734226966</v>
      </c>
      <c r="V63" s="1302" t="s">
        <v>1161</v>
      </c>
    </row>
    <row r="64" spans="2:28" ht="13.5" thickBot="1" x14ac:dyDescent="0.25">
      <c r="P64" s="622" t="s">
        <v>484</v>
      </c>
      <c r="Q64" s="609"/>
      <c r="R64" s="609"/>
      <c r="S64" s="718">
        <f>+R57</f>
        <v>0.16395023628123118</v>
      </c>
      <c r="U64" s="920">
        <f>((1+J57/100)/(1+Z57/100)-1)*100</f>
        <v>0.16395023628121841</v>
      </c>
      <c r="V64" s="1302" t="s">
        <v>1163</v>
      </c>
    </row>
    <row r="65" spans="16:21" x14ac:dyDescent="0.2">
      <c r="P65" s="622" t="s">
        <v>0</v>
      </c>
      <c r="Q65" s="609"/>
      <c r="R65" s="609"/>
      <c r="S65" s="718" t="s">
        <v>0</v>
      </c>
      <c r="U65" s="921" t="s">
        <v>0</v>
      </c>
    </row>
    <row r="66" spans="16:21" x14ac:dyDescent="0.2">
      <c r="P66" s="622" t="s">
        <v>0</v>
      </c>
      <c r="Q66" s="609"/>
      <c r="R66" s="609"/>
      <c r="S66" s="718" t="s">
        <v>0</v>
      </c>
    </row>
    <row r="67" spans="16:21" x14ac:dyDescent="0.2">
      <c r="P67" s="625" t="s">
        <v>524</v>
      </c>
      <c r="Q67" s="626"/>
      <c r="R67" s="626"/>
      <c r="S67" s="719">
        <f>((1+S60/100)/((1+S62/100)*(1+S63/100)*(1+S64/100))-1)*100</f>
        <v>-2.2204460492503131E-14</v>
      </c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6865" r:id="rId4">
          <objectPr defaultSize="0" autoPict="0" r:id="rId5">
            <anchor moveWithCells="1" sizeWithCells="1">
              <from>
                <xdr:col>10</xdr:col>
                <xdr:colOff>161925</xdr:colOff>
                <xdr:row>6</xdr:row>
                <xdr:rowOff>47625</xdr:rowOff>
              </from>
              <to>
                <xdr:col>10</xdr:col>
                <xdr:colOff>409575</xdr:colOff>
                <xdr:row>7</xdr:row>
                <xdr:rowOff>114300</xdr:rowOff>
              </to>
            </anchor>
          </objectPr>
        </oleObject>
      </mc:Choice>
      <mc:Fallback>
        <oleObject progId="Equation.3" shapeId="36865" r:id="rId4"/>
      </mc:Fallback>
    </mc:AlternateContent>
    <mc:AlternateContent xmlns:mc="http://schemas.openxmlformats.org/markup-compatibility/2006">
      <mc:Choice Requires="x14">
        <oleObject progId="Equation.3" shapeId="36866" r:id="rId6">
          <objectPr defaultSize="0" autoPict="0" r:id="rId7">
            <anchor moveWithCells="1" sizeWithCells="1">
              <from>
                <xdr:col>11</xdr:col>
                <xdr:colOff>304800</xdr:colOff>
                <xdr:row>6</xdr:row>
                <xdr:rowOff>47625</xdr:rowOff>
              </from>
              <to>
                <xdr:col>11</xdr:col>
                <xdr:colOff>447675</xdr:colOff>
                <xdr:row>7</xdr:row>
                <xdr:rowOff>114300</xdr:rowOff>
              </to>
            </anchor>
          </objectPr>
        </oleObject>
      </mc:Choice>
      <mc:Fallback>
        <oleObject progId="Equation.3" shapeId="36866" r:id="rId6"/>
      </mc:Fallback>
    </mc:AlternateContent>
    <mc:AlternateContent xmlns:mc="http://schemas.openxmlformats.org/markup-compatibility/2006">
      <mc:Choice Requires="x14">
        <oleObject progId="Equation.3" shapeId="36867" r:id="rId8">
          <objectPr defaultSize="0" autoPict="0" r:id="rId9">
            <anchor moveWithCells="1" sizeWithCells="1">
              <from>
                <xdr:col>12</xdr:col>
                <xdr:colOff>200025</xdr:colOff>
                <xdr:row>6</xdr:row>
                <xdr:rowOff>57150</xdr:rowOff>
              </from>
              <to>
                <xdr:col>12</xdr:col>
                <xdr:colOff>495300</xdr:colOff>
                <xdr:row>7</xdr:row>
                <xdr:rowOff>123825</xdr:rowOff>
              </to>
            </anchor>
          </objectPr>
        </oleObject>
      </mc:Choice>
      <mc:Fallback>
        <oleObject progId="Equation.3" shapeId="36867" r:id="rId8"/>
      </mc:Fallback>
    </mc:AlternateContent>
    <mc:AlternateContent xmlns:mc="http://schemas.openxmlformats.org/markup-compatibility/2006">
      <mc:Choice Requires="x14">
        <oleObject progId="Equation.3" shapeId="36868" r:id="rId10">
          <objectPr defaultSize="0" autoPict="0" r:id="rId11">
            <anchor moveWithCells="1" sizeWithCells="1">
              <from>
                <xdr:col>9</xdr:col>
                <xdr:colOff>247650</xdr:colOff>
                <xdr:row>6</xdr:row>
                <xdr:rowOff>38100</xdr:rowOff>
              </from>
              <to>
                <xdr:col>9</xdr:col>
                <xdr:colOff>371475</xdr:colOff>
                <xdr:row>7</xdr:row>
                <xdr:rowOff>104775</xdr:rowOff>
              </to>
            </anchor>
          </objectPr>
        </oleObject>
      </mc:Choice>
      <mc:Fallback>
        <oleObject progId="Equation.3" shapeId="36868" r:id="rId10"/>
      </mc:Fallback>
    </mc:AlternateContent>
    <mc:AlternateContent xmlns:mc="http://schemas.openxmlformats.org/markup-compatibility/2006">
      <mc:Choice Requires="x14">
        <oleObject progId="Equation.3" shapeId="36869" r:id="rId12">
          <objectPr defaultSize="0" autoPict="0" r:id="rId13">
            <anchor moveWithCells="1" sizeWithCells="1">
              <from>
                <xdr:col>6</xdr:col>
                <xdr:colOff>152400</xdr:colOff>
                <xdr:row>6</xdr:row>
                <xdr:rowOff>28575</xdr:rowOff>
              </from>
              <to>
                <xdr:col>6</xdr:col>
                <xdr:colOff>619125</xdr:colOff>
                <xdr:row>7</xdr:row>
                <xdr:rowOff>95250</xdr:rowOff>
              </to>
            </anchor>
          </objectPr>
        </oleObject>
      </mc:Choice>
      <mc:Fallback>
        <oleObject progId="Equation.3" shapeId="36869" r:id="rId12"/>
      </mc:Fallback>
    </mc:AlternateContent>
    <mc:AlternateContent xmlns:mc="http://schemas.openxmlformats.org/markup-compatibility/2006">
      <mc:Choice Requires="x14">
        <oleObject progId="Equation.3" shapeId="36870" r:id="rId14">
          <objectPr defaultSize="0" autoPict="0" r:id="rId15">
            <anchor moveWithCells="1" sizeWithCells="1">
              <from>
                <xdr:col>7</xdr:col>
                <xdr:colOff>95250</xdr:colOff>
                <xdr:row>6</xdr:row>
                <xdr:rowOff>19050</xdr:rowOff>
              </from>
              <to>
                <xdr:col>7</xdr:col>
                <xdr:colOff>628650</xdr:colOff>
                <xdr:row>7</xdr:row>
                <xdr:rowOff>85725</xdr:rowOff>
              </to>
            </anchor>
          </objectPr>
        </oleObject>
      </mc:Choice>
      <mc:Fallback>
        <oleObject progId="Equation.3" shapeId="36870" r:id="rId14"/>
      </mc:Fallback>
    </mc:AlternateContent>
    <mc:AlternateContent xmlns:mc="http://schemas.openxmlformats.org/markup-compatibility/2006">
      <mc:Choice Requires="x14">
        <oleObject progId="Equation.3" shapeId="36871" r:id="rId16">
          <objectPr defaultSize="0" autoPict="0" r:id="rId17">
            <anchor moveWithCells="1" sizeWithCells="1">
              <from>
                <xdr:col>2</xdr:col>
                <xdr:colOff>209550</xdr:colOff>
                <xdr:row>5</xdr:row>
                <xdr:rowOff>104775</xdr:rowOff>
              </from>
              <to>
                <xdr:col>2</xdr:col>
                <xdr:colOff>390525</xdr:colOff>
                <xdr:row>7</xdr:row>
                <xdr:rowOff>9525</xdr:rowOff>
              </to>
            </anchor>
          </objectPr>
        </oleObject>
      </mc:Choice>
      <mc:Fallback>
        <oleObject progId="Equation.3" shapeId="36871" r:id="rId16"/>
      </mc:Fallback>
    </mc:AlternateContent>
    <mc:AlternateContent xmlns:mc="http://schemas.openxmlformats.org/markup-compatibility/2006">
      <mc:Choice Requires="x14">
        <oleObject progId="Equation.3" shapeId="36872" r:id="rId18">
          <objectPr defaultSize="0" autoPict="0" r:id="rId19">
            <anchor moveWithCells="1" sizeWithCells="1">
              <from>
                <xdr:col>3</xdr:col>
                <xdr:colOff>257175</xdr:colOff>
                <xdr:row>5</xdr:row>
                <xdr:rowOff>114300</xdr:rowOff>
              </from>
              <to>
                <xdr:col>3</xdr:col>
                <xdr:colOff>447675</xdr:colOff>
                <xdr:row>7</xdr:row>
                <xdr:rowOff>19050</xdr:rowOff>
              </to>
            </anchor>
          </objectPr>
        </oleObject>
      </mc:Choice>
      <mc:Fallback>
        <oleObject progId="Equation.3" shapeId="36872" r:id="rId18"/>
      </mc:Fallback>
    </mc:AlternateContent>
    <mc:AlternateContent xmlns:mc="http://schemas.openxmlformats.org/markup-compatibility/2006">
      <mc:Choice Requires="x14">
        <oleObject progId="Equation.3" shapeId="36873" r:id="rId20">
          <objectPr defaultSize="0" autoPict="0" r:id="rId21">
            <anchor moveWithCells="1" sizeWithCells="1">
              <from>
                <xdr:col>4</xdr:col>
                <xdr:colOff>371475</xdr:colOff>
                <xdr:row>5</xdr:row>
                <xdr:rowOff>114300</xdr:rowOff>
              </from>
              <to>
                <xdr:col>4</xdr:col>
                <xdr:colOff>561975</xdr:colOff>
                <xdr:row>7</xdr:row>
                <xdr:rowOff>19050</xdr:rowOff>
              </to>
            </anchor>
          </objectPr>
        </oleObject>
      </mc:Choice>
      <mc:Fallback>
        <oleObject progId="Equation.3" shapeId="36873" r:id="rId20"/>
      </mc:Fallback>
    </mc:AlternateContent>
    <mc:AlternateContent xmlns:mc="http://schemas.openxmlformats.org/markup-compatibility/2006">
      <mc:Choice Requires="x14">
        <oleObject progId="Equation.3" shapeId="36874" r:id="rId22">
          <objectPr defaultSize="0" autoPict="0" r:id="rId23">
            <anchor moveWithCells="1" sizeWithCells="1">
              <from>
                <xdr:col>5</xdr:col>
                <xdr:colOff>314325</xdr:colOff>
                <xdr:row>5</xdr:row>
                <xdr:rowOff>123825</xdr:rowOff>
              </from>
              <to>
                <xdr:col>5</xdr:col>
                <xdr:colOff>552450</xdr:colOff>
                <xdr:row>7</xdr:row>
                <xdr:rowOff>28575</xdr:rowOff>
              </to>
            </anchor>
          </objectPr>
        </oleObject>
      </mc:Choice>
      <mc:Fallback>
        <oleObject progId="Equation.3" shapeId="36874" r:id="rId22"/>
      </mc:Fallback>
    </mc:AlternateContent>
    <mc:AlternateContent xmlns:mc="http://schemas.openxmlformats.org/markup-compatibility/2006">
      <mc:Choice Requires="x14">
        <oleObject progId="Equation.3" shapeId="36875" r:id="rId24">
          <objectPr defaultSize="0" autoPict="0" r:id="rId25">
            <anchor moveWithCells="1" sizeWithCells="1">
              <from>
                <xdr:col>8</xdr:col>
                <xdr:colOff>285750</xdr:colOff>
                <xdr:row>6</xdr:row>
                <xdr:rowOff>38100</xdr:rowOff>
              </from>
              <to>
                <xdr:col>8</xdr:col>
                <xdr:colOff>438150</xdr:colOff>
                <xdr:row>7</xdr:row>
                <xdr:rowOff>104775</xdr:rowOff>
              </to>
            </anchor>
          </objectPr>
        </oleObject>
      </mc:Choice>
      <mc:Fallback>
        <oleObject progId="Equation.3" shapeId="36875" r:id="rId24"/>
      </mc:Fallback>
    </mc:AlternateContent>
    <mc:AlternateContent xmlns:mc="http://schemas.openxmlformats.org/markup-compatibility/2006">
      <mc:Choice Requires="x14">
        <oleObject progId="Equation.3" shapeId="36876" r:id="rId26">
          <objectPr defaultSize="0" autoPict="0" r:id="rId27">
            <anchor moveWithCells="1" sizeWithCells="1">
              <from>
                <xdr:col>23</xdr:col>
                <xdr:colOff>247650</xdr:colOff>
                <xdr:row>6</xdr:row>
                <xdr:rowOff>9525</xdr:rowOff>
              </from>
              <to>
                <xdr:col>23</xdr:col>
                <xdr:colOff>428625</xdr:colOff>
                <xdr:row>7</xdr:row>
                <xdr:rowOff>76200</xdr:rowOff>
              </to>
            </anchor>
          </objectPr>
        </oleObject>
      </mc:Choice>
      <mc:Fallback>
        <oleObject progId="Equation.3" shapeId="36876" r:id="rId26"/>
      </mc:Fallback>
    </mc:AlternateContent>
    <mc:AlternateContent xmlns:mc="http://schemas.openxmlformats.org/markup-compatibility/2006">
      <mc:Choice Requires="x14">
        <oleObject progId="Equation.3" shapeId="36877" r:id="rId28">
          <objectPr defaultSize="0" autoPict="0" r:id="rId29">
            <anchor moveWithCells="1" sizeWithCells="1">
              <from>
                <xdr:col>22</xdr:col>
                <xdr:colOff>238125</xdr:colOff>
                <xdr:row>6</xdr:row>
                <xdr:rowOff>28575</xdr:rowOff>
              </from>
              <to>
                <xdr:col>22</xdr:col>
                <xdr:colOff>400050</xdr:colOff>
                <xdr:row>7</xdr:row>
                <xdr:rowOff>85725</xdr:rowOff>
              </to>
            </anchor>
          </objectPr>
        </oleObject>
      </mc:Choice>
      <mc:Fallback>
        <oleObject progId="Equation.3" shapeId="36877" r:id="rId28"/>
      </mc:Fallback>
    </mc:AlternateContent>
    <mc:AlternateContent xmlns:mc="http://schemas.openxmlformats.org/markup-compatibility/2006">
      <mc:Choice Requires="x14">
        <oleObject progId="Equation.3" shapeId="36878" r:id="rId30">
          <objectPr defaultSize="0" autoPict="0" r:id="rId31">
            <anchor moveWithCells="1" sizeWithCells="1">
              <from>
                <xdr:col>20</xdr:col>
                <xdr:colOff>123825</xdr:colOff>
                <xdr:row>6</xdr:row>
                <xdr:rowOff>19050</xdr:rowOff>
              </from>
              <to>
                <xdr:col>20</xdr:col>
                <xdr:colOff>276225</xdr:colOff>
                <xdr:row>7</xdr:row>
                <xdr:rowOff>19050</xdr:rowOff>
              </to>
            </anchor>
          </objectPr>
        </oleObject>
      </mc:Choice>
      <mc:Fallback>
        <oleObject progId="Equation.3" shapeId="36878" r:id="rId30"/>
      </mc:Fallback>
    </mc:AlternateContent>
    <mc:AlternateContent xmlns:mc="http://schemas.openxmlformats.org/markup-compatibility/2006">
      <mc:Choice Requires="x14">
        <oleObject progId="Equation.3" shapeId="36879" r:id="rId32">
          <objectPr defaultSize="0" autoPict="0" r:id="rId33">
            <anchor moveWithCells="1" sizeWithCells="1">
              <from>
                <xdr:col>21</xdr:col>
                <xdr:colOff>219075</xdr:colOff>
                <xdr:row>6</xdr:row>
                <xdr:rowOff>0</xdr:rowOff>
              </from>
              <to>
                <xdr:col>21</xdr:col>
                <xdr:colOff>342900</xdr:colOff>
                <xdr:row>7</xdr:row>
                <xdr:rowOff>19050</xdr:rowOff>
              </to>
            </anchor>
          </objectPr>
        </oleObject>
      </mc:Choice>
      <mc:Fallback>
        <oleObject progId="Equation.3" shapeId="36879" r:id="rId32"/>
      </mc:Fallback>
    </mc:AlternateContent>
    <mc:AlternateContent xmlns:mc="http://schemas.openxmlformats.org/markup-compatibility/2006">
      <mc:Choice Requires="x14">
        <oleObject progId="Equation.3" shapeId="36880" r:id="rId34">
          <objectPr defaultSize="0" autoPict="0" r:id="rId5">
            <anchor moveWithCells="1" sizeWithCells="1">
              <from>
                <xdr:col>10</xdr:col>
                <xdr:colOff>161925</xdr:colOff>
                <xdr:row>44</xdr:row>
                <xdr:rowOff>47625</xdr:rowOff>
              </from>
              <to>
                <xdr:col>10</xdr:col>
                <xdr:colOff>409575</xdr:colOff>
                <xdr:row>45</xdr:row>
                <xdr:rowOff>114300</xdr:rowOff>
              </to>
            </anchor>
          </objectPr>
        </oleObject>
      </mc:Choice>
      <mc:Fallback>
        <oleObject progId="Equation.3" shapeId="36880" r:id="rId34"/>
      </mc:Fallback>
    </mc:AlternateContent>
    <mc:AlternateContent xmlns:mc="http://schemas.openxmlformats.org/markup-compatibility/2006">
      <mc:Choice Requires="x14">
        <oleObject progId="Equation.3" shapeId="36881" r:id="rId35">
          <objectPr defaultSize="0" autoPict="0" r:id="rId7">
            <anchor moveWithCells="1" sizeWithCells="1">
              <from>
                <xdr:col>11</xdr:col>
                <xdr:colOff>304800</xdr:colOff>
                <xdr:row>44</xdr:row>
                <xdr:rowOff>47625</xdr:rowOff>
              </from>
              <to>
                <xdr:col>11</xdr:col>
                <xdr:colOff>447675</xdr:colOff>
                <xdr:row>45</xdr:row>
                <xdr:rowOff>114300</xdr:rowOff>
              </to>
            </anchor>
          </objectPr>
        </oleObject>
      </mc:Choice>
      <mc:Fallback>
        <oleObject progId="Equation.3" shapeId="36881" r:id="rId35"/>
      </mc:Fallback>
    </mc:AlternateContent>
    <mc:AlternateContent xmlns:mc="http://schemas.openxmlformats.org/markup-compatibility/2006">
      <mc:Choice Requires="x14">
        <oleObject progId="Equation.3" shapeId="36882" r:id="rId36">
          <objectPr defaultSize="0" autoPict="0" r:id="rId9">
            <anchor moveWithCells="1" sizeWithCells="1">
              <from>
                <xdr:col>12</xdr:col>
                <xdr:colOff>200025</xdr:colOff>
                <xdr:row>44</xdr:row>
                <xdr:rowOff>57150</xdr:rowOff>
              </from>
              <to>
                <xdr:col>12</xdr:col>
                <xdr:colOff>495300</xdr:colOff>
                <xdr:row>45</xdr:row>
                <xdr:rowOff>123825</xdr:rowOff>
              </to>
            </anchor>
          </objectPr>
        </oleObject>
      </mc:Choice>
      <mc:Fallback>
        <oleObject progId="Equation.3" shapeId="36882" r:id="rId36"/>
      </mc:Fallback>
    </mc:AlternateContent>
    <mc:AlternateContent xmlns:mc="http://schemas.openxmlformats.org/markup-compatibility/2006">
      <mc:Choice Requires="x14">
        <oleObject progId="Equation.3" shapeId="36883" r:id="rId37">
          <objectPr defaultSize="0" autoPict="0" r:id="rId11">
            <anchor moveWithCells="1" sizeWithCells="1">
              <from>
                <xdr:col>9</xdr:col>
                <xdr:colOff>247650</xdr:colOff>
                <xdr:row>44</xdr:row>
                <xdr:rowOff>38100</xdr:rowOff>
              </from>
              <to>
                <xdr:col>9</xdr:col>
                <xdr:colOff>371475</xdr:colOff>
                <xdr:row>45</xdr:row>
                <xdr:rowOff>104775</xdr:rowOff>
              </to>
            </anchor>
          </objectPr>
        </oleObject>
      </mc:Choice>
      <mc:Fallback>
        <oleObject progId="Equation.3" shapeId="36883" r:id="rId37"/>
      </mc:Fallback>
    </mc:AlternateContent>
    <mc:AlternateContent xmlns:mc="http://schemas.openxmlformats.org/markup-compatibility/2006">
      <mc:Choice Requires="x14">
        <oleObject progId="Equation.3" shapeId="36884" r:id="rId38">
          <objectPr defaultSize="0" autoPict="0" r:id="rId13">
            <anchor moveWithCells="1" sizeWithCells="1">
              <from>
                <xdr:col>6</xdr:col>
                <xdr:colOff>152400</xdr:colOff>
                <xdr:row>44</xdr:row>
                <xdr:rowOff>28575</xdr:rowOff>
              </from>
              <to>
                <xdr:col>6</xdr:col>
                <xdr:colOff>619125</xdr:colOff>
                <xdr:row>45</xdr:row>
                <xdr:rowOff>95250</xdr:rowOff>
              </to>
            </anchor>
          </objectPr>
        </oleObject>
      </mc:Choice>
      <mc:Fallback>
        <oleObject progId="Equation.3" shapeId="36884" r:id="rId38"/>
      </mc:Fallback>
    </mc:AlternateContent>
    <mc:AlternateContent xmlns:mc="http://schemas.openxmlformats.org/markup-compatibility/2006">
      <mc:Choice Requires="x14">
        <oleObject progId="Equation.3" shapeId="36885" r:id="rId39">
          <objectPr defaultSize="0" autoPict="0" r:id="rId15">
            <anchor moveWithCells="1" sizeWithCells="1">
              <from>
                <xdr:col>7</xdr:col>
                <xdr:colOff>95250</xdr:colOff>
                <xdr:row>44</xdr:row>
                <xdr:rowOff>19050</xdr:rowOff>
              </from>
              <to>
                <xdr:col>7</xdr:col>
                <xdr:colOff>628650</xdr:colOff>
                <xdr:row>45</xdr:row>
                <xdr:rowOff>85725</xdr:rowOff>
              </to>
            </anchor>
          </objectPr>
        </oleObject>
      </mc:Choice>
      <mc:Fallback>
        <oleObject progId="Equation.3" shapeId="36885" r:id="rId39"/>
      </mc:Fallback>
    </mc:AlternateContent>
    <mc:AlternateContent xmlns:mc="http://schemas.openxmlformats.org/markup-compatibility/2006">
      <mc:Choice Requires="x14">
        <oleObject progId="Equation.3" shapeId="36886" r:id="rId40">
          <objectPr defaultSize="0" autoPict="0" r:id="rId17">
            <anchor moveWithCells="1" sizeWithCells="1">
              <from>
                <xdr:col>2</xdr:col>
                <xdr:colOff>209550</xdr:colOff>
                <xdr:row>43</xdr:row>
                <xdr:rowOff>104775</xdr:rowOff>
              </from>
              <to>
                <xdr:col>2</xdr:col>
                <xdr:colOff>390525</xdr:colOff>
                <xdr:row>45</xdr:row>
                <xdr:rowOff>9525</xdr:rowOff>
              </to>
            </anchor>
          </objectPr>
        </oleObject>
      </mc:Choice>
      <mc:Fallback>
        <oleObject progId="Equation.3" shapeId="36886" r:id="rId40"/>
      </mc:Fallback>
    </mc:AlternateContent>
    <mc:AlternateContent xmlns:mc="http://schemas.openxmlformats.org/markup-compatibility/2006">
      <mc:Choice Requires="x14">
        <oleObject progId="Equation.3" shapeId="36887" r:id="rId41">
          <objectPr defaultSize="0" autoPict="0" r:id="rId19">
            <anchor moveWithCells="1" sizeWithCells="1">
              <from>
                <xdr:col>3</xdr:col>
                <xdr:colOff>257175</xdr:colOff>
                <xdr:row>43</xdr:row>
                <xdr:rowOff>114300</xdr:rowOff>
              </from>
              <to>
                <xdr:col>3</xdr:col>
                <xdr:colOff>447675</xdr:colOff>
                <xdr:row>45</xdr:row>
                <xdr:rowOff>19050</xdr:rowOff>
              </to>
            </anchor>
          </objectPr>
        </oleObject>
      </mc:Choice>
      <mc:Fallback>
        <oleObject progId="Equation.3" shapeId="36887" r:id="rId41"/>
      </mc:Fallback>
    </mc:AlternateContent>
    <mc:AlternateContent xmlns:mc="http://schemas.openxmlformats.org/markup-compatibility/2006">
      <mc:Choice Requires="x14">
        <oleObject progId="Equation.3" shapeId="36888" r:id="rId42">
          <objectPr defaultSize="0" autoPict="0" r:id="rId21">
            <anchor moveWithCells="1" sizeWithCells="1">
              <from>
                <xdr:col>4</xdr:col>
                <xdr:colOff>371475</xdr:colOff>
                <xdr:row>43</xdr:row>
                <xdr:rowOff>114300</xdr:rowOff>
              </from>
              <to>
                <xdr:col>4</xdr:col>
                <xdr:colOff>561975</xdr:colOff>
                <xdr:row>45</xdr:row>
                <xdr:rowOff>19050</xdr:rowOff>
              </to>
            </anchor>
          </objectPr>
        </oleObject>
      </mc:Choice>
      <mc:Fallback>
        <oleObject progId="Equation.3" shapeId="36888" r:id="rId42"/>
      </mc:Fallback>
    </mc:AlternateContent>
    <mc:AlternateContent xmlns:mc="http://schemas.openxmlformats.org/markup-compatibility/2006">
      <mc:Choice Requires="x14">
        <oleObject progId="Equation.3" shapeId="36889" r:id="rId43">
          <objectPr defaultSize="0" autoPict="0" r:id="rId23">
            <anchor moveWithCells="1" sizeWithCells="1">
              <from>
                <xdr:col>5</xdr:col>
                <xdr:colOff>314325</xdr:colOff>
                <xdr:row>43</xdr:row>
                <xdr:rowOff>123825</xdr:rowOff>
              </from>
              <to>
                <xdr:col>5</xdr:col>
                <xdr:colOff>552450</xdr:colOff>
                <xdr:row>45</xdr:row>
                <xdr:rowOff>28575</xdr:rowOff>
              </to>
            </anchor>
          </objectPr>
        </oleObject>
      </mc:Choice>
      <mc:Fallback>
        <oleObject progId="Equation.3" shapeId="36889" r:id="rId43"/>
      </mc:Fallback>
    </mc:AlternateContent>
    <mc:AlternateContent xmlns:mc="http://schemas.openxmlformats.org/markup-compatibility/2006">
      <mc:Choice Requires="x14">
        <oleObject progId="Equation.3" shapeId="36890" r:id="rId44">
          <objectPr defaultSize="0" autoPict="0" r:id="rId25">
            <anchor moveWithCells="1" sizeWithCells="1">
              <from>
                <xdr:col>8</xdr:col>
                <xdr:colOff>285750</xdr:colOff>
                <xdr:row>44</xdr:row>
                <xdr:rowOff>38100</xdr:rowOff>
              </from>
              <to>
                <xdr:col>8</xdr:col>
                <xdr:colOff>438150</xdr:colOff>
                <xdr:row>45</xdr:row>
                <xdr:rowOff>104775</xdr:rowOff>
              </to>
            </anchor>
          </objectPr>
        </oleObject>
      </mc:Choice>
      <mc:Fallback>
        <oleObject progId="Equation.3" shapeId="36890" r:id="rId44"/>
      </mc:Fallback>
    </mc:AlternateContent>
    <mc:AlternateContent xmlns:mc="http://schemas.openxmlformats.org/markup-compatibility/2006">
      <mc:Choice Requires="x14">
        <oleObject progId="Equation.3" shapeId="36891" r:id="rId45">
          <objectPr defaultSize="0" autoPict="0" r:id="rId27">
            <anchor moveWithCells="1" sizeWithCells="1">
              <from>
                <xdr:col>23</xdr:col>
                <xdr:colOff>247650</xdr:colOff>
                <xdr:row>44</xdr:row>
                <xdr:rowOff>9525</xdr:rowOff>
              </from>
              <to>
                <xdr:col>23</xdr:col>
                <xdr:colOff>428625</xdr:colOff>
                <xdr:row>45</xdr:row>
                <xdr:rowOff>76200</xdr:rowOff>
              </to>
            </anchor>
          </objectPr>
        </oleObject>
      </mc:Choice>
      <mc:Fallback>
        <oleObject progId="Equation.3" shapeId="36891" r:id="rId45"/>
      </mc:Fallback>
    </mc:AlternateContent>
    <mc:AlternateContent xmlns:mc="http://schemas.openxmlformats.org/markup-compatibility/2006">
      <mc:Choice Requires="x14">
        <oleObject progId="Equation.3" shapeId="36892" r:id="rId46">
          <objectPr defaultSize="0" autoPict="0" r:id="rId29">
            <anchor moveWithCells="1" sizeWithCells="1">
              <from>
                <xdr:col>22</xdr:col>
                <xdr:colOff>238125</xdr:colOff>
                <xdr:row>44</xdr:row>
                <xdr:rowOff>28575</xdr:rowOff>
              </from>
              <to>
                <xdr:col>22</xdr:col>
                <xdr:colOff>400050</xdr:colOff>
                <xdr:row>45</xdr:row>
                <xdr:rowOff>85725</xdr:rowOff>
              </to>
            </anchor>
          </objectPr>
        </oleObject>
      </mc:Choice>
      <mc:Fallback>
        <oleObject progId="Equation.3" shapeId="36892" r:id="rId46"/>
      </mc:Fallback>
    </mc:AlternateContent>
    <mc:AlternateContent xmlns:mc="http://schemas.openxmlformats.org/markup-compatibility/2006">
      <mc:Choice Requires="x14">
        <oleObject progId="Equation.3" shapeId="36893" r:id="rId47">
          <objectPr defaultSize="0" autoPict="0" r:id="rId31">
            <anchor moveWithCells="1" sizeWithCells="1">
              <from>
                <xdr:col>20</xdr:col>
                <xdr:colOff>123825</xdr:colOff>
                <xdr:row>44</xdr:row>
                <xdr:rowOff>19050</xdr:rowOff>
              </from>
              <to>
                <xdr:col>20</xdr:col>
                <xdr:colOff>276225</xdr:colOff>
                <xdr:row>45</xdr:row>
                <xdr:rowOff>19050</xdr:rowOff>
              </to>
            </anchor>
          </objectPr>
        </oleObject>
      </mc:Choice>
      <mc:Fallback>
        <oleObject progId="Equation.3" shapeId="36893" r:id="rId47"/>
      </mc:Fallback>
    </mc:AlternateContent>
    <mc:AlternateContent xmlns:mc="http://schemas.openxmlformats.org/markup-compatibility/2006">
      <mc:Choice Requires="x14">
        <oleObject progId="Equation.3" shapeId="36894" r:id="rId48">
          <objectPr defaultSize="0" autoPict="0" r:id="rId33">
            <anchor moveWithCells="1" sizeWithCells="1">
              <from>
                <xdr:col>21</xdr:col>
                <xdr:colOff>219075</xdr:colOff>
                <xdr:row>44</xdr:row>
                <xdr:rowOff>0</xdr:rowOff>
              </from>
              <to>
                <xdr:col>21</xdr:col>
                <xdr:colOff>342900</xdr:colOff>
                <xdr:row>45</xdr:row>
                <xdr:rowOff>19050</xdr:rowOff>
              </to>
            </anchor>
          </objectPr>
        </oleObject>
      </mc:Choice>
      <mc:Fallback>
        <oleObject progId="Equation.3" shapeId="36894" r:id="rId48"/>
      </mc:Fallback>
    </mc:AlternateContent>
    <mc:AlternateContent xmlns:mc="http://schemas.openxmlformats.org/markup-compatibility/2006">
      <mc:Choice Requires="x14">
        <oleObject progId="Equation.3" shapeId="36895" r:id="rId49">
          <objectPr defaultSize="0" autoPict="0" r:id="rId50">
            <anchor moveWithCells="1" sizeWithCells="1">
              <from>
                <xdr:col>24</xdr:col>
                <xdr:colOff>209550</xdr:colOff>
                <xdr:row>44</xdr:row>
                <xdr:rowOff>47625</xdr:rowOff>
              </from>
              <to>
                <xdr:col>24</xdr:col>
                <xdr:colOff>400050</xdr:colOff>
                <xdr:row>45</xdr:row>
                <xdr:rowOff>104775</xdr:rowOff>
              </to>
            </anchor>
          </objectPr>
        </oleObject>
      </mc:Choice>
      <mc:Fallback>
        <oleObject progId="Equation.3" shapeId="36895" r:id="rId49"/>
      </mc:Fallback>
    </mc:AlternateContent>
    <mc:AlternateContent xmlns:mc="http://schemas.openxmlformats.org/markup-compatibility/2006">
      <mc:Choice Requires="x14">
        <oleObject progId="Equation.3" shapeId="36896" r:id="rId51">
          <objectPr defaultSize="0" r:id="rId50">
            <anchor moveWithCells="1" sizeWithCells="1">
              <from>
                <xdr:col>24</xdr:col>
                <xdr:colOff>209550</xdr:colOff>
                <xdr:row>6</xdr:row>
                <xdr:rowOff>47625</xdr:rowOff>
              </from>
              <to>
                <xdr:col>24</xdr:col>
                <xdr:colOff>400050</xdr:colOff>
                <xdr:row>7</xdr:row>
                <xdr:rowOff>104775</xdr:rowOff>
              </to>
            </anchor>
          </objectPr>
        </oleObject>
      </mc:Choice>
      <mc:Fallback>
        <oleObject progId="Equation.3" shapeId="36896" r:id="rId51"/>
      </mc:Fallback>
    </mc:AlternateContent>
    <mc:AlternateContent xmlns:mc="http://schemas.openxmlformats.org/markup-compatibility/2006">
      <mc:Choice Requires="x14">
        <oleObject progId="Equation.3" shapeId="36897" r:id="rId52">
          <objectPr defaultSize="0" r:id="rId53">
            <anchor moveWithCells="1" sizeWithCells="1">
              <from>
                <xdr:col>25</xdr:col>
                <xdr:colOff>209550</xdr:colOff>
                <xdr:row>6</xdr:row>
                <xdr:rowOff>47625</xdr:rowOff>
              </from>
              <to>
                <xdr:col>25</xdr:col>
                <xdr:colOff>400050</xdr:colOff>
                <xdr:row>7</xdr:row>
                <xdr:rowOff>104775</xdr:rowOff>
              </to>
            </anchor>
          </objectPr>
        </oleObject>
      </mc:Choice>
      <mc:Fallback>
        <oleObject progId="Equation.3" shapeId="36897" r:id="rId5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5481-EC9D-4310-8C8F-8D03A456BAE7}">
  <dimension ref="B2:R59"/>
  <sheetViews>
    <sheetView topLeftCell="A18" workbookViewId="0">
      <selection activeCell="J57" sqref="J57"/>
    </sheetView>
  </sheetViews>
  <sheetFormatPr defaultRowHeight="12.75" x14ac:dyDescent="0.2"/>
  <cols>
    <col min="1" max="3" width="9.140625" style="158"/>
    <col min="4" max="4" width="10.7109375" style="158" customWidth="1"/>
    <col min="5" max="5" width="9.140625" style="158"/>
    <col min="6" max="6" width="10.5703125" style="158" customWidth="1"/>
    <col min="7" max="7" width="10.7109375" style="158" customWidth="1"/>
    <col min="8" max="8" width="9.140625" style="158"/>
    <col min="9" max="9" width="9.28515625" style="158" customWidth="1"/>
    <col min="10" max="10" width="10.140625" style="158" customWidth="1"/>
    <col min="11" max="11" width="9.140625" style="158"/>
    <col min="12" max="13" width="10.7109375" style="158" customWidth="1"/>
    <col min="14" max="14" width="3.7109375" style="158" customWidth="1"/>
    <col min="15" max="15" width="10.7109375" style="158" customWidth="1"/>
    <col min="16" max="259" width="9.140625" style="158"/>
    <col min="260" max="260" width="10.7109375" style="158" customWidth="1"/>
    <col min="261" max="261" width="9.140625" style="158"/>
    <col min="262" max="262" width="10.5703125" style="158" customWidth="1"/>
    <col min="263" max="263" width="10.7109375" style="158" customWidth="1"/>
    <col min="264" max="264" width="9.140625" style="158"/>
    <col min="265" max="265" width="9.28515625" style="158" customWidth="1"/>
    <col min="266" max="266" width="10.140625" style="158" customWidth="1"/>
    <col min="267" max="267" width="9.140625" style="158"/>
    <col min="268" max="269" width="10.7109375" style="158" customWidth="1"/>
    <col min="270" max="270" width="3.7109375" style="158" customWidth="1"/>
    <col min="271" max="271" width="10.7109375" style="158" customWidth="1"/>
    <col min="272" max="515" width="9.140625" style="158"/>
    <col min="516" max="516" width="10.7109375" style="158" customWidth="1"/>
    <col min="517" max="517" width="9.140625" style="158"/>
    <col min="518" max="518" width="10.5703125" style="158" customWidth="1"/>
    <col min="519" max="519" width="10.7109375" style="158" customWidth="1"/>
    <col min="520" max="520" width="9.140625" style="158"/>
    <col min="521" max="521" width="9.28515625" style="158" customWidth="1"/>
    <col min="522" max="522" width="10.140625" style="158" customWidth="1"/>
    <col min="523" max="523" width="9.140625" style="158"/>
    <col min="524" max="525" width="10.7109375" style="158" customWidth="1"/>
    <col min="526" max="526" width="3.7109375" style="158" customWidth="1"/>
    <col min="527" max="527" width="10.7109375" style="158" customWidth="1"/>
    <col min="528" max="771" width="9.140625" style="158"/>
    <col min="772" max="772" width="10.7109375" style="158" customWidth="1"/>
    <col min="773" max="773" width="9.140625" style="158"/>
    <col min="774" max="774" width="10.5703125" style="158" customWidth="1"/>
    <col min="775" max="775" width="10.7109375" style="158" customWidth="1"/>
    <col min="776" max="776" width="9.140625" style="158"/>
    <col min="777" max="777" width="9.28515625" style="158" customWidth="1"/>
    <col min="778" max="778" width="10.140625" style="158" customWidth="1"/>
    <col min="779" max="779" width="9.140625" style="158"/>
    <col min="780" max="781" width="10.7109375" style="158" customWidth="1"/>
    <col min="782" max="782" width="3.7109375" style="158" customWidth="1"/>
    <col min="783" max="783" width="10.7109375" style="158" customWidth="1"/>
    <col min="784" max="1027" width="9.140625" style="158"/>
    <col min="1028" max="1028" width="10.7109375" style="158" customWidth="1"/>
    <col min="1029" max="1029" width="9.140625" style="158"/>
    <col min="1030" max="1030" width="10.5703125" style="158" customWidth="1"/>
    <col min="1031" max="1031" width="10.7109375" style="158" customWidth="1"/>
    <col min="1032" max="1032" width="9.140625" style="158"/>
    <col min="1033" max="1033" width="9.28515625" style="158" customWidth="1"/>
    <col min="1034" max="1034" width="10.140625" style="158" customWidth="1"/>
    <col min="1035" max="1035" width="9.140625" style="158"/>
    <col min="1036" max="1037" width="10.7109375" style="158" customWidth="1"/>
    <col min="1038" max="1038" width="3.7109375" style="158" customWidth="1"/>
    <col min="1039" max="1039" width="10.7109375" style="158" customWidth="1"/>
    <col min="1040" max="1283" width="9.140625" style="158"/>
    <col min="1284" max="1284" width="10.7109375" style="158" customWidth="1"/>
    <col min="1285" max="1285" width="9.140625" style="158"/>
    <col min="1286" max="1286" width="10.5703125" style="158" customWidth="1"/>
    <col min="1287" max="1287" width="10.7109375" style="158" customWidth="1"/>
    <col min="1288" max="1288" width="9.140625" style="158"/>
    <col min="1289" max="1289" width="9.28515625" style="158" customWidth="1"/>
    <col min="1290" max="1290" width="10.140625" style="158" customWidth="1"/>
    <col min="1291" max="1291" width="9.140625" style="158"/>
    <col min="1292" max="1293" width="10.7109375" style="158" customWidth="1"/>
    <col min="1294" max="1294" width="3.7109375" style="158" customWidth="1"/>
    <col min="1295" max="1295" width="10.7109375" style="158" customWidth="1"/>
    <col min="1296" max="1539" width="9.140625" style="158"/>
    <col min="1540" max="1540" width="10.7109375" style="158" customWidth="1"/>
    <col min="1541" max="1541" width="9.140625" style="158"/>
    <col min="1542" max="1542" width="10.5703125" style="158" customWidth="1"/>
    <col min="1543" max="1543" width="10.7109375" style="158" customWidth="1"/>
    <col min="1544" max="1544" width="9.140625" style="158"/>
    <col min="1545" max="1545" width="9.28515625" style="158" customWidth="1"/>
    <col min="1546" max="1546" width="10.140625" style="158" customWidth="1"/>
    <col min="1547" max="1547" width="9.140625" style="158"/>
    <col min="1548" max="1549" width="10.7109375" style="158" customWidth="1"/>
    <col min="1550" max="1550" width="3.7109375" style="158" customWidth="1"/>
    <col min="1551" max="1551" width="10.7109375" style="158" customWidth="1"/>
    <col min="1552" max="1795" width="9.140625" style="158"/>
    <col min="1796" max="1796" width="10.7109375" style="158" customWidth="1"/>
    <col min="1797" max="1797" width="9.140625" style="158"/>
    <col min="1798" max="1798" width="10.5703125" style="158" customWidth="1"/>
    <col min="1799" max="1799" width="10.7109375" style="158" customWidth="1"/>
    <col min="1800" max="1800" width="9.140625" style="158"/>
    <col min="1801" max="1801" width="9.28515625" style="158" customWidth="1"/>
    <col min="1802" max="1802" width="10.140625" style="158" customWidth="1"/>
    <col min="1803" max="1803" width="9.140625" style="158"/>
    <col min="1804" max="1805" width="10.7109375" style="158" customWidth="1"/>
    <col min="1806" max="1806" width="3.7109375" style="158" customWidth="1"/>
    <col min="1807" max="1807" width="10.7109375" style="158" customWidth="1"/>
    <col min="1808" max="2051" width="9.140625" style="158"/>
    <col min="2052" max="2052" width="10.7109375" style="158" customWidth="1"/>
    <col min="2053" max="2053" width="9.140625" style="158"/>
    <col min="2054" max="2054" width="10.5703125" style="158" customWidth="1"/>
    <col min="2055" max="2055" width="10.7109375" style="158" customWidth="1"/>
    <col min="2056" max="2056" width="9.140625" style="158"/>
    <col min="2057" max="2057" width="9.28515625" style="158" customWidth="1"/>
    <col min="2058" max="2058" width="10.140625" style="158" customWidth="1"/>
    <col min="2059" max="2059" width="9.140625" style="158"/>
    <col min="2060" max="2061" width="10.7109375" style="158" customWidth="1"/>
    <col min="2062" max="2062" width="3.7109375" style="158" customWidth="1"/>
    <col min="2063" max="2063" width="10.7109375" style="158" customWidth="1"/>
    <col min="2064" max="2307" width="9.140625" style="158"/>
    <col min="2308" max="2308" width="10.7109375" style="158" customWidth="1"/>
    <col min="2309" max="2309" width="9.140625" style="158"/>
    <col min="2310" max="2310" width="10.5703125" style="158" customWidth="1"/>
    <col min="2311" max="2311" width="10.7109375" style="158" customWidth="1"/>
    <col min="2312" max="2312" width="9.140625" style="158"/>
    <col min="2313" max="2313" width="9.28515625" style="158" customWidth="1"/>
    <col min="2314" max="2314" width="10.140625" style="158" customWidth="1"/>
    <col min="2315" max="2315" width="9.140625" style="158"/>
    <col min="2316" max="2317" width="10.7109375" style="158" customWidth="1"/>
    <col min="2318" max="2318" width="3.7109375" style="158" customWidth="1"/>
    <col min="2319" max="2319" width="10.7109375" style="158" customWidth="1"/>
    <col min="2320" max="2563" width="9.140625" style="158"/>
    <col min="2564" max="2564" width="10.7109375" style="158" customWidth="1"/>
    <col min="2565" max="2565" width="9.140625" style="158"/>
    <col min="2566" max="2566" width="10.5703125" style="158" customWidth="1"/>
    <col min="2567" max="2567" width="10.7109375" style="158" customWidth="1"/>
    <col min="2568" max="2568" width="9.140625" style="158"/>
    <col min="2569" max="2569" width="9.28515625" style="158" customWidth="1"/>
    <col min="2570" max="2570" width="10.140625" style="158" customWidth="1"/>
    <col min="2571" max="2571" width="9.140625" style="158"/>
    <col min="2572" max="2573" width="10.7109375" style="158" customWidth="1"/>
    <col min="2574" max="2574" width="3.7109375" style="158" customWidth="1"/>
    <col min="2575" max="2575" width="10.7109375" style="158" customWidth="1"/>
    <col min="2576" max="2819" width="9.140625" style="158"/>
    <col min="2820" max="2820" width="10.7109375" style="158" customWidth="1"/>
    <col min="2821" max="2821" width="9.140625" style="158"/>
    <col min="2822" max="2822" width="10.5703125" style="158" customWidth="1"/>
    <col min="2823" max="2823" width="10.7109375" style="158" customWidth="1"/>
    <col min="2824" max="2824" width="9.140625" style="158"/>
    <col min="2825" max="2825" width="9.28515625" style="158" customWidth="1"/>
    <col min="2826" max="2826" width="10.140625" style="158" customWidth="1"/>
    <col min="2827" max="2827" width="9.140625" style="158"/>
    <col min="2828" max="2829" width="10.7109375" style="158" customWidth="1"/>
    <col min="2830" max="2830" width="3.7109375" style="158" customWidth="1"/>
    <col min="2831" max="2831" width="10.7109375" style="158" customWidth="1"/>
    <col min="2832" max="3075" width="9.140625" style="158"/>
    <col min="3076" max="3076" width="10.7109375" style="158" customWidth="1"/>
    <col min="3077" max="3077" width="9.140625" style="158"/>
    <col min="3078" max="3078" width="10.5703125" style="158" customWidth="1"/>
    <col min="3079" max="3079" width="10.7109375" style="158" customWidth="1"/>
    <col min="3080" max="3080" width="9.140625" style="158"/>
    <col min="3081" max="3081" width="9.28515625" style="158" customWidth="1"/>
    <col min="3082" max="3082" width="10.140625" style="158" customWidth="1"/>
    <col min="3083" max="3083" width="9.140625" style="158"/>
    <col min="3084" max="3085" width="10.7109375" style="158" customWidth="1"/>
    <col min="3086" max="3086" width="3.7109375" style="158" customWidth="1"/>
    <col min="3087" max="3087" width="10.7109375" style="158" customWidth="1"/>
    <col min="3088" max="3331" width="9.140625" style="158"/>
    <col min="3332" max="3332" width="10.7109375" style="158" customWidth="1"/>
    <col min="3333" max="3333" width="9.140625" style="158"/>
    <col min="3334" max="3334" width="10.5703125" style="158" customWidth="1"/>
    <col min="3335" max="3335" width="10.7109375" style="158" customWidth="1"/>
    <col min="3336" max="3336" width="9.140625" style="158"/>
    <col min="3337" max="3337" width="9.28515625" style="158" customWidth="1"/>
    <col min="3338" max="3338" width="10.140625" style="158" customWidth="1"/>
    <col min="3339" max="3339" width="9.140625" style="158"/>
    <col min="3340" max="3341" width="10.7109375" style="158" customWidth="1"/>
    <col min="3342" max="3342" width="3.7109375" style="158" customWidth="1"/>
    <col min="3343" max="3343" width="10.7109375" style="158" customWidth="1"/>
    <col min="3344" max="3587" width="9.140625" style="158"/>
    <col min="3588" max="3588" width="10.7109375" style="158" customWidth="1"/>
    <col min="3589" max="3589" width="9.140625" style="158"/>
    <col min="3590" max="3590" width="10.5703125" style="158" customWidth="1"/>
    <col min="3591" max="3591" width="10.7109375" style="158" customWidth="1"/>
    <col min="3592" max="3592" width="9.140625" style="158"/>
    <col min="3593" max="3593" width="9.28515625" style="158" customWidth="1"/>
    <col min="3594" max="3594" width="10.140625" style="158" customWidth="1"/>
    <col min="3595" max="3595" width="9.140625" style="158"/>
    <col min="3596" max="3597" width="10.7109375" style="158" customWidth="1"/>
    <col min="3598" max="3598" width="3.7109375" style="158" customWidth="1"/>
    <col min="3599" max="3599" width="10.7109375" style="158" customWidth="1"/>
    <col min="3600" max="3843" width="9.140625" style="158"/>
    <col min="3844" max="3844" width="10.7109375" style="158" customWidth="1"/>
    <col min="3845" max="3845" width="9.140625" style="158"/>
    <col min="3846" max="3846" width="10.5703125" style="158" customWidth="1"/>
    <col min="3847" max="3847" width="10.7109375" style="158" customWidth="1"/>
    <col min="3848" max="3848" width="9.140625" style="158"/>
    <col min="3849" max="3849" width="9.28515625" style="158" customWidth="1"/>
    <col min="3850" max="3850" width="10.140625" style="158" customWidth="1"/>
    <col min="3851" max="3851" width="9.140625" style="158"/>
    <col min="3852" max="3853" width="10.7109375" style="158" customWidth="1"/>
    <col min="3854" max="3854" width="3.7109375" style="158" customWidth="1"/>
    <col min="3855" max="3855" width="10.7109375" style="158" customWidth="1"/>
    <col min="3856" max="4099" width="9.140625" style="158"/>
    <col min="4100" max="4100" width="10.7109375" style="158" customWidth="1"/>
    <col min="4101" max="4101" width="9.140625" style="158"/>
    <col min="4102" max="4102" width="10.5703125" style="158" customWidth="1"/>
    <col min="4103" max="4103" width="10.7109375" style="158" customWidth="1"/>
    <col min="4104" max="4104" width="9.140625" style="158"/>
    <col min="4105" max="4105" width="9.28515625" style="158" customWidth="1"/>
    <col min="4106" max="4106" width="10.140625" style="158" customWidth="1"/>
    <col min="4107" max="4107" width="9.140625" style="158"/>
    <col min="4108" max="4109" width="10.7109375" style="158" customWidth="1"/>
    <col min="4110" max="4110" width="3.7109375" style="158" customWidth="1"/>
    <col min="4111" max="4111" width="10.7109375" style="158" customWidth="1"/>
    <col min="4112" max="4355" width="9.140625" style="158"/>
    <col min="4356" max="4356" width="10.7109375" style="158" customWidth="1"/>
    <col min="4357" max="4357" width="9.140625" style="158"/>
    <col min="4358" max="4358" width="10.5703125" style="158" customWidth="1"/>
    <col min="4359" max="4359" width="10.7109375" style="158" customWidth="1"/>
    <col min="4360" max="4360" width="9.140625" style="158"/>
    <col min="4361" max="4361" width="9.28515625" style="158" customWidth="1"/>
    <col min="4362" max="4362" width="10.140625" style="158" customWidth="1"/>
    <col min="4363" max="4363" width="9.140625" style="158"/>
    <col min="4364" max="4365" width="10.7109375" style="158" customWidth="1"/>
    <col min="4366" max="4366" width="3.7109375" style="158" customWidth="1"/>
    <col min="4367" max="4367" width="10.7109375" style="158" customWidth="1"/>
    <col min="4368" max="4611" width="9.140625" style="158"/>
    <col min="4612" max="4612" width="10.7109375" style="158" customWidth="1"/>
    <col min="4613" max="4613" width="9.140625" style="158"/>
    <col min="4614" max="4614" width="10.5703125" style="158" customWidth="1"/>
    <col min="4615" max="4615" width="10.7109375" style="158" customWidth="1"/>
    <col min="4616" max="4616" width="9.140625" style="158"/>
    <col min="4617" max="4617" width="9.28515625" style="158" customWidth="1"/>
    <col min="4618" max="4618" width="10.140625" style="158" customWidth="1"/>
    <col min="4619" max="4619" width="9.140625" style="158"/>
    <col min="4620" max="4621" width="10.7109375" style="158" customWidth="1"/>
    <col min="4622" max="4622" width="3.7109375" style="158" customWidth="1"/>
    <col min="4623" max="4623" width="10.7109375" style="158" customWidth="1"/>
    <col min="4624" max="4867" width="9.140625" style="158"/>
    <col min="4868" max="4868" width="10.7109375" style="158" customWidth="1"/>
    <col min="4869" max="4869" width="9.140625" style="158"/>
    <col min="4870" max="4870" width="10.5703125" style="158" customWidth="1"/>
    <col min="4871" max="4871" width="10.7109375" style="158" customWidth="1"/>
    <col min="4872" max="4872" width="9.140625" style="158"/>
    <col min="4873" max="4873" width="9.28515625" style="158" customWidth="1"/>
    <col min="4874" max="4874" width="10.140625" style="158" customWidth="1"/>
    <col min="4875" max="4875" width="9.140625" style="158"/>
    <col min="4876" max="4877" width="10.7109375" style="158" customWidth="1"/>
    <col min="4878" max="4878" width="3.7109375" style="158" customWidth="1"/>
    <col min="4879" max="4879" width="10.7109375" style="158" customWidth="1"/>
    <col min="4880" max="5123" width="9.140625" style="158"/>
    <col min="5124" max="5124" width="10.7109375" style="158" customWidth="1"/>
    <col min="5125" max="5125" width="9.140625" style="158"/>
    <col min="5126" max="5126" width="10.5703125" style="158" customWidth="1"/>
    <col min="5127" max="5127" width="10.7109375" style="158" customWidth="1"/>
    <col min="5128" max="5128" width="9.140625" style="158"/>
    <col min="5129" max="5129" width="9.28515625" style="158" customWidth="1"/>
    <col min="5130" max="5130" width="10.140625" style="158" customWidth="1"/>
    <col min="5131" max="5131" width="9.140625" style="158"/>
    <col min="5132" max="5133" width="10.7109375" style="158" customWidth="1"/>
    <col min="5134" max="5134" width="3.7109375" style="158" customWidth="1"/>
    <col min="5135" max="5135" width="10.7109375" style="158" customWidth="1"/>
    <col min="5136" max="5379" width="9.140625" style="158"/>
    <col min="5380" max="5380" width="10.7109375" style="158" customWidth="1"/>
    <col min="5381" max="5381" width="9.140625" style="158"/>
    <col min="5382" max="5382" width="10.5703125" style="158" customWidth="1"/>
    <col min="5383" max="5383" width="10.7109375" style="158" customWidth="1"/>
    <col min="5384" max="5384" width="9.140625" style="158"/>
    <col min="5385" max="5385" width="9.28515625" style="158" customWidth="1"/>
    <col min="5386" max="5386" width="10.140625" style="158" customWidth="1"/>
    <col min="5387" max="5387" width="9.140625" style="158"/>
    <col min="5388" max="5389" width="10.7109375" style="158" customWidth="1"/>
    <col min="5390" max="5390" width="3.7109375" style="158" customWidth="1"/>
    <col min="5391" max="5391" width="10.7109375" style="158" customWidth="1"/>
    <col min="5392" max="5635" width="9.140625" style="158"/>
    <col min="5636" max="5636" width="10.7109375" style="158" customWidth="1"/>
    <col min="5637" max="5637" width="9.140625" style="158"/>
    <col min="5638" max="5638" width="10.5703125" style="158" customWidth="1"/>
    <col min="5639" max="5639" width="10.7109375" style="158" customWidth="1"/>
    <col min="5640" max="5640" width="9.140625" style="158"/>
    <col min="5641" max="5641" width="9.28515625" style="158" customWidth="1"/>
    <col min="5642" max="5642" width="10.140625" style="158" customWidth="1"/>
    <col min="5643" max="5643" width="9.140625" style="158"/>
    <col min="5644" max="5645" width="10.7109375" style="158" customWidth="1"/>
    <col min="5646" max="5646" width="3.7109375" style="158" customWidth="1"/>
    <col min="5647" max="5647" width="10.7109375" style="158" customWidth="1"/>
    <col min="5648" max="5891" width="9.140625" style="158"/>
    <col min="5892" max="5892" width="10.7109375" style="158" customWidth="1"/>
    <col min="5893" max="5893" width="9.140625" style="158"/>
    <col min="5894" max="5894" width="10.5703125" style="158" customWidth="1"/>
    <col min="5895" max="5895" width="10.7109375" style="158" customWidth="1"/>
    <col min="5896" max="5896" width="9.140625" style="158"/>
    <col min="5897" max="5897" width="9.28515625" style="158" customWidth="1"/>
    <col min="5898" max="5898" width="10.140625" style="158" customWidth="1"/>
    <col min="5899" max="5899" width="9.140625" style="158"/>
    <col min="5900" max="5901" width="10.7109375" style="158" customWidth="1"/>
    <col min="5902" max="5902" width="3.7109375" style="158" customWidth="1"/>
    <col min="5903" max="5903" width="10.7109375" style="158" customWidth="1"/>
    <col min="5904" max="6147" width="9.140625" style="158"/>
    <col min="6148" max="6148" width="10.7109375" style="158" customWidth="1"/>
    <col min="6149" max="6149" width="9.140625" style="158"/>
    <col min="6150" max="6150" width="10.5703125" style="158" customWidth="1"/>
    <col min="6151" max="6151" width="10.7109375" style="158" customWidth="1"/>
    <col min="6152" max="6152" width="9.140625" style="158"/>
    <col min="6153" max="6153" width="9.28515625" style="158" customWidth="1"/>
    <col min="6154" max="6154" width="10.140625" style="158" customWidth="1"/>
    <col min="6155" max="6155" width="9.140625" style="158"/>
    <col min="6156" max="6157" width="10.7109375" style="158" customWidth="1"/>
    <col min="6158" max="6158" width="3.7109375" style="158" customWidth="1"/>
    <col min="6159" max="6159" width="10.7109375" style="158" customWidth="1"/>
    <col min="6160" max="6403" width="9.140625" style="158"/>
    <col min="6404" max="6404" width="10.7109375" style="158" customWidth="1"/>
    <col min="6405" max="6405" width="9.140625" style="158"/>
    <col min="6406" max="6406" width="10.5703125" style="158" customWidth="1"/>
    <col min="6407" max="6407" width="10.7109375" style="158" customWidth="1"/>
    <col min="6408" max="6408" width="9.140625" style="158"/>
    <col min="6409" max="6409" width="9.28515625" style="158" customWidth="1"/>
    <col min="6410" max="6410" width="10.140625" style="158" customWidth="1"/>
    <col min="6411" max="6411" width="9.140625" style="158"/>
    <col min="6412" max="6413" width="10.7109375" style="158" customWidth="1"/>
    <col min="6414" max="6414" width="3.7109375" style="158" customWidth="1"/>
    <col min="6415" max="6415" width="10.7109375" style="158" customWidth="1"/>
    <col min="6416" max="6659" width="9.140625" style="158"/>
    <col min="6660" max="6660" width="10.7109375" style="158" customWidth="1"/>
    <col min="6661" max="6661" width="9.140625" style="158"/>
    <col min="6662" max="6662" width="10.5703125" style="158" customWidth="1"/>
    <col min="6663" max="6663" width="10.7109375" style="158" customWidth="1"/>
    <col min="6664" max="6664" width="9.140625" style="158"/>
    <col min="6665" max="6665" width="9.28515625" style="158" customWidth="1"/>
    <col min="6666" max="6666" width="10.140625" style="158" customWidth="1"/>
    <col min="6667" max="6667" width="9.140625" style="158"/>
    <col min="6668" max="6669" width="10.7109375" style="158" customWidth="1"/>
    <col min="6670" max="6670" width="3.7109375" style="158" customWidth="1"/>
    <col min="6671" max="6671" width="10.7109375" style="158" customWidth="1"/>
    <col min="6672" max="6915" width="9.140625" style="158"/>
    <col min="6916" max="6916" width="10.7109375" style="158" customWidth="1"/>
    <col min="6917" max="6917" width="9.140625" style="158"/>
    <col min="6918" max="6918" width="10.5703125" style="158" customWidth="1"/>
    <col min="6919" max="6919" width="10.7109375" style="158" customWidth="1"/>
    <col min="6920" max="6920" width="9.140625" style="158"/>
    <col min="6921" max="6921" width="9.28515625" style="158" customWidth="1"/>
    <col min="6922" max="6922" width="10.140625" style="158" customWidth="1"/>
    <col min="6923" max="6923" width="9.140625" style="158"/>
    <col min="6924" max="6925" width="10.7109375" style="158" customWidth="1"/>
    <col min="6926" max="6926" width="3.7109375" style="158" customWidth="1"/>
    <col min="6927" max="6927" width="10.7109375" style="158" customWidth="1"/>
    <col min="6928" max="7171" width="9.140625" style="158"/>
    <col min="7172" max="7172" width="10.7109375" style="158" customWidth="1"/>
    <col min="7173" max="7173" width="9.140625" style="158"/>
    <col min="7174" max="7174" width="10.5703125" style="158" customWidth="1"/>
    <col min="7175" max="7175" width="10.7109375" style="158" customWidth="1"/>
    <col min="7176" max="7176" width="9.140625" style="158"/>
    <col min="7177" max="7177" width="9.28515625" style="158" customWidth="1"/>
    <col min="7178" max="7178" width="10.140625" style="158" customWidth="1"/>
    <col min="7179" max="7179" width="9.140625" style="158"/>
    <col min="7180" max="7181" width="10.7109375" style="158" customWidth="1"/>
    <col min="7182" max="7182" width="3.7109375" style="158" customWidth="1"/>
    <col min="7183" max="7183" width="10.7109375" style="158" customWidth="1"/>
    <col min="7184" max="7427" width="9.140625" style="158"/>
    <col min="7428" max="7428" width="10.7109375" style="158" customWidth="1"/>
    <col min="7429" max="7429" width="9.140625" style="158"/>
    <col min="7430" max="7430" width="10.5703125" style="158" customWidth="1"/>
    <col min="7431" max="7431" width="10.7109375" style="158" customWidth="1"/>
    <col min="7432" max="7432" width="9.140625" style="158"/>
    <col min="7433" max="7433" width="9.28515625" style="158" customWidth="1"/>
    <col min="7434" max="7434" width="10.140625" style="158" customWidth="1"/>
    <col min="7435" max="7435" width="9.140625" style="158"/>
    <col min="7436" max="7437" width="10.7109375" style="158" customWidth="1"/>
    <col min="7438" max="7438" width="3.7109375" style="158" customWidth="1"/>
    <col min="7439" max="7439" width="10.7109375" style="158" customWidth="1"/>
    <col min="7440" max="7683" width="9.140625" style="158"/>
    <col min="7684" max="7684" width="10.7109375" style="158" customWidth="1"/>
    <col min="7685" max="7685" width="9.140625" style="158"/>
    <col min="7686" max="7686" width="10.5703125" style="158" customWidth="1"/>
    <col min="7687" max="7687" width="10.7109375" style="158" customWidth="1"/>
    <col min="7688" max="7688" width="9.140625" style="158"/>
    <col min="7689" max="7689" width="9.28515625" style="158" customWidth="1"/>
    <col min="7690" max="7690" width="10.140625" style="158" customWidth="1"/>
    <col min="7691" max="7691" width="9.140625" style="158"/>
    <col min="7692" max="7693" width="10.7109375" style="158" customWidth="1"/>
    <col min="7694" max="7694" width="3.7109375" style="158" customWidth="1"/>
    <col min="7695" max="7695" width="10.7109375" style="158" customWidth="1"/>
    <col min="7696" max="7939" width="9.140625" style="158"/>
    <col min="7940" max="7940" width="10.7109375" style="158" customWidth="1"/>
    <col min="7941" max="7941" width="9.140625" style="158"/>
    <col min="7942" max="7942" width="10.5703125" style="158" customWidth="1"/>
    <col min="7943" max="7943" width="10.7109375" style="158" customWidth="1"/>
    <col min="7944" max="7944" width="9.140625" style="158"/>
    <col min="7945" max="7945" width="9.28515625" style="158" customWidth="1"/>
    <col min="7946" max="7946" width="10.140625" style="158" customWidth="1"/>
    <col min="7947" max="7947" width="9.140625" style="158"/>
    <col min="7948" max="7949" width="10.7109375" style="158" customWidth="1"/>
    <col min="7950" max="7950" width="3.7109375" style="158" customWidth="1"/>
    <col min="7951" max="7951" width="10.7109375" style="158" customWidth="1"/>
    <col min="7952" max="8195" width="9.140625" style="158"/>
    <col min="8196" max="8196" width="10.7109375" style="158" customWidth="1"/>
    <col min="8197" max="8197" width="9.140625" style="158"/>
    <col min="8198" max="8198" width="10.5703125" style="158" customWidth="1"/>
    <col min="8199" max="8199" width="10.7109375" style="158" customWidth="1"/>
    <col min="8200" max="8200" width="9.140625" style="158"/>
    <col min="8201" max="8201" width="9.28515625" style="158" customWidth="1"/>
    <col min="8202" max="8202" width="10.140625" style="158" customWidth="1"/>
    <col min="8203" max="8203" width="9.140625" style="158"/>
    <col min="8204" max="8205" width="10.7109375" style="158" customWidth="1"/>
    <col min="8206" max="8206" width="3.7109375" style="158" customWidth="1"/>
    <col min="8207" max="8207" width="10.7109375" style="158" customWidth="1"/>
    <col min="8208" max="8451" width="9.140625" style="158"/>
    <col min="8452" max="8452" width="10.7109375" style="158" customWidth="1"/>
    <col min="8453" max="8453" width="9.140625" style="158"/>
    <col min="8454" max="8454" width="10.5703125" style="158" customWidth="1"/>
    <col min="8455" max="8455" width="10.7109375" style="158" customWidth="1"/>
    <col min="8456" max="8456" width="9.140625" style="158"/>
    <col min="8457" max="8457" width="9.28515625" style="158" customWidth="1"/>
    <col min="8458" max="8458" width="10.140625" style="158" customWidth="1"/>
    <col min="8459" max="8459" width="9.140625" style="158"/>
    <col min="8460" max="8461" width="10.7109375" style="158" customWidth="1"/>
    <col min="8462" max="8462" width="3.7109375" style="158" customWidth="1"/>
    <col min="8463" max="8463" width="10.7109375" style="158" customWidth="1"/>
    <col min="8464" max="8707" width="9.140625" style="158"/>
    <col min="8708" max="8708" width="10.7109375" style="158" customWidth="1"/>
    <col min="8709" max="8709" width="9.140625" style="158"/>
    <col min="8710" max="8710" width="10.5703125" style="158" customWidth="1"/>
    <col min="8711" max="8711" width="10.7109375" style="158" customWidth="1"/>
    <col min="8712" max="8712" width="9.140625" style="158"/>
    <col min="8713" max="8713" width="9.28515625" style="158" customWidth="1"/>
    <col min="8714" max="8714" width="10.140625" style="158" customWidth="1"/>
    <col min="8715" max="8715" width="9.140625" style="158"/>
    <col min="8716" max="8717" width="10.7109375" style="158" customWidth="1"/>
    <col min="8718" max="8718" width="3.7109375" style="158" customWidth="1"/>
    <col min="8719" max="8719" width="10.7109375" style="158" customWidth="1"/>
    <col min="8720" max="8963" width="9.140625" style="158"/>
    <col min="8964" max="8964" width="10.7109375" style="158" customWidth="1"/>
    <col min="8965" max="8965" width="9.140625" style="158"/>
    <col min="8966" max="8966" width="10.5703125" style="158" customWidth="1"/>
    <col min="8967" max="8967" width="10.7109375" style="158" customWidth="1"/>
    <col min="8968" max="8968" width="9.140625" style="158"/>
    <col min="8969" max="8969" width="9.28515625" style="158" customWidth="1"/>
    <col min="8970" max="8970" width="10.140625" style="158" customWidth="1"/>
    <col min="8971" max="8971" width="9.140625" style="158"/>
    <col min="8972" max="8973" width="10.7109375" style="158" customWidth="1"/>
    <col min="8974" max="8974" width="3.7109375" style="158" customWidth="1"/>
    <col min="8975" max="8975" width="10.7109375" style="158" customWidth="1"/>
    <col min="8976" max="9219" width="9.140625" style="158"/>
    <col min="9220" max="9220" width="10.7109375" style="158" customWidth="1"/>
    <col min="9221" max="9221" width="9.140625" style="158"/>
    <col min="9222" max="9222" width="10.5703125" style="158" customWidth="1"/>
    <col min="9223" max="9223" width="10.7109375" style="158" customWidth="1"/>
    <col min="9224" max="9224" width="9.140625" style="158"/>
    <col min="9225" max="9225" width="9.28515625" style="158" customWidth="1"/>
    <col min="9226" max="9226" width="10.140625" style="158" customWidth="1"/>
    <col min="9227" max="9227" width="9.140625" style="158"/>
    <col min="9228" max="9229" width="10.7109375" style="158" customWidth="1"/>
    <col min="9230" max="9230" width="3.7109375" style="158" customWidth="1"/>
    <col min="9231" max="9231" width="10.7109375" style="158" customWidth="1"/>
    <col min="9232" max="9475" width="9.140625" style="158"/>
    <col min="9476" max="9476" width="10.7109375" style="158" customWidth="1"/>
    <col min="9477" max="9477" width="9.140625" style="158"/>
    <col min="9478" max="9478" width="10.5703125" style="158" customWidth="1"/>
    <col min="9479" max="9479" width="10.7109375" style="158" customWidth="1"/>
    <col min="9480" max="9480" width="9.140625" style="158"/>
    <col min="9481" max="9481" width="9.28515625" style="158" customWidth="1"/>
    <col min="9482" max="9482" width="10.140625" style="158" customWidth="1"/>
    <col min="9483" max="9483" width="9.140625" style="158"/>
    <col min="9484" max="9485" width="10.7109375" style="158" customWidth="1"/>
    <col min="9486" max="9486" width="3.7109375" style="158" customWidth="1"/>
    <col min="9487" max="9487" width="10.7109375" style="158" customWidth="1"/>
    <col min="9488" max="9731" width="9.140625" style="158"/>
    <col min="9732" max="9732" width="10.7109375" style="158" customWidth="1"/>
    <col min="9733" max="9733" width="9.140625" style="158"/>
    <col min="9734" max="9734" width="10.5703125" style="158" customWidth="1"/>
    <col min="9735" max="9735" width="10.7109375" style="158" customWidth="1"/>
    <col min="9736" max="9736" width="9.140625" style="158"/>
    <col min="9737" max="9737" width="9.28515625" style="158" customWidth="1"/>
    <col min="9738" max="9738" width="10.140625" style="158" customWidth="1"/>
    <col min="9739" max="9739" width="9.140625" style="158"/>
    <col min="9740" max="9741" width="10.7109375" style="158" customWidth="1"/>
    <col min="9742" max="9742" width="3.7109375" style="158" customWidth="1"/>
    <col min="9743" max="9743" width="10.7109375" style="158" customWidth="1"/>
    <col min="9744" max="9987" width="9.140625" style="158"/>
    <col min="9988" max="9988" width="10.7109375" style="158" customWidth="1"/>
    <col min="9989" max="9989" width="9.140625" style="158"/>
    <col min="9990" max="9990" width="10.5703125" style="158" customWidth="1"/>
    <col min="9991" max="9991" width="10.7109375" style="158" customWidth="1"/>
    <col min="9992" max="9992" width="9.140625" style="158"/>
    <col min="9993" max="9993" width="9.28515625" style="158" customWidth="1"/>
    <col min="9994" max="9994" width="10.140625" style="158" customWidth="1"/>
    <col min="9995" max="9995" width="9.140625" style="158"/>
    <col min="9996" max="9997" width="10.7109375" style="158" customWidth="1"/>
    <col min="9998" max="9998" width="3.7109375" style="158" customWidth="1"/>
    <col min="9999" max="9999" width="10.7109375" style="158" customWidth="1"/>
    <col min="10000" max="10243" width="9.140625" style="158"/>
    <col min="10244" max="10244" width="10.7109375" style="158" customWidth="1"/>
    <col min="10245" max="10245" width="9.140625" style="158"/>
    <col min="10246" max="10246" width="10.5703125" style="158" customWidth="1"/>
    <col min="10247" max="10247" width="10.7109375" style="158" customWidth="1"/>
    <col min="10248" max="10248" width="9.140625" style="158"/>
    <col min="10249" max="10249" width="9.28515625" style="158" customWidth="1"/>
    <col min="10250" max="10250" width="10.140625" style="158" customWidth="1"/>
    <col min="10251" max="10251" width="9.140625" style="158"/>
    <col min="10252" max="10253" width="10.7109375" style="158" customWidth="1"/>
    <col min="10254" max="10254" width="3.7109375" style="158" customWidth="1"/>
    <col min="10255" max="10255" width="10.7109375" style="158" customWidth="1"/>
    <col min="10256" max="10499" width="9.140625" style="158"/>
    <col min="10500" max="10500" width="10.7109375" style="158" customWidth="1"/>
    <col min="10501" max="10501" width="9.140625" style="158"/>
    <col min="10502" max="10502" width="10.5703125" style="158" customWidth="1"/>
    <col min="10503" max="10503" width="10.7109375" style="158" customWidth="1"/>
    <col min="10504" max="10504" width="9.140625" style="158"/>
    <col min="10505" max="10505" width="9.28515625" style="158" customWidth="1"/>
    <col min="10506" max="10506" width="10.140625" style="158" customWidth="1"/>
    <col min="10507" max="10507" width="9.140625" style="158"/>
    <col min="10508" max="10509" width="10.7109375" style="158" customWidth="1"/>
    <col min="10510" max="10510" width="3.7109375" style="158" customWidth="1"/>
    <col min="10511" max="10511" width="10.7109375" style="158" customWidth="1"/>
    <col min="10512" max="10755" width="9.140625" style="158"/>
    <col min="10756" max="10756" width="10.7109375" style="158" customWidth="1"/>
    <col min="10757" max="10757" width="9.140625" style="158"/>
    <col min="10758" max="10758" width="10.5703125" style="158" customWidth="1"/>
    <col min="10759" max="10759" width="10.7109375" style="158" customWidth="1"/>
    <col min="10760" max="10760" width="9.140625" style="158"/>
    <col min="10761" max="10761" width="9.28515625" style="158" customWidth="1"/>
    <col min="10762" max="10762" width="10.140625" style="158" customWidth="1"/>
    <col min="10763" max="10763" width="9.140625" style="158"/>
    <col min="10764" max="10765" width="10.7109375" style="158" customWidth="1"/>
    <col min="10766" max="10766" width="3.7109375" style="158" customWidth="1"/>
    <col min="10767" max="10767" width="10.7109375" style="158" customWidth="1"/>
    <col min="10768" max="11011" width="9.140625" style="158"/>
    <col min="11012" max="11012" width="10.7109375" style="158" customWidth="1"/>
    <col min="11013" max="11013" width="9.140625" style="158"/>
    <col min="11014" max="11014" width="10.5703125" style="158" customWidth="1"/>
    <col min="11015" max="11015" width="10.7109375" style="158" customWidth="1"/>
    <col min="11016" max="11016" width="9.140625" style="158"/>
    <col min="11017" max="11017" width="9.28515625" style="158" customWidth="1"/>
    <col min="11018" max="11018" width="10.140625" style="158" customWidth="1"/>
    <col min="11019" max="11019" width="9.140625" style="158"/>
    <col min="11020" max="11021" width="10.7109375" style="158" customWidth="1"/>
    <col min="11022" max="11022" width="3.7109375" style="158" customWidth="1"/>
    <col min="11023" max="11023" width="10.7109375" style="158" customWidth="1"/>
    <col min="11024" max="11267" width="9.140625" style="158"/>
    <col min="11268" max="11268" width="10.7109375" style="158" customWidth="1"/>
    <col min="11269" max="11269" width="9.140625" style="158"/>
    <col min="11270" max="11270" width="10.5703125" style="158" customWidth="1"/>
    <col min="11271" max="11271" width="10.7109375" style="158" customWidth="1"/>
    <col min="11272" max="11272" width="9.140625" style="158"/>
    <col min="11273" max="11273" width="9.28515625" style="158" customWidth="1"/>
    <col min="11274" max="11274" width="10.140625" style="158" customWidth="1"/>
    <col min="11275" max="11275" width="9.140625" style="158"/>
    <col min="11276" max="11277" width="10.7109375" style="158" customWidth="1"/>
    <col min="11278" max="11278" width="3.7109375" style="158" customWidth="1"/>
    <col min="11279" max="11279" width="10.7109375" style="158" customWidth="1"/>
    <col min="11280" max="11523" width="9.140625" style="158"/>
    <col min="11524" max="11524" width="10.7109375" style="158" customWidth="1"/>
    <col min="11525" max="11525" width="9.140625" style="158"/>
    <col min="11526" max="11526" width="10.5703125" style="158" customWidth="1"/>
    <col min="11527" max="11527" width="10.7109375" style="158" customWidth="1"/>
    <col min="11528" max="11528" width="9.140625" style="158"/>
    <col min="11529" max="11529" width="9.28515625" style="158" customWidth="1"/>
    <col min="11530" max="11530" width="10.140625" style="158" customWidth="1"/>
    <col min="11531" max="11531" width="9.140625" style="158"/>
    <col min="11532" max="11533" width="10.7109375" style="158" customWidth="1"/>
    <col min="11534" max="11534" width="3.7109375" style="158" customWidth="1"/>
    <col min="11535" max="11535" width="10.7109375" style="158" customWidth="1"/>
    <col min="11536" max="11779" width="9.140625" style="158"/>
    <col min="11780" max="11780" width="10.7109375" style="158" customWidth="1"/>
    <col min="11781" max="11781" width="9.140625" style="158"/>
    <col min="11782" max="11782" width="10.5703125" style="158" customWidth="1"/>
    <col min="11783" max="11783" width="10.7109375" style="158" customWidth="1"/>
    <col min="11784" max="11784" width="9.140625" style="158"/>
    <col min="11785" max="11785" width="9.28515625" style="158" customWidth="1"/>
    <col min="11786" max="11786" width="10.140625" style="158" customWidth="1"/>
    <col min="11787" max="11787" width="9.140625" style="158"/>
    <col min="11788" max="11789" width="10.7109375" style="158" customWidth="1"/>
    <col min="11790" max="11790" width="3.7109375" style="158" customWidth="1"/>
    <col min="11791" max="11791" width="10.7109375" style="158" customWidth="1"/>
    <col min="11792" max="12035" width="9.140625" style="158"/>
    <col min="12036" max="12036" width="10.7109375" style="158" customWidth="1"/>
    <col min="12037" max="12037" width="9.140625" style="158"/>
    <col min="12038" max="12038" width="10.5703125" style="158" customWidth="1"/>
    <col min="12039" max="12039" width="10.7109375" style="158" customWidth="1"/>
    <col min="12040" max="12040" width="9.140625" style="158"/>
    <col min="12041" max="12041" width="9.28515625" style="158" customWidth="1"/>
    <col min="12042" max="12042" width="10.140625" style="158" customWidth="1"/>
    <col min="12043" max="12043" width="9.140625" style="158"/>
    <col min="12044" max="12045" width="10.7109375" style="158" customWidth="1"/>
    <col min="12046" max="12046" width="3.7109375" style="158" customWidth="1"/>
    <col min="12047" max="12047" width="10.7109375" style="158" customWidth="1"/>
    <col min="12048" max="12291" width="9.140625" style="158"/>
    <col min="12292" max="12292" width="10.7109375" style="158" customWidth="1"/>
    <col min="12293" max="12293" width="9.140625" style="158"/>
    <col min="12294" max="12294" width="10.5703125" style="158" customWidth="1"/>
    <col min="12295" max="12295" width="10.7109375" style="158" customWidth="1"/>
    <col min="12296" max="12296" width="9.140625" style="158"/>
    <col min="12297" max="12297" width="9.28515625" style="158" customWidth="1"/>
    <col min="12298" max="12298" width="10.140625" style="158" customWidth="1"/>
    <col min="12299" max="12299" width="9.140625" style="158"/>
    <col min="12300" max="12301" width="10.7109375" style="158" customWidth="1"/>
    <col min="12302" max="12302" width="3.7109375" style="158" customWidth="1"/>
    <col min="12303" max="12303" width="10.7109375" style="158" customWidth="1"/>
    <col min="12304" max="12547" width="9.140625" style="158"/>
    <col min="12548" max="12548" width="10.7109375" style="158" customWidth="1"/>
    <col min="12549" max="12549" width="9.140625" style="158"/>
    <col min="12550" max="12550" width="10.5703125" style="158" customWidth="1"/>
    <col min="12551" max="12551" width="10.7109375" style="158" customWidth="1"/>
    <col min="12552" max="12552" width="9.140625" style="158"/>
    <col min="12553" max="12553" width="9.28515625" style="158" customWidth="1"/>
    <col min="12554" max="12554" width="10.140625" style="158" customWidth="1"/>
    <col min="12555" max="12555" width="9.140625" style="158"/>
    <col min="12556" max="12557" width="10.7109375" style="158" customWidth="1"/>
    <col min="12558" max="12558" width="3.7109375" style="158" customWidth="1"/>
    <col min="12559" max="12559" width="10.7109375" style="158" customWidth="1"/>
    <col min="12560" max="12803" width="9.140625" style="158"/>
    <col min="12804" max="12804" width="10.7109375" style="158" customWidth="1"/>
    <col min="12805" max="12805" width="9.140625" style="158"/>
    <col min="12806" max="12806" width="10.5703125" style="158" customWidth="1"/>
    <col min="12807" max="12807" width="10.7109375" style="158" customWidth="1"/>
    <col min="12808" max="12808" width="9.140625" style="158"/>
    <col min="12809" max="12809" width="9.28515625" style="158" customWidth="1"/>
    <col min="12810" max="12810" width="10.140625" style="158" customWidth="1"/>
    <col min="12811" max="12811" width="9.140625" style="158"/>
    <col min="12812" max="12813" width="10.7109375" style="158" customWidth="1"/>
    <col min="12814" max="12814" width="3.7109375" style="158" customWidth="1"/>
    <col min="12815" max="12815" width="10.7109375" style="158" customWidth="1"/>
    <col min="12816" max="13059" width="9.140625" style="158"/>
    <col min="13060" max="13060" width="10.7109375" style="158" customWidth="1"/>
    <col min="13061" max="13061" width="9.140625" style="158"/>
    <col min="13062" max="13062" width="10.5703125" style="158" customWidth="1"/>
    <col min="13063" max="13063" width="10.7109375" style="158" customWidth="1"/>
    <col min="13064" max="13064" width="9.140625" style="158"/>
    <col min="13065" max="13065" width="9.28515625" style="158" customWidth="1"/>
    <col min="13066" max="13066" width="10.140625" style="158" customWidth="1"/>
    <col min="13067" max="13067" width="9.140625" style="158"/>
    <col min="13068" max="13069" width="10.7109375" style="158" customWidth="1"/>
    <col min="13070" max="13070" width="3.7109375" style="158" customWidth="1"/>
    <col min="13071" max="13071" width="10.7109375" style="158" customWidth="1"/>
    <col min="13072" max="13315" width="9.140625" style="158"/>
    <col min="13316" max="13316" width="10.7109375" style="158" customWidth="1"/>
    <col min="13317" max="13317" width="9.140625" style="158"/>
    <col min="13318" max="13318" width="10.5703125" style="158" customWidth="1"/>
    <col min="13319" max="13319" width="10.7109375" style="158" customWidth="1"/>
    <col min="13320" max="13320" width="9.140625" style="158"/>
    <col min="13321" max="13321" width="9.28515625" style="158" customWidth="1"/>
    <col min="13322" max="13322" width="10.140625" style="158" customWidth="1"/>
    <col min="13323" max="13323" width="9.140625" style="158"/>
    <col min="13324" max="13325" width="10.7109375" style="158" customWidth="1"/>
    <col min="13326" max="13326" width="3.7109375" style="158" customWidth="1"/>
    <col min="13327" max="13327" width="10.7109375" style="158" customWidth="1"/>
    <col min="13328" max="13571" width="9.140625" style="158"/>
    <col min="13572" max="13572" width="10.7109375" style="158" customWidth="1"/>
    <col min="13573" max="13573" width="9.140625" style="158"/>
    <col min="13574" max="13574" width="10.5703125" style="158" customWidth="1"/>
    <col min="13575" max="13575" width="10.7109375" style="158" customWidth="1"/>
    <col min="13576" max="13576" width="9.140625" style="158"/>
    <col min="13577" max="13577" width="9.28515625" style="158" customWidth="1"/>
    <col min="13578" max="13578" width="10.140625" style="158" customWidth="1"/>
    <col min="13579" max="13579" width="9.140625" style="158"/>
    <col min="13580" max="13581" width="10.7109375" style="158" customWidth="1"/>
    <col min="13582" max="13582" width="3.7109375" style="158" customWidth="1"/>
    <col min="13583" max="13583" width="10.7109375" style="158" customWidth="1"/>
    <col min="13584" max="13827" width="9.140625" style="158"/>
    <col min="13828" max="13828" width="10.7109375" style="158" customWidth="1"/>
    <col min="13829" max="13829" width="9.140625" style="158"/>
    <col min="13830" max="13830" width="10.5703125" style="158" customWidth="1"/>
    <col min="13831" max="13831" width="10.7109375" style="158" customWidth="1"/>
    <col min="13832" max="13832" width="9.140625" style="158"/>
    <col min="13833" max="13833" width="9.28515625" style="158" customWidth="1"/>
    <col min="13834" max="13834" width="10.140625" style="158" customWidth="1"/>
    <col min="13835" max="13835" width="9.140625" style="158"/>
    <col min="13836" max="13837" width="10.7109375" style="158" customWidth="1"/>
    <col min="13838" max="13838" width="3.7109375" style="158" customWidth="1"/>
    <col min="13839" max="13839" width="10.7109375" style="158" customWidth="1"/>
    <col min="13840" max="14083" width="9.140625" style="158"/>
    <col min="14084" max="14084" width="10.7109375" style="158" customWidth="1"/>
    <col min="14085" max="14085" width="9.140625" style="158"/>
    <col min="14086" max="14086" width="10.5703125" style="158" customWidth="1"/>
    <col min="14087" max="14087" width="10.7109375" style="158" customWidth="1"/>
    <col min="14088" max="14088" width="9.140625" style="158"/>
    <col min="14089" max="14089" width="9.28515625" style="158" customWidth="1"/>
    <col min="14090" max="14090" width="10.140625" style="158" customWidth="1"/>
    <col min="14091" max="14091" width="9.140625" style="158"/>
    <col min="14092" max="14093" width="10.7109375" style="158" customWidth="1"/>
    <col min="14094" max="14094" width="3.7109375" style="158" customWidth="1"/>
    <col min="14095" max="14095" width="10.7109375" style="158" customWidth="1"/>
    <col min="14096" max="14339" width="9.140625" style="158"/>
    <col min="14340" max="14340" width="10.7109375" style="158" customWidth="1"/>
    <col min="14341" max="14341" width="9.140625" style="158"/>
    <col min="14342" max="14342" width="10.5703125" style="158" customWidth="1"/>
    <col min="14343" max="14343" width="10.7109375" style="158" customWidth="1"/>
    <col min="14344" max="14344" width="9.140625" style="158"/>
    <col min="14345" max="14345" width="9.28515625" style="158" customWidth="1"/>
    <col min="14346" max="14346" width="10.140625" style="158" customWidth="1"/>
    <col min="14347" max="14347" width="9.140625" style="158"/>
    <col min="14348" max="14349" width="10.7109375" style="158" customWidth="1"/>
    <col min="14350" max="14350" width="3.7109375" style="158" customWidth="1"/>
    <col min="14351" max="14351" width="10.7109375" style="158" customWidth="1"/>
    <col min="14352" max="14595" width="9.140625" style="158"/>
    <col min="14596" max="14596" width="10.7109375" style="158" customWidth="1"/>
    <col min="14597" max="14597" width="9.140625" style="158"/>
    <col min="14598" max="14598" width="10.5703125" style="158" customWidth="1"/>
    <col min="14599" max="14599" width="10.7109375" style="158" customWidth="1"/>
    <col min="14600" max="14600" width="9.140625" style="158"/>
    <col min="14601" max="14601" width="9.28515625" style="158" customWidth="1"/>
    <col min="14602" max="14602" width="10.140625" style="158" customWidth="1"/>
    <col min="14603" max="14603" width="9.140625" style="158"/>
    <col min="14604" max="14605" width="10.7109375" style="158" customWidth="1"/>
    <col min="14606" max="14606" width="3.7109375" style="158" customWidth="1"/>
    <col min="14607" max="14607" width="10.7109375" style="158" customWidth="1"/>
    <col min="14608" max="14851" width="9.140625" style="158"/>
    <col min="14852" max="14852" width="10.7109375" style="158" customWidth="1"/>
    <col min="14853" max="14853" width="9.140625" style="158"/>
    <col min="14854" max="14854" width="10.5703125" style="158" customWidth="1"/>
    <col min="14855" max="14855" width="10.7109375" style="158" customWidth="1"/>
    <col min="14856" max="14856" width="9.140625" style="158"/>
    <col min="14857" max="14857" width="9.28515625" style="158" customWidth="1"/>
    <col min="14858" max="14858" width="10.140625" style="158" customWidth="1"/>
    <col min="14859" max="14859" width="9.140625" style="158"/>
    <col min="14860" max="14861" width="10.7109375" style="158" customWidth="1"/>
    <col min="14862" max="14862" width="3.7109375" style="158" customWidth="1"/>
    <col min="14863" max="14863" width="10.7109375" style="158" customWidth="1"/>
    <col min="14864" max="15107" width="9.140625" style="158"/>
    <col min="15108" max="15108" width="10.7109375" style="158" customWidth="1"/>
    <col min="15109" max="15109" width="9.140625" style="158"/>
    <col min="15110" max="15110" width="10.5703125" style="158" customWidth="1"/>
    <col min="15111" max="15111" width="10.7109375" style="158" customWidth="1"/>
    <col min="15112" max="15112" width="9.140625" style="158"/>
    <col min="15113" max="15113" width="9.28515625" style="158" customWidth="1"/>
    <col min="15114" max="15114" width="10.140625" style="158" customWidth="1"/>
    <col min="15115" max="15115" width="9.140625" style="158"/>
    <col min="15116" max="15117" width="10.7109375" style="158" customWidth="1"/>
    <col min="15118" max="15118" width="3.7109375" style="158" customWidth="1"/>
    <col min="15119" max="15119" width="10.7109375" style="158" customWidth="1"/>
    <col min="15120" max="15363" width="9.140625" style="158"/>
    <col min="15364" max="15364" width="10.7109375" style="158" customWidth="1"/>
    <col min="15365" max="15365" width="9.140625" style="158"/>
    <col min="15366" max="15366" width="10.5703125" style="158" customWidth="1"/>
    <col min="15367" max="15367" width="10.7109375" style="158" customWidth="1"/>
    <col min="15368" max="15368" width="9.140625" style="158"/>
    <col min="15369" max="15369" width="9.28515625" style="158" customWidth="1"/>
    <col min="15370" max="15370" width="10.140625" style="158" customWidth="1"/>
    <col min="15371" max="15371" width="9.140625" style="158"/>
    <col min="15372" max="15373" width="10.7109375" style="158" customWidth="1"/>
    <col min="15374" max="15374" width="3.7109375" style="158" customWidth="1"/>
    <col min="15375" max="15375" width="10.7109375" style="158" customWidth="1"/>
    <col min="15376" max="15619" width="9.140625" style="158"/>
    <col min="15620" max="15620" width="10.7109375" style="158" customWidth="1"/>
    <col min="15621" max="15621" width="9.140625" style="158"/>
    <col min="15622" max="15622" width="10.5703125" style="158" customWidth="1"/>
    <col min="15623" max="15623" width="10.7109375" style="158" customWidth="1"/>
    <col min="15624" max="15624" width="9.140625" style="158"/>
    <col min="15625" max="15625" width="9.28515625" style="158" customWidth="1"/>
    <col min="15626" max="15626" width="10.140625" style="158" customWidth="1"/>
    <col min="15627" max="15627" width="9.140625" style="158"/>
    <col min="15628" max="15629" width="10.7109375" style="158" customWidth="1"/>
    <col min="15630" max="15630" width="3.7109375" style="158" customWidth="1"/>
    <col min="15631" max="15631" width="10.7109375" style="158" customWidth="1"/>
    <col min="15632" max="15875" width="9.140625" style="158"/>
    <col min="15876" max="15876" width="10.7109375" style="158" customWidth="1"/>
    <col min="15877" max="15877" width="9.140625" style="158"/>
    <col min="15878" max="15878" width="10.5703125" style="158" customWidth="1"/>
    <col min="15879" max="15879" width="10.7109375" style="158" customWidth="1"/>
    <col min="15880" max="15880" width="9.140625" style="158"/>
    <col min="15881" max="15881" width="9.28515625" style="158" customWidth="1"/>
    <col min="15882" max="15882" width="10.140625" style="158" customWidth="1"/>
    <col min="15883" max="15883" width="9.140625" style="158"/>
    <col min="15884" max="15885" width="10.7109375" style="158" customWidth="1"/>
    <col min="15886" max="15886" width="3.7109375" style="158" customWidth="1"/>
    <col min="15887" max="15887" width="10.7109375" style="158" customWidth="1"/>
    <col min="15888" max="16131" width="9.140625" style="158"/>
    <col min="16132" max="16132" width="10.7109375" style="158" customWidth="1"/>
    <col min="16133" max="16133" width="9.140625" style="158"/>
    <col min="16134" max="16134" width="10.5703125" style="158" customWidth="1"/>
    <col min="16135" max="16135" width="10.7109375" style="158" customWidth="1"/>
    <col min="16136" max="16136" width="9.140625" style="158"/>
    <col min="16137" max="16137" width="9.28515625" style="158" customWidth="1"/>
    <col min="16138" max="16138" width="10.140625" style="158" customWidth="1"/>
    <col min="16139" max="16139" width="9.140625" style="158"/>
    <col min="16140" max="16141" width="10.7109375" style="158" customWidth="1"/>
    <col min="16142" max="16142" width="3.7109375" style="158" customWidth="1"/>
    <col min="16143" max="16143" width="10.7109375" style="158" customWidth="1"/>
    <col min="16144" max="16384" width="9.140625" style="158"/>
  </cols>
  <sheetData>
    <row r="2" spans="2:13" ht="20.25" x14ac:dyDescent="0.3">
      <c r="B2" s="164" t="s">
        <v>354</v>
      </c>
    </row>
    <row r="4" spans="2:13" ht="13.5" thickBot="1" x14ac:dyDescent="0.25"/>
    <row r="5" spans="2:13" x14ac:dyDescent="0.2">
      <c r="C5" s="217" t="s">
        <v>0</v>
      </c>
      <c r="D5" s="218" t="s">
        <v>328</v>
      </c>
      <c r="E5" s="219" t="s">
        <v>355</v>
      </c>
      <c r="F5" s="220" t="s">
        <v>356</v>
      </c>
      <c r="G5" s="221" t="s">
        <v>357</v>
      </c>
      <c r="H5" s="220"/>
      <c r="I5" s="219" t="s">
        <v>355</v>
      </c>
      <c r="J5" s="220" t="s">
        <v>356</v>
      </c>
      <c r="K5" s="221" t="s">
        <v>357</v>
      </c>
      <c r="L5" s="220"/>
      <c r="M5" s="218" t="s">
        <v>358</v>
      </c>
    </row>
    <row r="6" spans="2:13" ht="13.5" thickBot="1" x14ac:dyDescent="0.25">
      <c r="C6" s="222"/>
      <c r="D6" s="223"/>
      <c r="E6" s="224" t="s">
        <v>359</v>
      </c>
      <c r="F6" s="225"/>
      <c r="G6" s="226"/>
      <c r="H6" s="225"/>
      <c r="I6" s="224" t="s">
        <v>359</v>
      </c>
      <c r="J6" s="225"/>
      <c r="K6" s="226"/>
      <c r="L6" s="225"/>
      <c r="M6" s="223"/>
    </row>
    <row r="7" spans="2:13" x14ac:dyDescent="0.2">
      <c r="B7" s="158" t="s">
        <v>0</v>
      </c>
      <c r="C7" s="227" t="s">
        <v>360</v>
      </c>
      <c r="D7" s="228">
        <v>0.2</v>
      </c>
      <c r="E7" s="229">
        <v>15</v>
      </c>
      <c r="F7" s="230">
        <v>15</v>
      </c>
      <c r="G7" s="231">
        <v>15</v>
      </c>
      <c r="H7" s="232"/>
      <c r="I7" s="229">
        <f>+D7*E7</f>
        <v>3</v>
      </c>
      <c r="J7" s="230">
        <f>+D7*F7</f>
        <v>3</v>
      </c>
      <c r="K7" s="231">
        <f>+D7*G7</f>
        <v>3</v>
      </c>
      <c r="L7" s="232"/>
      <c r="M7" s="233">
        <f>+D7*E7</f>
        <v>3</v>
      </c>
    </row>
    <row r="8" spans="2:13" x14ac:dyDescent="0.2">
      <c r="B8" s="158" t="s">
        <v>0</v>
      </c>
      <c r="C8" s="227" t="s">
        <v>361</v>
      </c>
      <c r="D8" s="228">
        <v>0.04</v>
      </c>
      <c r="E8" s="229">
        <v>-4.21</v>
      </c>
      <c r="F8" s="230">
        <v>-7</v>
      </c>
      <c r="G8" s="234">
        <v>-7.19</v>
      </c>
      <c r="H8" s="232"/>
      <c r="I8" s="229">
        <f t="shared" ref="I8:I13" si="0">+D8*E8</f>
        <v>-0.16839999999999999</v>
      </c>
      <c r="J8" s="230">
        <f t="shared" ref="J8:J13" si="1">+D8*F8</f>
        <v>-0.28000000000000003</v>
      </c>
      <c r="K8" s="231">
        <f t="shared" ref="K8:K13" si="2">+D8*G8</f>
        <v>-0.28760000000000002</v>
      </c>
      <c r="L8" s="232"/>
      <c r="M8" s="233">
        <f t="shared" ref="M8:M12" si="3">+D8*E8</f>
        <v>-0.16839999999999999</v>
      </c>
    </row>
    <row r="9" spans="2:13" x14ac:dyDescent="0.2">
      <c r="C9" s="227" t="s">
        <v>362</v>
      </c>
      <c r="D9" s="228">
        <v>0.03</v>
      </c>
      <c r="E9" s="229">
        <v>-3.1</v>
      </c>
      <c r="F9" s="230">
        <v>-5</v>
      </c>
      <c r="G9" s="231">
        <v>-5.0999999999999996</v>
      </c>
      <c r="H9" s="232"/>
      <c r="I9" s="229">
        <f t="shared" si="0"/>
        <v>-9.2999999999999999E-2</v>
      </c>
      <c r="J9" s="230">
        <f t="shared" si="1"/>
        <v>-0.15</v>
      </c>
      <c r="K9" s="231">
        <f t="shared" si="2"/>
        <v>-0.153</v>
      </c>
      <c r="L9" s="232"/>
      <c r="M9" s="233">
        <f t="shared" si="3"/>
        <v>-9.2999999999999999E-2</v>
      </c>
    </row>
    <row r="10" spans="2:13" x14ac:dyDescent="0.2">
      <c r="C10" s="227" t="s">
        <v>363</v>
      </c>
      <c r="D10" s="228">
        <v>0.15</v>
      </c>
      <c r="E10" s="229">
        <v>-10.75</v>
      </c>
      <c r="F10" s="230">
        <v>-15</v>
      </c>
      <c r="G10" s="234">
        <v>-14.75</v>
      </c>
      <c r="H10" s="232"/>
      <c r="I10" s="229">
        <f t="shared" si="0"/>
        <v>-1.6125</v>
      </c>
      <c r="J10" s="230">
        <f t="shared" si="1"/>
        <v>-2.25</v>
      </c>
      <c r="K10" s="231">
        <f t="shared" si="2"/>
        <v>-2.2124999999999999</v>
      </c>
      <c r="L10" s="232"/>
      <c r="M10" s="233">
        <f t="shared" si="3"/>
        <v>-1.6125</v>
      </c>
    </row>
    <row r="11" spans="2:13" x14ac:dyDescent="0.2">
      <c r="C11" s="227" t="s">
        <v>364</v>
      </c>
      <c r="D11" s="228">
        <v>0.35</v>
      </c>
      <c r="E11" s="229">
        <v>6.7</v>
      </c>
      <c r="F11" s="230">
        <v>10</v>
      </c>
      <c r="G11" s="234">
        <v>10.55</v>
      </c>
      <c r="H11" s="232"/>
      <c r="I11" s="229">
        <f t="shared" si="0"/>
        <v>2.3449999999999998</v>
      </c>
      <c r="J11" s="230">
        <f t="shared" si="1"/>
        <v>3.5</v>
      </c>
      <c r="K11" s="231">
        <f t="shared" si="2"/>
        <v>3.6924999999999999</v>
      </c>
      <c r="L11" s="232"/>
      <c r="M11" s="233">
        <f t="shared" si="3"/>
        <v>2.3449999999999998</v>
      </c>
    </row>
    <row r="12" spans="2:13" x14ac:dyDescent="0.2">
      <c r="C12" s="227" t="s">
        <v>365</v>
      </c>
      <c r="D12" s="228">
        <v>0.2</v>
      </c>
      <c r="E12" s="229">
        <v>26.5</v>
      </c>
      <c r="F12" s="230">
        <v>15</v>
      </c>
      <c r="G12" s="234">
        <v>15.81</v>
      </c>
      <c r="H12" s="232"/>
      <c r="I12" s="229">
        <f t="shared" si="0"/>
        <v>5.3000000000000007</v>
      </c>
      <c r="J12" s="230">
        <f t="shared" si="1"/>
        <v>3</v>
      </c>
      <c r="K12" s="231">
        <f t="shared" si="2"/>
        <v>3.1620000000000004</v>
      </c>
      <c r="L12" s="232"/>
      <c r="M12" s="233">
        <f t="shared" si="3"/>
        <v>5.3000000000000007</v>
      </c>
    </row>
    <row r="13" spans="2:13" ht="13.5" thickBot="1" x14ac:dyDescent="0.25">
      <c r="C13" s="227" t="s">
        <v>366</v>
      </c>
      <c r="D13" s="228">
        <v>0.03</v>
      </c>
      <c r="E13" s="229">
        <v>20.75</v>
      </c>
      <c r="F13" s="230">
        <v>5</v>
      </c>
      <c r="G13" s="234">
        <v>4.4800000000000004</v>
      </c>
      <c r="H13" s="232"/>
      <c r="I13" s="229">
        <f t="shared" si="0"/>
        <v>0.62249999999999994</v>
      </c>
      <c r="J13" s="230">
        <f t="shared" si="1"/>
        <v>0.15</v>
      </c>
      <c r="K13" s="231">
        <f t="shared" si="2"/>
        <v>0.13440000000000002</v>
      </c>
      <c r="L13" s="232"/>
      <c r="M13" s="235" t="s">
        <v>0</v>
      </c>
    </row>
    <row r="14" spans="2:13" ht="13.5" thickBot="1" x14ac:dyDescent="0.25">
      <c r="C14" s="236" t="s">
        <v>16</v>
      </c>
      <c r="D14" s="237">
        <f>SUM(D7:D13)</f>
        <v>1</v>
      </c>
      <c r="E14" s="238">
        <f>+I14</f>
        <v>9.3936000000000011</v>
      </c>
      <c r="F14" s="239">
        <f t="shared" ref="F14:G14" si="4">+J14</f>
        <v>6.9700000000000006</v>
      </c>
      <c r="G14" s="240">
        <f t="shared" si="4"/>
        <v>7.3358000000000017</v>
      </c>
      <c r="H14" s="241"/>
      <c r="I14" s="238">
        <f>SUM(I7:I13)</f>
        <v>9.3936000000000011</v>
      </c>
      <c r="J14" s="239">
        <f>SUM(J7:J13)</f>
        <v>6.9700000000000006</v>
      </c>
      <c r="K14" s="240">
        <f>SUM(K7:K13)</f>
        <v>7.3358000000000017</v>
      </c>
      <c r="L14" s="242"/>
      <c r="M14" s="243">
        <f>SUM(M7:M12)/(1-D13)</f>
        <v>9.0423711340206196</v>
      </c>
    </row>
    <row r="17" spans="2:8" ht="20.25" x14ac:dyDescent="0.3">
      <c r="B17" s="164" t="s">
        <v>367</v>
      </c>
    </row>
    <row r="18" spans="2:8" ht="13.5" thickBot="1" x14ac:dyDescent="0.25"/>
    <row r="19" spans="2:8" x14ac:dyDescent="0.2">
      <c r="C19" s="244"/>
      <c r="D19" s="245"/>
      <c r="E19" s="219" t="s">
        <v>359</v>
      </c>
      <c r="F19" s="221" t="s">
        <v>368</v>
      </c>
      <c r="G19" s="246"/>
      <c r="H19" s="218" t="s">
        <v>369</v>
      </c>
    </row>
    <row r="20" spans="2:8" ht="13.5" thickBot="1" x14ac:dyDescent="0.25">
      <c r="C20" s="247"/>
      <c r="D20" s="248"/>
      <c r="E20" s="224"/>
      <c r="F20" s="226" t="s">
        <v>370</v>
      </c>
      <c r="G20" s="246"/>
      <c r="H20" s="223" t="s">
        <v>371</v>
      </c>
    </row>
    <row r="21" spans="2:8" x14ac:dyDescent="0.2">
      <c r="C21" s="227" t="s">
        <v>372</v>
      </c>
      <c r="D21" s="232"/>
      <c r="E21" s="229">
        <f>((1+E8/100)/(1+F8/100)-1)*100</f>
        <v>3.0000000000000027</v>
      </c>
      <c r="F21" s="231">
        <f>((1+G8/100)/(1+F8/100)-1)*100</f>
        <v>-0.20430107526880903</v>
      </c>
      <c r="H21" s="249"/>
    </row>
    <row r="22" spans="2:8" x14ac:dyDescent="0.2">
      <c r="C22" s="227" t="s">
        <v>373</v>
      </c>
      <c r="D22" s="232"/>
      <c r="E22" s="229">
        <f t="shared" ref="E22:E26" si="5">((1+E9/100)/(1+F9/100)-1)*100</f>
        <v>2.0000000000000018</v>
      </c>
      <c r="F22" s="231">
        <f t="shared" ref="F22:F26" si="6">((1+G9/100)/(1+F9/100)-1)*100</f>
        <v>-0.10526315789474161</v>
      </c>
      <c r="H22" s="249"/>
    </row>
    <row r="23" spans="2:8" x14ac:dyDescent="0.2">
      <c r="C23" s="227" t="s">
        <v>374</v>
      </c>
      <c r="D23" s="232"/>
      <c r="E23" s="229">
        <f t="shared" si="5"/>
        <v>5.0000000000000044</v>
      </c>
      <c r="F23" s="231">
        <f t="shared" si="6"/>
        <v>0.29411764705882248</v>
      </c>
      <c r="H23" s="249"/>
    </row>
    <row r="24" spans="2:8" x14ac:dyDescent="0.2">
      <c r="C24" s="227" t="s">
        <v>375</v>
      </c>
      <c r="D24" s="232"/>
      <c r="E24" s="229">
        <f t="shared" si="5"/>
        <v>-3.0000000000000138</v>
      </c>
      <c r="F24" s="231">
        <f t="shared" si="6"/>
        <v>0.49999999999998934</v>
      </c>
      <c r="H24" s="249"/>
    </row>
    <row r="25" spans="2:8" x14ac:dyDescent="0.2">
      <c r="C25" s="227" t="s">
        <v>376</v>
      </c>
      <c r="D25" s="232"/>
      <c r="E25" s="229">
        <f t="shared" si="5"/>
        <v>10.000000000000009</v>
      </c>
      <c r="F25" s="231">
        <f t="shared" si="6"/>
        <v>0.70434782608697066</v>
      </c>
      <c r="H25" s="249"/>
    </row>
    <row r="26" spans="2:8" ht="13.5" thickBot="1" x14ac:dyDescent="0.25">
      <c r="C26" s="222" t="s">
        <v>377</v>
      </c>
      <c r="D26" s="250"/>
      <c r="E26" s="251">
        <f t="shared" si="5"/>
        <v>14.999999999999991</v>
      </c>
      <c r="F26" s="252">
        <f t="shared" si="6"/>
        <v>-0.49523809523810414</v>
      </c>
      <c r="H26" s="253">
        <f>((1+M14/100)/(1+E26/100)-1)*100</f>
        <v>-5.1805468399820587</v>
      </c>
    </row>
    <row r="30" spans="2:8" ht="20.25" x14ac:dyDescent="0.3">
      <c r="B30" s="164" t="s">
        <v>378</v>
      </c>
    </row>
    <row r="31" spans="2:8" ht="13.5" thickBot="1" x14ac:dyDescent="0.25"/>
    <row r="32" spans="2:8" x14ac:dyDescent="0.2">
      <c r="C32" s="219" t="s">
        <v>379</v>
      </c>
      <c r="D32" s="219" t="s">
        <v>380</v>
      </c>
      <c r="E32" s="220" t="s">
        <v>381</v>
      </c>
      <c r="F32" s="220" t="s">
        <v>382</v>
      </c>
      <c r="G32" s="220" t="s">
        <v>383</v>
      </c>
      <c r="H32" s="221" t="s">
        <v>384</v>
      </c>
    </row>
    <row r="33" spans="2:8" ht="13.5" thickBot="1" x14ac:dyDescent="0.25">
      <c r="C33" s="222"/>
      <c r="D33" s="222"/>
      <c r="E33" s="250"/>
      <c r="F33" s="250"/>
      <c r="G33" s="250"/>
      <c r="H33" s="254"/>
    </row>
    <row r="34" spans="2:8" ht="15" x14ac:dyDescent="0.25">
      <c r="C34" s="255">
        <v>1</v>
      </c>
      <c r="D34" s="256">
        <f>+C34/C$45</f>
        <v>8.3333333333333329E-2</v>
      </c>
      <c r="E34" s="257">
        <f>+(C34-1)/C$45</f>
        <v>0</v>
      </c>
      <c r="F34" s="257">
        <f>+(C34-1)/(C$45-1)</f>
        <v>0</v>
      </c>
      <c r="G34" s="257">
        <f>+(C34-0.5)/C$45</f>
        <v>4.1666666666666664E-2</v>
      </c>
      <c r="H34" s="258">
        <f>+C34/(C$45+1)</f>
        <v>7.6923076923076927E-2</v>
      </c>
    </row>
    <row r="35" spans="2:8" ht="15" x14ac:dyDescent="0.25">
      <c r="C35" s="255">
        <v>2</v>
      </c>
      <c r="D35" s="256">
        <f t="shared" ref="D35:D45" si="7">+C35/C$45</f>
        <v>0.16666666666666666</v>
      </c>
      <c r="E35" s="257">
        <f t="shared" ref="E35:E45" si="8">+(C35-1)/C$45</f>
        <v>8.3333333333333329E-2</v>
      </c>
      <c r="F35" s="257">
        <f t="shared" ref="F35:F45" si="9">+(C35-1)/(C$45-1)</f>
        <v>9.0909090909090912E-2</v>
      </c>
      <c r="G35" s="257">
        <f t="shared" ref="G35:G45" si="10">+(C35-0.5)/C$45</f>
        <v>0.125</v>
      </c>
      <c r="H35" s="258">
        <f t="shared" ref="H35:H45" si="11">+C35/(C$45+1)</f>
        <v>0.15384615384615385</v>
      </c>
    </row>
    <row r="36" spans="2:8" ht="15" x14ac:dyDescent="0.25">
      <c r="C36" s="255">
        <v>3</v>
      </c>
      <c r="D36" s="256">
        <f t="shared" si="7"/>
        <v>0.25</v>
      </c>
      <c r="E36" s="257">
        <f t="shared" si="8"/>
        <v>0.16666666666666666</v>
      </c>
      <c r="F36" s="257">
        <f t="shared" si="9"/>
        <v>0.18181818181818182</v>
      </c>
      <c r="G36" s="257">
        <f t="shared" si="10"/>
        <v>0.20833333333333334</v>
      </c>
      <c r="H36" s="258">
        <f t="shared" si="11"/>
        <v>0.23076923076923078</v>
      </c>
    </row>
    <row r="37" spans="2:8" ht="15" x14ac:dyDescent="0.25">
      <c r="C37" s="255">
        <v>4</v>
      </c>
      <c r="D37" s="256">
        <f t="shared" si="7"/>
        <v>0.33333333333333331</v>
      </c>
      <c r="E37" s="257">
        <f t="shared" si="8"/>
        <v>0.25</v>
      </c>
      <c r="F37" s="257">
        <f t="shared" si="9"/>
        <v>0.27272727272727271</v>
      </c>
      <c r="G37" s="257">
        <f t="shared" si="10"/>
        <v>0.29166666666666669</v>
      </c>
      <c r="H37" s="258">
        <f t="shared" si="11"/>
        <v>0.30769230769230771</v>
      </c>
    </row>
    <row r="38" spans="2:8" ht="15" x14ac:dyDescent="0.25">
      <c r="C38" s="255">
        <v>5</v>
      </c>
      <c r="D38" s="256">
        <f t="shared" si="7"/>
        <v>0.41666666666666669</v>
      </c>
      <c r="E38" s="257">
        <f t="shared" si="8"/>
        <v>0.33333333333333331</v>
      </c>
      <c r="F38" s="257">
        <f t="shared" si="9"/>
        <v>0.36363636363636365</v>
      </c>
      <c r="G38" s="257">
        <f t="shared" si="10"/>
        <v>0.375</v>
      </c>
      <c r="H38" s="258">
        <f t="shared" si="11"/>
        <v>0.38461538461538464</v>
      </c>
    </row>
    <row r="39" spans="2:8" ht="15" x14ac:dyDescent="0.25">
      <c r="C39" s="255">
        <v>6</v>
      </c>
      <c r="D39" s="256">
        <f t="shared" si="7"/>
        <v>0.5</v>
      </c>
      <c r="E39" s="257">
        <f t="shared" si="8"/>
        <v>0.41666666666666669</v>
      </c>
      <c r="F39" s="257">
        <f t="shared" si="9"/>
        <v>0.45454545454545453</v>
      </c>
      <c r="G39" s="257">
        <f t="shared" si="10"/>
        <v>0.45833333333333331</v>
      </c>
      <c r="H39" s="258">
        <f t="shared" si="11"/>
        <v>0.46153846153846156</v>
      </c>
    </row>
    <row r="40" spans="2:8" ht="15" x14ac:dyDescent="0.25">
      <c r="C40" s="255">
        <v>7</v>
      </c>
      <c r="D40" s="256">
        <f t="shared" si="7"/>
        <v>0.58333333333333337</v>
      </c>
      <c r="E40" s="257">
        <f t="shared" si="8"/>
        <v>0.5</v>
      </c>
      <c r="F40" s="257">
        <f t="shared" si="9"/>
        <v>0.54545454545454541</v>
      </c>
      <c r="G40" s="257">
        <f t="shared" si="10"/>
        <v>0.54166666666666663</v>
      </c>
      <c r="H40" s="258">
        <f t="shared" si="11"/>
        <v>0.53846153846153844</v>
      </c>
    </row>
    <row r="41" spans="2:8" ht="15" x14ac:dyDescent="0.25">
      <c r="C41" s="255">
        <v>8</v>
      </c>
      <c r="D41" s="256">
        <f t="shared" si="7"/>
        <v>0.66666666666666663</v>
      </c>
      <c r="E41" s="257">
        <f t="shared" si="8"/>
        <v>0.58333333333333337</v>
      </c>
      <c r="F41" s="257">
        <f t="shared" si="9"/>
        <v>0.63636363636363635</v>
      </c>
      <c r="G41" s="257">
        <f t="shared" si="10"/>
        <v>0.625</v>
      </c>
      <c r="H41" s="258">
        <f t="shared" si="11"/>
        <v>0.61538461538461542</v>
      </c>
    </row>
    <row r="42" spans="2:8" ht="15" x14ac:dyDescent="0.25">
      <c r="C42" s="255">
        <v>9</v>
      </c>
      <c r="D42" s="256">
        <f t="shared" si="7"/>
        <v>0.75</v>
      </c>
      <c r="E42" s="257">
        <f t="shared" si="8"/>
        <v>0.66666666666666663</v>
      </c>
      <c r="F42" s="257">
        <f t="shared" si="9"/>
        <v>0.72727272727272729</v>
      </c>
      <c r="G42" s="257">
        <f t="shared" si="10"/>
        <v>0.70833333333333337</v>
      </c>
      <c r="H42" s="258">
        <f t="shared" si="11"/>
        <v>0.69230769230769229</v>
      </c>
    </row>
    <row r="43" spans="2:8" ht="15" x14ac:dyDescent="0.25">
      <c r="C43" s="255">
        <v>10</v>
      </c>
      <c r="D43" s="256">
        <f t="shared" si="7"/>
        <v>0.83333333333333337</v>
      </c>
      <c r="E43" s="257">
        <f t="shared" si="8"/>
        <v>0.75</v>
      </c>
      <c r="F43" s="257">
        <f t="shared" si="9"/>
        <v>0.81818181818181823</v>
      </c>
      <c r="G43" s="257">
        <f t="shared" si="10"/>
        <v>0.79166666666666663</v>
      </c>
      <c r="H43" s="258">
        <f t="shared" si="11"/>
        <v>0.76923076923076927</v>
      </c>
    </row>
    <row r="44" spans="2:8" ht="15" x14ac:dyDescent="0.25">
      <c r="C44" s="255">
        <v>11</v>
      </c>
      <c r="D44" s="256">
        <f t="shared" si="7"/>
        <v>0.91666666666666663</v>
      </c>
      <c r="E44" s="257">
        <f t="shared" si="8"/>
        <v>0.83333333333333337</v>
      </c>
      <c r="F44" s="257">
        <f t="shared" si="9"/>
        <v>0.90909090909090906</v>
      </c>
      <c r="G44" s="257">
        <f t="shared" si="10"/>
        <v>0.875</v>
      </c>
      <c r="H44" s="258">
        <f t="shared" si="11"/>
        <v>0.84615384615384615</v>
      </c>
    </row>
    <row r="45" spans="2:8" ht="15.75" thickBot="1" x14ac:dyDescent="0.3">
      <c r="C45" s="259">
        <v>12</v>
      </c>
      <c r="D45" s="260">
        <f t="shared" si="7"/>
        <v>1</v>
      </c>
      <c r="E45" s="261">
        <f t="shared" si="8"/>
        <v>0.91666666666666663</v>
      </c>
      <c r="F45" s="261">
        <f t="shared" si="9"/>
        <v>1</v>
      </c>
      <c r="G45" s="261">
        <f t="shared" si="10"/>
        <v>0.95833333333333337</v>
      </c>
      <c r="H45" s="262">
        <f t="shared" si="11"/>
        <v>0.92307692307692313</v>
      </c>
    </row>
    <row r="47" spans="2:8" ht="20.25" x14ac:dyDescent="0.3">
      <c r="B47" s="164" t="s">
        <v>385</v>
      </c>
    </row>
    <row r="49" spans="3:18" ht="13.5" thickBot="1" x14ac:dyDescent="0.25"/>
    <row r="50" spans="3:18" x14ac:dyDescent="0.2">
      <c r="C50" s="263" t="s">
        <v>386</v>
      </c>
      <c r="D50" s="264" t="s">
        <v>387</v>
      </c>
      <c r="E50" s="265" t="s">
        <v>388</v>
      </c>
      <c r="F50" s="263" t="s">
        <v>389</v>
      </c>
      <c r="G50" s="266" t="s">
        <v>390</v>
      </c>
      <c r="H50" s="265" t="s">
        <v>388</v>
      </c>
      <c r="I50" s="263" t="s">
        <v>389</v>
      </c>
      <c r="J50" s="266" t="s">
        <v>391</v>
      </c>
      <c r="K50" s="265" t="s">
        <v>388</v>
      </c>
      <c r="L50" s="263" t="s">
        <v>389</v>
      </c>
      <c r="M50" s="265" t="s">
        <v>392</v>
      </c>
      <c r="N50" s="266"/>
      <c r="O50" s="267" t="s">
        <v>393</v>
      </c>
      <c r="Q50" s="268" t="s">
        <v>386</v>
      </c>
      <c r="R50" s="194" t="s">
        <v>393</v>
      </c>
    </row>
    <row r="51" spans="3:18" ht="13.5" thickBot="1" x14ac:dyDescent="0.25">
      <c r="C51" s="269" t="s">
        <v>328</v>
      </c>
      <c r="D51" s="270" t="s">
        <v>3</v>
      </c>
      <c r="E51" s="271" t="s">
        <v>328</v>
      </c>
      <c r="F51" s="269" t="s">
        <v>328</v>
      </c>
      <c r="G51" s="270" t="s">
        <v>3</v>
      </c>
      <c r="H51" s="271" t="s">
        <v>328</v>
      </c>
      <c r="I51" s="269" t="s">
        <v>328</v>
      </c>
      <c r="J51" s="270" t="s">
        <v>3</v>
      </c>
      <c r="K51" s="271" t="s">
        <v>328</v>
      </c>
      <c r="L51" s="269" t="s">
        <v>328</v>
      </c>
      <c r="M51" s="271" t="s">
        <v>3</v>
      </c>
      <c r="N51" s="270"/>
      <c r="O51" s="272" t="s">
        <v>3</v>
      </c>
      <c r="Q51" s="273" t="s">
        <v>328</v>
      </c>
      <c r="R51" s="274" t="s">
        <v>3</v>
      </c>
    </row>
    <row r="52" spans="3:18" x14ac:dyDescent="0.2">
      <c r="C52" s="275">
        <v>0.5</v>
      </c>
      <c r="D52" s="276">
        <v>10.4</v>
      </c>
      <c r="E52" s="277">
        <f>+C52*(1+D52/100)</f>
        <v>0.55200000000000005</v>
      </c>
      <c r="F52" s="275">
        <v>0.5</v>
      </c>
      <c r="G52" s="276">
        <v>3.5</v>
      </c>
      <c r="H52" s="277">
        <f>+F52*(1+G52/100)</f>
        <v>0.51749999999999996</v>
      </c>
      <c r="I52" s="275">
        <v>0.5</v>
      </c>
      <c r="J52" s="276">
        <v>-15.7</v>
      </c>
      <c r="K52" s="277">
        <f>+I52*(1+J52/100)</f>
        <v>0.42149999999999999</v>
      </c>
      <c r="L52" s="275">
        <v>0.5</v>
      </c>
      <c r="M52" s="278">
        <v>12.7</v>
      </c>
      <c r="N52" s="276"/>
      <c r="O52" s="279">
        <f>((1+D52/100)*(1+G52/100)*(1+J52/100)*(1+M52/100)-1)*100</f>
        <v>8.5577701040000065</v>
      </c>
      <c r="P52" s="190"/>
      <c r="Q52" s="280">
        <v>0.5</v>
      </c>
      <c r="R52" s="195">
        <v>8.56</v>
      </c>
    </row>
    <row r="53" spans="3:18" x14ac:dyDescent="0.2">
      <c r="C53" s="275">
        <v>0.5</v>
      </c>
      <c r="D53" s="276">
        <v>2.2999999999999998</v>
      </c>
      <c r="E53" s="277">
        <f>+C53*(1+D53/100)</f>
        <v>0.51149999999999995</v>
      </c>
      <c r="F53" s="275">
        <v>0.5</v>
      </c>
      <c r="G53" s="276">
        <v>1.3</v>
      </c>
      <c r="H53" s="277">
        <f>+F53*(1+G53/100)</f>
        <v>0.50649999999999995</v>
      </c>
      <c r="I53" s="275">
        <v>0.5</v>
      </c>
      <c r="J53" s="276">
        <v>1.4</v>
      </c>
      <c r="K53" s="277">
        <f>+I53*(1+J53/100)</f>
        <v>0.50700000000000001</v>
      </c>
      <c r="L53" s="275">
        <v>0.5</v>
      </c>
      <c r="M53" s="278">
        <v>8.6999999999999993</v>
      </c>
      <c r="N53" s="276"/>
      <c r="O53" s="279">
        <f>((1+D53/100)*(1+G53/100)*(1+J53/100)*(1+M53/100)-1)*100</f>
        <v>14.222741118199988</v>
      </c>
      <c r="P53" s="190"/>
      <c r="Q53" s="280">
        <v>0.5</v>
      </c>
      <c r="R53" s="195">
        <v>14.22</v>
      </c>
    </row>
    <row r="54" spans="3:18" ht="13.5" thickBot="1" x14ac:dyDescent="0.25">
      <c r="C54" s="275">
        <v>1</v>
      </c>
      <c r="D54" s="281">
        <f>+C52*D52+C53*D53</f>
        <v>6.35</v>
      </c>
      <c r="E54" s="277">
        <f>SUM(E52:E53)</f>
        <v>1.0634999999999999</v>
      </c>
      <c r="F54" s="282"/>
      <c r="G54" s="283">
        <f>+F52*G52+F53*G53</f>
        <v>2.4</v>
      </c>
      <c r="H54" s="277">
        <f>SUM(H52:H53)</f>
        <v>1.024</v>
      </c>
      <c r="I54" s="282"/>
      <c r="J54" s="283">
        <f>+I52*J52+I53*J53</f>
        <v>-7.1499999999999995</v>
      </c>
      <c r="K54" s="277">
        <f>SUM(K52:K53)</f>
        <v>0.92849999999999999</v>
      </c>
      <c r="L54" s="282"/>
      <c r="M54" s="284">
        <f>+L52*M52+L53*M53</f>
        <v>10.7</v>
      </c>
      <c r="N54" s="276"/>
      <c r="O54" s="279">
        <f>((1+D54/100)*(1+G54/100)*(1+J54/100)*(1+M54/100)-1)*100</f>
        <v>11.935277388800003</v>
      </c>
      <c r="P54" s="190"/>
      <c r="Q54" s="203"/>
      <c r="R54" s="202">
        <f>+Q52*R52+Q53*R53</f>
        <v>11.39</v>
      </c>
    </row>
    <row r="55" spans="3:18" x14ac:dyDescent="0.2">
      <c r="C55" s="263" t="s">
        <v>386</v>
      </c>
      <c r="D55" s="266" t="s">
        <v>387</v>
      </c>
      <c r="E55" s="265" t="s">
        <v>388</v>
      </c>
      <c r="F55" s="263" t="s">
        <v>394</v>
      </c>
      <c r="G55" s="266" t="s">
        <v>390</v>
      </c>
      <c r="H55" s="265" t="s">
        <v>388</v>
      </c>
      <c r="I55" s="263" t="s">
        <v>394</v>
      </c>
      <c r="J55" s="266" t="s">
        <v>391</v>
      </c>
      <c r="K55" s="265" t="s">
        <v>388</v>
      </c>
      <c r="L55" s="263" t="s">
        <v>394</v>
      </c>
      <c r="M55" s="265" t="s">
        <v>392</v>
      </c>
      <c r="N55" s="266"/>
      <c r="O55" s="267" t="s">
        <v>393</v>
      </c>
      <c r="P55" s="190"/>
      <c r="R55" s="190"/>
    </row>
    <row r="56" spans="3:18" ht="13.5" thickBot="1" x14ac:dyDescent="0.25">
      <c r="C56" s="269" t="s">
        <v>328</v>
      </c>
      <c r="D56" s="270" t="s">
        <v>3</v>
      </c>
      <c r="E56" s="271" t="s">
        <v>328</v>
      </c>
      <c r="F56" s="269" t="s">
        <v>328</v>
      </c>
      <c r="G56" s="270" t="s">
        <v>3</v>
      </c>
      <c r="H56" s="271" t="s">
        <v>328</v>
      </c>
      <c r="I56" s="269" t="s">
        <v>328</v>
      </c>
      <c r="J56" s="270" t="s">
        <v>3</v>
      </c>
      <c r="K56" s="271" t="s">
        <v>328</v>
      </c>
      <c r="L56" s="269" t="s">
        <v>328</v>
      </c>
      <c r="M56" s="271" t="s">
        <v>3</v>
      </c>
      <c r="N56" s="270"/>
      <c r="O56" s="272" t="s">
        <v>3</v>
      </c>
      <c r="P56" s="190"/>
      <c r="R56" s="190"/>
    </row>
    <row r="57" spans="3:18" x14ac:dyDescent="0.2">
      <c r="C57" s="275">
        <v>0.5</v>
      </c>
      <c r="D57" s="276">
        <v>10.4</v>
      </c>
      <c r="E57" s="277">
        <f>+C57*(1+D57/100)</f>
        <v>0.55200000000000005</v>
      </c>
      <c r="F57" s="285">
        <f>+E57/E$59</f>
        <v>0.51904090267983083</v>
      </c>
      <c r="G57" s="276">
        <v>3.5</v>
      </c>
      <c r="H57" s="277">
        <f>+F57*(1+G57/100)</f>
        <v>0.53720733427362488</v>
      </c>
      <c r="I57" s="285">
        <f>+H57/H59</f>
        <v>0.52440201400773501</v>
      </c>
      <c r="J57" s="276">
        <v>-15.7</v>
      </c>
      <c r="K57" s="277">
        <f>+I57*(1+J57/100)</f>
        <v>0.4420708978085206</v>
      </c>
      <c r="L57" s="285">
        <f>+K57/K$59</f>
        <v>0.47826232011229208</v>
      </c>
      <c r="M57" s="278">
        <v>12.7</v>
      </c>
      <c r="N57" s="276"/>
      <c r="O57" s="279">
        <f>((1+D57/100)*(1+G57/100)*(1+J57/100)*(1+M57/100)-1)*100</f>
        <v>8.5577701040000065</v>
      </c>
    </row>
    <row r="58" spans="3:18" x14ac:dyDescent="0.2">
      <c r="C58" s="275">
        <v>0.5</v>
      </c>
      <c r="D58" s="276">
        <v>2.2999999999999998</v>
      </c>
      <c r="E58" s="277">
        <f>+C58*(1+D58/100)</f>
        <v>0.51149999999999995</v>
      </c>
      <c r="F58" s="285">
        <f>+E58/E$59</f>
        <v>0.48095909732016928</v>
      </c>
      <c r="G58" s="276">
        <v>1.3</v>
      </c>
      <c r="H58" s="277">
        <f>+F58*(1+G58/100)</f>
        <v>0.48721156558533141</v>
      </c>
      <c r="I58" s="285">
        <f>+H58/H59</f>
        <v>0.47559798599226499</v>
      </c>
      <c r="J58" s="276">
        <v>1.4</v>
      </c>
      <c r="K58" s="277">
        <f>+I58*(1+J58/100)</f>
        <v>0.48225635779615672</v>
      </c>
      <c r="L58" s="285">
        <f>+K58/K$59</f>
        <v>0.52173767988770792</v>
      </c>
      <c r="M58" s="278">
        <v>8.6999999999999993</v>
      </c>
      <c r="N58" s="276"/>
      <c r="O58" s="279">
        <f>((1+D58/100)*(1+G58/100)*(1+J58/100)*(1+M58/100)-1)*100</f>
        <v>14.222741118199988</v>
      </c>
    </row>
    <row r="59" spans="3:18" ht="13.5" thickBot="1" x14ac:dyDescent="0.25">
      <c r="C59" s="286">
        <v>1</v>
      </c>
      <c r="D59" s="287">
        <f>+C57*D57+C58*D58</f>
        <v>6.35</v>
      </c>
      <c r="E59" s="288">
        <f>SUM(E57:E58)</f>
        <v>1.0634999999999999</v>
      </c>
      <c r="F59" s="289"/>
      <c r="G59" s="283">
        <f>+F57*G57+F58*G58</f>
        <v>2.441889985895628</v>
      </c>
      <c r="H59" s="288">
        <f>SUM(H57:H58)</f>
        <v>1.0244188998589563</v>
      </c>
      <c r="I59" s="289"/>
      <c r="J59" s="283">
        <f>+I57*J57+I58*J58</f>
        <v>-7.5672744395322686</v>
      </c>
      <c r="K59" s="288">
        <f>SUM(K57:K58)</f>
        <v>0.92432725560467732</v>
      </c>
      <c r="L59" s="289"/>
      <c r="M59" s="284">
        <f>+L57*M57+L58*M58</f>
        <v>10.613049280449168</v>
      </c>
      <c r="N59" s="290"/>
      <c r="O59" s="291">
        <f>((1+D59/100)*(1+G59/100)*(1+J59/100)*(1+M59/100)-1)*100</f>
        <v>11.390255611099986</v>
      </c>
    </row>
  </sheetData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CB4A-8136-4E78-BE56-C936CE65C0BB}">
  <dimension ref="B2:AY143"/>
  <sheetViews>
    <sheetView workbookViewId="0">
      <selection activeCell="A26" sqref="A26"/>
    </sheetView>
  </sheetViews>
  <sheetFormatPr defaultRowHeight="12.75" x14ac:dyDescent="0.2"/>
  <cols>
    <col min="1" max="1" width="9.140625" style="556"/>
    <col min="2" max="2" width="14.7109375" style="556" customWidth="1"/>
    <col min="3" max="3" width="10.7109375" style="556" customWidth="1"/>
    <col min="4" max="4" width="11.7109375" style="556" customWidth="1"/>
    <col min="5" max="5" width="9.140625" style="556"/>
    <col min="6" max="6" width="10.7109375" style="556" customWidth="1"/>
    <col min="7" max="9" width="9.140625" style="556"/>
    <col min="10" max="10" width="14.7109375" style="556" customWidth="1"/>
    <col min="11" max="11" width="9.140625" style="556"/>
    <col min="12" max="12" width="12.7109375" style="556" customWidth="1"/>
    <col min="13" max="14" width="9.140625" style="556"/>
    <col min="15" max="17" width="8.7109375" style="556" customWidth="1"/>
    <col min="18" max="18" width="9.140625" style="556"/>
    <col min="19" max="19" width="10.7109375" style="556" customWidth="1"/>
    <col min="20" max="35" width="9.140625" style="556"/>
    <col min="36" max="36" width="8.7109375" style="556" customWidth="1"/>
    <col min="37" max="39" width="9.140625" style="556"/>
    <col min="40" max="40" width="15.7109375" style="556" customWidth="1"/>
    <col min="41" max="43" width="12.7109375" style="556" customWidth="1"/>
    <col min="44" max="45" width="9.140625" style="556"/>
    <col min="46" max="46" width="12.7109375" style="556" customWidth="1"/>
    <col min="47" max="48" width="9.140625" style="556"/>
    <col min="49" max="49" width="2.7109375" style="556" customWidth="1"/>
    <col min="50" max="50" width="9.140625" style="556"/>
    <col min="51" max="51" width="10.7109375" style="556" customWidth="1"/>
    <col min="52" max="52" width="2.7109375" style="556" customWidth="1"/>
    <col min="53" max="257" width="9.140625" style="556"/>
    <col min="258" max="258" width="14.7109375" style="556" customWidth="1"/>
    <col min="259" max="259" width="10.7109375" style="556" customWidth="1"/>
    <col min="260" max="260" width="11.7109375" style="556" customWidth="1"/>
    <col min="261" max="261" width="9.140625" style="556"/>
    <col min="262" max="262" width="10.7109375" style="556" customWidth="1"/>
    <col min="263" max="265" width="9.140625" style="556"/>
    <col min="266" max="266" width="14.7109375" style="556" customWidth="1"/>
    <col min="267" max="267" width="9.140625" style="556"/>
    <col min="268" max="268" width="12.7109375" style="556" customWidth="1"/>
    <col min="269" max="270" width="9.140625" style="556"/>
    <col min="271" max="273" width="8.7109375" style="556" customWidth="1"/>
    <col min="274" max="274" width="9.140625" style="556"/>
    <col min="275" max="275" width="10.7109375" style="556" customWidth="1"/>
    <col min="276" max="291" width="9.140625" style="556"/>
    <col min="292" max="292" width="8.7109375" style="556" customWidth="1"/>
    <col min="293" max="295" width="9.140625" style="556"/>
    <col min="296" max="296" width="15.7109375" style="556" customWidth="1"/>
    <col min="297" max="299" width="12.7109375" style="556" customWidth="1"/>
    <col min="300" max="301" width="9.140625" style="556"/>
    <col min="302" max="302" width="12.7109375" style="556" customWidth="1"/>
    <col min="303" max="304" width="9.140625" style="556"/>
    <col min="305" max="305" width="2.7109375" style="556" customWidth="1"/>
    <col min="306" max="306" width="9.140625" style="556"/>
    <col min="307" max="307" width="10.7109375" style="556" customWidth="1"/>
    <col min="308" max="308" width="2.7109375" style="556" customWidth="1"/>
    <col min="309" max="513" width="9.140625" style="556"/>
    <col min="514" max="514" width="14.7109375" style="556" customWidth="1"/>
    <col min="515" max="515" width="10.7109375" style="556" customWidth="1"/>
    <col min="516" max="516" width="11.7109375" style="556" customWidth="1"/>
    <col min="517" max="517" width="9.140625" style="556"/>
    <col min="518" max="518" width="10.7109375" style="556" customWidth="1"/>
    <col min="519" max="521" width="9.140625" style="556"/>
    <col min="522" max="522" width="14.7109375" style="556" customWidth="1"/>
    <col min="523" max="523" width="9.140625" style="556"/>
    <col min="524" max="524" width="12.7109375" style="556" customWidth="1"/>
    <col min="525" max="526" width="9.140625" style="556"/>
    <col min="527" max="529" width="8.7109375" style="556" customWidth="1"/>
    <col min="530" max="530" width="9.140625" style="556"/>
    <col min="531" max="531" width="10.7109375" style="556" customWidth="1"/>
    <col min="532" max="547" width="9.140625" style="556"/>
    <col min="548" max="548" width="8.7109375" style="556" customWidth="1"/>
    <col min="549" max="551" width="9.140625" style="556"/>
    <col min="552" max="552" width="15.7109375" style="556" customWidth="1"/>
    <col min="553" max="555" width="12.7109375" style="556" customWidth="1"/>
    <col min="556" max="557" width="9.140625" style="556"/>
    <col min="558" max="558" width="12.7109375" style="556" customWidth="1"/>
    <col min="559" max="560" width="9.140625" style="556"/>
    <col min="561" max="561" width="2.7109375" style="556" customWidth="1"/>
    <col min="562" max="562" width="9.140625" style="556"/>
    <col min="563" max="563" width="10.7109375" style="556" customWidth="1"/>
    <col min="564" max="564" width="2.7109375" style="556" customWidth="1"/>
    <col min="565" max="769" width="9.140625" style="556"/>
    <col min="770" max="770" width="14.7109375" style="556" customWidth="1"/>
    <col min="771" max="771" width="10.7109375" style="556" customWidth="1"/>
    <col min="772" max="772" width="11.7109375" style="556" customWidth="1"/>
    <col min="773" max="773" width="9.140625" style="556"/>
    <col min="774" max="774" width="10.7109375" style="556" customWidth="1"/>
    <col min="775" max="777" width="9.140625" style="556"/>
    <col min="778" max="778" width="14.7109375" style="556" customWidth="1"/>
    <col min="779" max="779" width="9.140625" style="556"/>
    <col min="780" max="780" width="12.7109375" style="556" customWidth="1"/>
    <col min="781" max="782" width="9.140625" style="556"/>
    <col min="783" max="785" width="8.7109375" style="556" customWidth="1"/>
    <col min="786" max="786" width="9.140625" style="556"/>
    <col min="787" max="787" width="10.7109375" style="556" customWidth="1"/>
    <col min="788" max="803" width="9.140625" style="556"/>
    <col min="804" max="804" width="8.7109375" style="556" customWidth="1"/>
    <col min="805" max="807" width="9.140625" style="556"/>
    <col min="808" max="808" width="15.7109375" style="556" customWidth="1"/>
    <col min="809" max="811" width="12.7109375" style="556" customWidth="1"/>
    <col min="812" max="813" width="9.140625" style="556"/>
    <col min="814" max="814" width="12.7109375" style="556" customWidth="1"/>
    <col min="815" max="816" width="9.140625" style="556"/>
    <col min="817" max="817" width="2.7109375" style="556" customWidth="1"/>
    <col min="818" max="818" width="9.140625" style="556"/>
    <col min="819" max="819" width="10.7109375" style="556" customWidth="1"/>
    <col min="820" max="820" width="2.7109375" style="556" customWidth="1"/>
    <col min="821" max="1025" width="9.140625" style="556"/>
    <col min="1026" max="1026" width="14.7109375" style="556" customWidth="1"/>
    <col min="1027" max="1027" width="10.7109375" style="556" customWidth="1"/>
    <col min="1028" max="1028" width="11.7109375" style="556" customWidth="1"/>
    <col min="1029" max="1029" width="9.140625" style="556"/>
    <col min="1030" max="1030" width="10.7109375" style="556" customWidth="1"/>
    <col min="1031" max="1033" width="9.140625" style="556"/>
    <col min="1034" max="1034" width="14.7109375" style="556" customWidth="1"/>
    <col min="1035" max="1035" width="9.140625" style="556"/>
    <col min="1036" max="1036" width="12.7109375" style="556" customWidth="1"/>
    <col min="1037" max="1038" width="9.140625" style="556"/>
    <col min="1039" max="1041" width="8.7109375" style="556" customWidth="1"/>
    <col min="1042" max="1042" width="9.140625" style="556"/>
    <col min="1043" max="1043" width="10.7109375" style="556" customWidth="1"/>
    <col min="1044" max="1059" width="9.140625" style="556"/>
    <col min="1060" max="1060" width="8.7109375" style="556" customWidth="1"/>
    <col min="1061" max="1063" width="9.140625" style="556"/>
    <col min="1064" max="1064" width="15.7109375" style="556" customWidth="1"/>
    <col min="1065" max="1067" width="12.7109375" style="556" customWidth="1"/>
    <col min="1068" max="1069" width="9.140625" style="556"/>
    <col min="1070" max="1070" width="12.7109375" style="556" customWidth="1"/>
    <col min="1071" max="1072" width="9.140625" style="556"/>
    <col min="1073" max="1073" width="2.7109375" style="556" customWidth="1"/>
    <col min="1074" max="1074" width="9.140625" style="556"/>
    <col min="1075" max="1075" width="10.7109375" style="556" customWidth="1"/>
    <col min="1076" max="1076" width="2.7109375" style="556" customWidth="1"/>
    <col min="1077" max="1281" width="9.140625" style="556"/>
    <col min="1282" max="1282" width="14.7109375" style="556" customWidth="1"/>
    <col min="1283" max="1283" width="10.7109375" style="556" customWidth="1"/>
    <col min="1284" max="1284" width="11.7109375" style="556" customWidth="1"/>
    <col min="1285" max="1285" width="9.140625" style="556"/>
    <col min="1286" max="1286" width="10.7109375" style="556" customWidth="1"/>
    <col min="1287" max="1289" width="9.140625" style="556"/>
    <col min="1290" max="1290" width="14.7109375" style="556" customWidth="1"/>
    <col min="1291" max="1291" width="9.140625" style="556"/>
    <col min="1292" max="1292" width="12.7109375" style="556" customWidth="1"/>
    <col min="1293" max="1294" width="9.140625" style="556"/>
    <col min="1295" max="1297" width="8.7109375" style="556" customWidth="1"/>
    <col min="1298" max="1298" width="9.140625" style="556"/>
    <col min="1299" max="1299" width="10.7109375" style="556" customWidth="1"/>
    <col min="1300" max="1315" width="9.140625" style="556"/>
    <col min="1316" max="1316" width="8.7109375" style="556" customWidth="1"/>
    <col min="1317" max="1319" width="9.140625" style="556"/>
    <col min="1320" max="1320" width="15.7109375" style="556" customWidth="1"/>
    <col min="1321" max="1323" width="12.7109375" style="556" customWidth="1"/>
    <col min="1324" max="1325" width="9.140625" style="556"/>
    <col min="1326" max="1326" width="12.7109375" style="556" customWidth="1"/>
    <col min="1327" max="1328" width="9.140625" style="556"/>
    <col min="1329" max="1329" width="2.7109375" style="556" customWidth="1"/>
    <col min="1330" max="1330" width="9.140625" style="556"/>
    <col min="1331" max="1331" width="10.7109375" style="556" customWidth="1"/>
    <col min="1332" max="1332" width="2.7109375" style="556" customWidth="1"/>
    <col min="1333" max="1537" width="9.140625" style="556"/>
    <col min="1538" max="1538" width="14.7109375" style="556" customWidth="1"/>
    <col min="1539" max="1539" width="10.7109375" style="556" customWidth="1"/>
    <col min="1540" max="1540" width="11.7109375" style="556" customWidth="1"/>
    <col min="1541" max="1541" width="9.140625" style="556"/>
    <col min="1542" max="1542" width="10.7109375" style="556" customWidth="1"/>
    <col min="1543" max="1545" width="9.140625" style="556"/>
    <col min="1546" max="1546" width="14.7109375" style="556" customWidth="1"/>
    <col min="1547" max="1547" width="9.140625" style="556"/>
    <col min="1548" max="1548" width="12.7109375" style="556" customWidth="1"/>
    <col min="1549" max="1550" width="9.140625" style="556"/>
    <col min="1551" max="1553" width="8.7109375" style="556" customWidth="1"/>
    <col min="1554" max="1554" width="9.140625" style="556"/>
    <col min="1555" max="1555" width="10.7109375" style="556" customWidth="1"/>
    <col min="1556" max="1571" width="9.140625" style="556"/>
    <col min="1572" max="1572" width="8.7109375" style="556" customWidth="1"/>
    <col min="1573" max="1575" width="9.140625" style="556"/>
    <col min="1576" max="1576" width="15.7109375" style="556" customWidth="1"/>
    <col min="1577" max="1579" width="12.7109375" style="556" customWidth="1"/>
    <col min="1580" max="1581" width="9.140625" style="556"/>
    <col min="1582" max="1582" width="12.7109375" style="556" customWidth="1"/>
    <col min="1583" max="1584" width="9.140625" style="556"/>
    <col min="1585" max="1585" width="2.7109375" style="556" customWidth="1"/>
    <col min="1586" max="1586" width="9.140625" style="556"/>
    <col min="1587" max="1587" width="10.7109375" style="556" customWidth="1"/>
    <col min="1588" max="1588" width="2.7109375" style="556" customWidth="1"/>
    <col min="1589" max="1793" width="9.140625" style="556"/>
    <col min="1794" max="1794" width="14.7109375" style="556" customWidth="1"/>
    <col min="1795" max="1795" width="10.7109375" style="556" customWidth="1"/>
    <col min="1796" max="1796" width="11.7109375" style="556" customWidth="1"/>
    <col min="1797" max="1797" width="9.140625" style="556"/>
    <col min="1798" max="1798" width="10.7109375" style="556" customWidth="1"/>
    <col min="1799" max="1801" width="9.140625" style="556"/>
    <col min="1802" max="1802" width="14.7109375" style="556" customWidth="1"/>
    <col min="1803" max="1803" width="9.140625" style="556"/>
    <col min="1804" max="1804" width="12.7109375" style="556" customWidth="1"/>
    <col min="1805" max="1806" width="9.140625" style="556"/>
    <col min="1807" max="1809" width="8.7109375" style="556" customWidth="1"/>
    <col min="1810" max="1810" width="9.140625" style="556"/>
    <col min="1811" max="1811" width="10.7109375" style="556" customWidth="1"/>
    <col min="1812" max="1827" width="9.140625" style="556"/>
    <col min="1828" max="1828" width="8.7109375" style="556" customWidth="1"/>
    <col min="1829" max="1831" width="9.140625" style="556"/>
    <col min="1832" max="1832" width="15.7109375" style="556" customWidth="1"/>
    <col min="1833" max="1835" width="12.7109375" style="556" customWidth="1"/>
    <col min="1836" max="1837" width="9.140625" style="556"/>
    <col min="1838" max="1838" width="12.7109375" style="556" customWidth="1"/>
    <col min="1839" max="1840" width="9.140625" style="556"/>
    <col min="1841" max="1841" width="2.7109375" style="556" customWidth="1"/>
    <col min="1842" max="1842" width="9.140625" style="556"/>
    <col min="1843" max="1843" width="10.7109375" style="556" customWidth="1"/>
    <col min="1844" max="1844" width="2.7109375" style="556" customWidth="1"/>
    <col min="1845" max="2049" width="9.140625" style="556"/>
    <col min="2050" max="2050" width="14.7109375" style="556" customWidth="1"/>
    <col min="2051" max="2051" width="10.7109375" style="556" customWidth="1"/>
    <col min="2052" max="2052" width="11.7109375" style="556" customWidth="1"/>
    <col min="2053" max="2053" width="9.140625" style="556"/>
    <col min="2054" max="2054" width="10.7109375" style="556" customWidth="1"/>
    <col min="2055" max="2057" width="9.140625" style="556"/>
    <col min="2058" max="2058" width="14.7109375" style="556" customWidth="1"/>
    <col min="2059" max="2059" width="9.140625" style="556"/>
    <col min="2060" max="2060" width="12.7109375" style="556" customWidth="1"/>
    <col min="2061" max="2062" width="9.140625" style="556"/>
    <col min="2063" max="2065" width="8.7109375" style="556" customWidth="1"/>
    <col min="2066" max="2066" width="9.140625" style="556"/>
    <col min="2067" max="2067" width="10.7109375" style="556" customWidth="1"/>
    <col min="2068" max="2083" width="9.140625" style="556"/>
    <col min="2084" max="2084" width="8.7109375" style="556" customWidth="1"/>
    <col min="2085" max="2087" width="9.140625" style="556"/>
    <col min="2088" max="2088" width="15.7109375" style="556" customWidth="1"/>
    <col min="2089" max="2091" width="12.7109375" style="556" customWidth="1"/>
    <col min="2092" max="2093" width="9.140625" style="556"/>
    <col min="2094" max="2094" width="12.7109375" style="556" customWidth="1"/>
    <col min="2095" max="2096" width="9.140625" style="556"/>
    <col min="2097" max="2097" width="2.7109375" style="556" customWidth="1"/>
    <col min="2098" max="2098" width="9.140625" style="556"/>
    <col min="2099" max="2099" width="10.7109375" style="556" customWidth="1"/>
    <col min="2100" max="2100" width="2.7109375" style="556" customWidth="1"/>
    <col min="2101" max="2305" width="9.140625" style="556"/>
    <col min="2306" max="2306" width="14.7109375" style="556" customWidth="1"/>
    <col min="2307" max="2307" width="10.7109375" style="556" customWidth="1"/>
    <col min="2308" max="2308" width="11.7109375" style="556" customWidth="1"/>
    <col min="2309" max="2309" width="9.140625" style="556"/>
    <col min="2310" max="2310" width="10.7109375" style="556" customWidth="1"/>
    <col min="2311" max="2313" width="9.140625" style="556"/>
    <col min="2314" max="2314" width="14.7109375" style="556" customWidth="1"/>
    <col min="2315" max="2315" width="9.140625" style="556"/>
    <col min="2316" max="2316" width="12.7109375" style="556" customWidth="1"/>
    <col min="2317" max="2318" width="9.140625" style="556"/>
    <col min="2319" max="2321" width="8.7109375" style="556" customWidth="1"/>
    <col min="2322" max="2322" width="9.140625" style="556"/>
    <col min="2323" max="2323" width="10.7109375" style="556" customWidth="1"/>
    <col min="2324" max="2339" width="9.140625" style="556"/>
    <col min="2340" max="2340" width="8.7109375" style="556" customWidth="1"/>
    <col min="2341" max="2343" width="9.140625" style="556"/>
    <col min="2344" max="2344" width="15.7109375" style="556" customWidth="1"/>
    <col min="2345" max="2347" width="12.7109375" style="556" customWidth="1"/>
    <col min="2348" max="2349" width="9.140625" style="556"/>
    <col min="2350" max="2350" width="12.7109375" style="556" customWidth="1"/>
    <col min="2351" max="2352" width="9.140625" style="556"/>
    <col min="2353" max="2353" width="2.7109375" style="556" customWidth="1"/>
    <col min="2354" max="2354" width="9.140625" style="556"/>
    <col min="2355" max="2355" width="10.7109375" style="556" customWidth="1"/>
    <col min="2356" max="2356" width="2.7109375" style="556" customWidth="1"/>
    <col min="2357" max="2561" width="9.140625" style="556"/>
    <col min="2562" max="2562" width="14.7109375" style="556" customWidth="1"/>
    <col min="2563" max="2563" width="10.7109375" style="556" customWidth="1"/>
    <col min="2564" max="2564" width="11.7109375" style="556" customWidth="1"/>
    <col min="2565" max="2565" width="9.140625" style="556"/>
    <col min="2566" max="2566" width="10.7109375" style="556" customWidth="1"/>
    <col min="2567" max="2569" width="9.140625" style="556"/>
    <col min="2570" max="2570" width="14.7109375" style="556" customWidth="1"/>
    <col min="2571" max="2571" width="9.140625" style="556"/>
    <col min="2572" max="2572" width="12.7109375" style="556" customWidth="1"/>
    <col min="2573" max="2574" width="9.140625" style="556"/>
    <col min="2575" max="2577" width="8.7109375" style="556" customWidth="1"/>
    <col min="2578" max="2578" width="9.140625" style="556"/>
    <col min="2579" max="2579" width="10.7109375" style="556" customWidth="1"/>
    <col min="2580" max="2595" width="9.140625" style="556"/>
    <col min="2596" max="2596" width="8.7109375" style="556" customWidth="1"/>
    <col min="2597" max="2599" width="9.140625" style="556"/>
    <col min="2600" max="2600" width="15.7109375" style="556" customWidth="1"/>
    <col min="2601" max="2603" width="12.7109375" style="556" customWidth="1"/>
    <col min="2604" max="2605" width="9.140625" style="556"/>
    <col min="2606" max="2606" width="12.7109375" style="556" customWidth="1"/>
    <col min="2607" max="2608" width="9.140625" style="556"/>
    <col min="2609" max="2609" width="2.7109375" style="556" customWidth="1"/>
    <col min="2610" max="2610" width="9.140625" style="556"/>
    <col min="2611" max="2611" width="10.7109375" style="556" customWidth="1"/>
    <col min="2612" max="2612" width="2.7109375" style="556" customWidth="1"/>
    <col min="2613" max="2817" width="9.140625" style="556"/>
    <col min="2818" max="2818" width="14.7109375" style="556" customWidth="1"/>
    <col min="2819" max="2819" width="10.7109375" style="556" customWidth="1"/>
    <col min="2820" max="2820" width="11.7109375" style="556" customWidth="1"/>
    <col min="2821" max="2821" width="9.140625" style="556"/>
    <col min="2822" max="2822" width="10.7109375" style="556" customWidth="1"/>
    <col min="2823" max="2825" width="9.140625" style="556"/>
    <col min="2826" max="2826" width="14.7109375" style="556" customWidth="1"/>
    <col min="2827" max="2827" width="9.140625" style="556"/>
    <col min="2828" max="2828" width="12.7109375" style="556" customWidth="1"/>
    <col min="2829" max="2830" width="9.140625" style="556"/>
    <col min="2831" max="2833" width="8.7109375" style="556" customWidth="1"/>
    <col min="2834" max="2834" width="9.140625" style="556"/>
    <col min="2835" max="2835" width="10.7109375" style="556" customWidth="1"/>
    <col min="2836" max="2851" width="9.140625" style="556"/>
    <col min="2852" max="2852" width="8.7109375" style="556" customWidth="1"/>
    <col min="2853" max="2855" width="9.140625" style="556"/>
    <col min="2856" max="2856" width="15.7109375" style="556" customWidth="1"/>
    <col min="2857" max="2859" width="12.7109375" style="556" customWidth="1"/>
    <col min="2860" max="2861" width="9.140625" style="556"/>
    <col min="2862" max="2862" width="12.7109375" style="556" customWidth="1"/>
    <col min="2863" max="2864" width="9.140625" style="556"/>
    <col min="2865" max="2865" width="2.7109375" style="556" customWidth="1"/>
    <col min="2866" max="2866" width="9.140625" style="556"/>
    <col min="2867" max="2867" width="10.7109375" style="556" customWidth="1"/>
    <col min="2868" max="2868" width="2.7109375" style="556" customWidth="1"/>
    <col min="2869" max="3073" width="9.140625" style="556"/>
    <col min="3074" max="3074" width="14.7109375" style="556" customWidth="1"/>
    <col min="3075" max="3075" width="10.7109375" style="556" customWidth="1"/>
    <col min="3076" max="3076" width="11.7109375" style="556" customWidth="1"/>
    <col min="3077" max="3077" width="9.140625" style="556"/>
    <col min="3078" max="3078" width="10.7109375" style="556" customWidth="1"/>
    <col min="3079" max="3081" width="9.140625" style="556"/>
    <col min="3082" max="3082" width="14.7109375" style="556" customWidth="1"/>
    <col min="3083" max="3083" width="9.140625" style="556"/>
    <col min="3084" max="3084" width="12.7109375" style="556" customWidth="1"/>
    <col min="3085" max="3086" width="9.140625" style="556"/>
    <col min="3087" max="3089" width="8.7109375" style="556" customWidth="1"/>
    <col min="3090" max="3090" width="9.140625" style="556"/>
    <col min="3091" max="3091" width="10.7109375" style="556" customWidth="1"/>
    <col min="3092" max="3107" width="9.140625" style="556"/>
    <col min="3108" max="3108" width="8.7109375" style="556" customWidth="1"/>
    <col min="3109" max="3111" width="9.140625" style="556"/>
    <col min="3112" max="3112" width="15.7109375" style="556" customWidth="1"/>
    <col min="3113" max="3115" width="12.7109375" style="556" customWidth="1"/>
    <col min="3116" max="3117" width="9.140625" style="556"/>
    <col min="3118" max="3118" width="12.7109375" style="556" customWidth="1"/>
    <col min="3119" max="3120" width="9.140625" style="556"/>
    <col min="3121" max="3121" width="2.7109375" style="556" customWidth="1"/>
    <col min="3122" max="3122" width="9.140625" style="556"/>
    <col min="3123" max="3123" width="10.7109375" style="556" customWidth="1"/>
    <col min="3124" max="3124" width="2.7109375" style="556" customWidth="1"/>
    <col min="3125" max="3329" width="9.140625" style="556"/>
    <col min="3330" max="3330" width="14.7109375" style="556" customWidth="1"/>
    <col min="3331" max="3331" width="10.7109375" style="556" customWidth="1"/>
    <col min="3332" max="3332" width="11.7109375" style="556" customWidth="1"/>
    <col min="3333" max="3333" width="9.140625" style="556"/>
    <col min="3334" max="3334" width="10.7109375" style="556" customWidth="1"/>
    <col min="3335" max="3337" width="9.140625" style="556"/>
    <col min="3338" max="3338" width="14.7109375" style="556" customWidth="1"/>
    <col min="3339" max="3339" width="9.140625" style="556"/>
    <col min="3340" max="3340" width="12.7109375" style="556" customWidth="1"/>
    <col min="3341" max="3342" width="9.140625" style="556"/>
    <col min="3343" max="3345" width="8.7109375" style="556" customWidth="1"/>
    <col min="3346" max="3346" width="9.140625" style="556"/>
    <col min="3347" max="3347" width="10.7109375" style="556" customWidth="1"/>
    <col min="3348" max="3363" width="9.140625" style="556"/>
    <col min="3364" max="3364" width="8.7109375" style="556" customWidth="1"/>
    <col min="3365" max="3367" width="9.140625" style="556"/>
    <col min="3368" max="3368" width="15.7109375" style="556" customWidth="1"/>
    <col min="3369" max="3371" width="12.7109375" style="556" customWidth="1"/>
    <col min="3372" max="3373" width="9.140625" style="556"/>
    <col min="3374" max="3374" width="12.7109375" style="556" customWidth="1"/>
    <col min="3375" max="3376" width="9.140625" style="556"/>
    <col min="3377" max="3377" width="2.7109375" style="556" customWidth="1"/>
    <col min="3378" max="3378" width="9.140625" style="556"/>
    <col min="3379" max="3379" width="10.7109375" style="556" customWidth="1"/>
    <col min="3380" max="3380" width="2.7109375" style="556" customWidth="1"/>
    <col min="3381" max="3585" width="9.140625" style="556"/>
    <col min="3586" max="3586" width="14.7109375" style="556" customWidth="1"/>
    <col min="3587" max="3587" width="10.7109375" style="556" customWidth="1"/>
    <col min="3588" max="3588" width="11.7109375" style="556" customWidth="1"/>
    <col min="3589" max="3589" width="9.140625" style="556"/>
    <col min="3590" max="3590" width="10.7109375" style="556" customWidth="1"/>
    <col min="3591" max="3593" width="9.140625" style="556"/>
    <col min="3594" max="3594" width="14.7109375" style="556" customWidth="1"/>
    <col min="3595" max="3595" width="9.140625" style="556"/>
    <col min="3596" max="3596" width="12.7109375" style="556" customWidth="1"/>
    <col min="3597" max="3598" width="9.140625" style="556"/>
    <col min="3599" max="3601" width="8.7109375" style="556" customWidth="1"/>
    <col min="3602" max="3602" width="9.140625" style="556"/>
    <col min="3603" max="3603" width="10.7109375" style="556" customWidth="1"/>
    <col min="3604" max="3619" width="9.140625" style="556"/>
    <col min="3620" max="3620" width="8.7109375" style="556" customWidth="1"/>
    <col min="3621" max="3623" width="9.140625" style="556"/>
    <col min="3624" max="3624" width="15.7109375" style="556" customWidth="1"/>
    <col min="3625" max="3627" width="12.7109375" style="556" customWidth="1"/>
    <col min="3628" max="3629" width="9.140625" style="556"/>
    <col min="3630" max="3630" width="12.7109375" style="556" customWidth="1"/>
    <col min="3631" max="3632" width="9.140625" style="556"/>
    <col min="3633" max="3633" width="2.7109375" style="556" customWidth="1"/>
    <col min="3634" max="3634" width="9.140625" style="556"/>
    <col min="3635" max="3635" width="10.7109375" style="556" customWidth="1"/>
    <col min="3636" max="3636" width="2.7109375" style="556" customWidth="1"/>
    <col min="3637" max="3841" width="9.140625" style="556"/>
    <col min="3842" max="3842" width="14.7109375" style="556" customWidth="1"/>
    <col min="3843" max="3843" width="10.7109375" style="556" customWidth="1"/>
    <col min="3844" max="3844" width="11.7109375" style="556" customWidth="1"/>
    <col min="3845" max="3845" width="9.140625" style="556"/>
    <col min="3846" max="3846" width="10.7109375" style="556" customWidth="1"/>
    <col min="3847" max="3849" width="9.140625" style="556"/>
    <col min="3850" max="3850" width="14.7109375" style="556" customWidth="1"/>
    <col min="3851" max="3851" width="9.140625" style="556"/>
    <col min="3852" max="3852" width="12.7109375" style="556" customWidth="1"/>
    <col min="3853" max="3854" width="9.140625" style="556"/>
    <col min="3855" max="3857" width="8.7109375" style="556" customWidth="1"/>
    <col min="3858" max="3858" width="9.140625" style="556"/>
    <col min="3859" max="3859" width="10.7109375" style="556" customWidth="1"/>
    <col min="3860" max="3875" width="9.140625" style="556"/>
    <col min="3876" max="3876" width="8.7109375" style="556" customWidth="1"/>
    <col min="3877" max="3879" width="9.140625" style="556"/>
    <col min="3880" max="3880" width="15.7109375" style="556" customWidth="1"/>
    <col min="3881" max="3883" width="12.7109375" style="556" customWidth="1"/>
    <col min="3884" max="3885" width="9.140625" style="556"/>
    <col min="3886" max="3886" width="12.7109375" style="556" customWidth="1"/>
    <col min="3887" max="3888" width="9.140625" style="556"/>
    <col min="3889" max="3889" width="2.7109375" style="556" customWidth="1"/>
    <col min="3890" max="3890" width="9.140625" style="556"/>
    <col min="3891" max="3891" width="10.7109375" style="556" customWidth="1"/>
    <col min="3892" max="3892" width="2.7109375" style="556" customWidth="1"/>
    <col min="3893" max="4097" width="9.140625" style="556"/>
    <col min="4098" max="4098" width="14.7109375" style="556" customWidth="1"/>
    <col min="4099" max="4099" width="10.7109375" style="556" customWidth="1"/>
    <col min="4100" max="4100" width="11.7109375" style="556" customWidth="1"/>
    <col min="4101" max="4101" width="9.140625" style="556"/>
    <col min="4102" max="4102" width="10.7109375" style="556" customWidth="1"/>
    <col min="4103" max="4105" width="9.140625" style="556"/>
    <col min="4106" max="4106" width="14.7109375" style="556" customWidth="1"/>
    <col min="4107" max="4107" width="9.140625" style="556"/>
    <col min="4108" max="4108" width="12.7109375" style="556" customWidth="1"/>
    <col min="4109" max="4110" width="9.140625" style="556"/>
    <col min="4111" max="4113" width="8.7109375" style="556" customWidth="1"/>
    <col min="4114" max="4114" width="9.140625" style="556"/>
    <col min="4115" max="4115" width="10.7109375" style="556" customWidth="1"/>
    <col min="4116" max="4131" width="9.140625" style="556"/>
    <col min="4132" max="4132" width="8.7109375" style="556" customWidth="1"/>
    <col min="4133" max="4135" width="9.140625" style="556"/>
    <col min="4136" max="4136" width="15.7109375" style="556" customWidth="1"/>
    <col min="4137" max="4139" width="12.7109375" style="556" customWidth="1"/>
    <col min="4140" max="4141" width="9.140625" style="556"/>
    <col min="4142" max="4142" width="12.7109375" style="556" customWidth="1"/>
    <col min="4143" max="4144" width="9.140625" style="556"/>
    <col min="4145" max="4145" width="2.7109375" style="556" customWidth="1"/>
    <col min="4146" max="4146" width="9.140625" style="556"/>
    <col min="4147" max="4147" width="10.7109375" style="556" customWidth="1"/>
    <col min="4148" max="4148" width="2.7109375" style="556" customWidth="1"/>
    <col min="4149" max="4353" width="9.140625" style="556"/>
    <col min="4354" max="4354" width="14.7109375" style="556" customWidth="1"/>
    <col min="4355" max="4355" width="10.7109375" style="556" customWidth="1"/>
    <col min="4356" max="4356" width="11.7109375" style="556" customWidth="1"/>
    <col min="4357" max="4357" width="9.140625" style="556"/>
    <col min="4358" max="4358" width="10.7109375" style="556" customWidth="1"/>
    <col min="4359" max="4361" width="9.140625" style="556"/>
    <col min="4362" max="4362" width="14.7109375" style="556" customWidth="1"/>
    <col min="4363" max="4363" width="9.140625" style="556"/>
    <col min="4364" max="4364" width="12.7109375" style="556" customWidth="1"/>
    <col min="4365" max="4366" width="9.140625" style="556"/>
    <col min="4367" max="4369" width="8.7109375" style="556" customWidth="1"/>
    <col min="4370" max="4370" width="9.140625" style="556"/>
    <col min="4371" max="4371" width="10.7109375" style="556" customWidth="1"/>
    <col min="4372" max="4387" width="9.140625" style="556"/>
    <col min="4388" max="4388" width="8.7109375" style="556" customWidth="1"/>
    <col min="4389" max="4391" width="9.140625" style="556"/>
    <col min="4392" max="4392" width="15.7109375" style="556" customWidth="1"/>
    <col min="4393" max="4395" width="12.7109375" style="556" customWidth="1"/>
    <col min="4396" max="4397" width="9.140625" style="556"/>
    <col min="4398" max="4398" width="12.7109375" style="556" customWidth="1"/>
    <col min="4399" max="4400" width="9.140625" style="556"/>
    <col min="4401" max="4401" width="2.7109375" style="556" customWidth="1"/>
    <col min="4402" max="4402" width="9.140625" style="556"/>
    <col min="4403" max="4403" width="10.7109375" style="556" customWidth="1"/>
    <col min="4404" max="4404" width="2.7109375" style="556" customWidth="1"/>
    <col min="4405" max="4609" width="9.140625" style="556"/>
    <col min="4610" max="4610" width="14.7109375" style="556" customWidth="1"/>
    <col min="4611" max="4611" width="10.7109375" style="556" customWidth="1"/>
    <col min="4612" max="4612" width="11.7109375" style="556" customWidth="1"/>
    <col min="4613" max="4613" width="9.140625" style="556"/>
    <col min="4614" max="4614" width="10.7109375" style="556" customWidth="1"/>
    <col min="4615" max="4617" width="9.140625" style="556"/>
    <col min="4618" max="4618" width="14.7109375" style="556" customWidth="1"/>
    <col min="4619" max="4619" width="9.140625" style="556"/>
    <col min="4620" max="4620" width="12.7109375" style="556" customWidth="1"/>
    <col min="4621" max="4622" width="9.140625" style="556"/>
    <col min="4623" max="4625" width="8.7109375" style="556" customWidth="1"/>
    <col min="4626" max="4626" width="9.140625" style="556"/>
    <col min="4627" max="4627" width="10.7109375" style="556" customWidth="1"/>
    <col min="4628" max="4643" width="9.140625" style="556"/>
    <col min="4644" max="4644" width="8.7109375" style="556" customWidth="1"/>
    <col min="4645" max="4647" width="9.140625" style="556"/>
    <col min="4648" max="4648" width="15.7109375" style="556" customWidth="1"/>
    <col min="4649" max="4651" width="12.7109375" style="556" customWidth="1"/>
    <col min="4652" max="4653" width="9.140625" style="556"/>
    <col min="4654" max="4654" width="12.7109375" style="556" customWidth="1"/>
    <col min="4655" max="4656" width="9.140625" style="556"/>
    <col min="4657" max="4657" width="2.7109375" style="556" customWidth="1"/>
    <col min="4658" max="4658" width="9.140625" style="556"/>
    <col min="4659" max="4659" width="10.7109375" style="556" customWidth="1"/>
    <col min="4660" max="4660" width="2.7109375" style="556" customWidth="1"/>
    <col min="4661" max="4865" width="9.140625" style="556"/>
    <col min="4866" max="4866" width="14.7109375" style="556" customWidth="1"/>
    <col min="4867" max="4867" width="10.7109375" style="556" customWidth="1"/>
    <col min="4868" max="4868" width="11.7109375" style="556" customWidth="1"/>
    <col min="4869" max="4869" width="9.140625" style="556"/>
    <col min="4870" max="4870" width="10.7109375" style="556" customWidth="1"/>
    <col min="4871" max="4873" width="9.140625" style="556"/>
    <col min="4874" max="4874" width="14.7109375" style="556" customWidth="1"/>
    <col min="4875" max="4875" width="9.140625" style="556"/>
    <col min="4876" max="4876" width="12.7109375" style="556" customWidth="1"/>
    <col min="4877" max="4878" width="9.140625" style="556"/>
    <col min="4879" max="4881" width="8.7109375" style="556" customWidth="1"/>
    <col min="4882" max="4882" width="9.140625" style="556"/>
    <col min="4883" max="4883" width="10.7109375" style="556" customWidth="1"/>
    <col min="4884" max="4899" width="9.140625" style="556"/>
    <col min="4900" max="4900" width="8.7109375" style="556" customWidth="1"/>
    <col min="4901" max="4903" width="9.140625" style="556"/>
    <col min="4904" max="4904" width="15.7109375" style="556" customWidth="1"/>
    <col min="4905" max="4907" width="12.7109375" style="556" customWidth="1"/>
    <col min="4908" max="4909" width="9.140625" style="556"/>
    <col min="4910" max="4910" width="12.7109375" style="556" customWidth="1"/>
    <col min="4911" max="4912" width="9.140625" style="556"/>
    <col min="4913" max="4913" width="2.7109375" style="556" customWidth="1"/>
    <col min="4914" max="4914" width="9.140625" style="556"/>
    <col min="4915" max="4915" width="10.7109375" style="556" customWidth="1"/>
    <col min="4916" max="4916" width="2.7109375" style="556" customWidth="1"/>
    <col min="4917" max="5121" width="9.140625" style="556"/>
    <col min="5122" max="5122" width="14.7109375" style="556" customWidth="1"/>
    <col min="5123" max="5123" width="10.7109375" style="556" customWidth="1"/>
    <col min="5124" max="5124" width="11.7109375" style="556" customWidth="1"/>
    <col min="5125" max="5125" width="9.140625" style="556"/>
    <col min="5126" max="5126" width="10.7109375" style="556" customWidth="1"/>
    <col min="5127" max="5129" width="9.140625" style="556"/>
    <col min="5130" max="5130" width="14.7109375" style="556" customWidth="1"/>
    <col min="5131" max="5131" width="9.140625" style="556"/>
    <col min="5132" max="5132" width="12.7109375" style="556" customWidth="1"/>
    <col min="5133" max="5134" width="9.140625" style="556"/>
    <col min="5135" max="5137" width="8.7109375" style="556" customWidth="1"/>
    <col min="5138" max="5138" width="9.140625" style="556"/>
    <col min="5139" max="5139" width="10.7109375" style="556" customWidth="1"/>
    <col min="5140" max="5155" width="9.140625" style="556"/>
    <col min="5156" max="5156" width="8.7109375" style="556" customWidth="1"/>
    <col min="5157" max="5159" width="9.140625" style="556"/>
    <col min="5160" max="5160" width="15.7109375" style="556" customWidth="1"/>
    <col min="5161" max="5163" width="12.7109375" style="556" customWidth="1"/>
    <col min="5164" max="5165" width="9.140625" style="556"/>
    <col min="5166" max="5166" width="12.7109375" style="556" customWidth="1"/>
    <col min="5167" max="5168" width="9.140625" style="556"/>
    <col min="5169" max="5169" width="2.7109375" style="556" customWidth="1"/>
    <col min="5170" max="5170" width="9.140625" style="556"/>
    <col min="5171" max="5171" width="10.7109375" style="556" customWidth="1"/>
    <col min="5172" max="5172" width="2.7109375" style="556" customWidth="1"/>
    <col min="5173" max="5377" width="9.140625" style="556"/>
    <col min="5378" max="5378" width="14.7109375" style="556" customWidth="1"/>
    <col min="5379" max="5379" width="10.7109375" style="556" customWidth="1"/>
    <col min="5380" max="5380" width="11.7109375" style="556" customWidth="1"/>
    <col min="5381" max="5381" width="9.140625" style="556"/>
    <col min="5382" max="5382" width="10.7109375" style="556" customWidth="1"/>
    <col min="5383" max="5385" width="9.140625" style="556"/>
    <col min="5386" max="5386" width="14.7109375" style="556" customWidth="1"/>
    <col min="5387" max="5387" width="9.140625" style="556"/>
    <col min="5388" max="5388" width="12.7109375" style="556" customWidth="1"/>
    <col min="5389" max="5390" width="9.140625" style="556"/>
    <col min="5391" max="5393" width="8.7109375" style="556" customWidth="1"/>
    <col min="5394" max="5394" width="9.140625" style="556"/>
    <col min="5395" max="5395" width="10.7109375" style="556" customWidth="1"/>
    <col min="5396" max="5411" width="9.140625" style="556"/>
    <col min="5412" max="5412" width="8.7109375" style="556" customWidth="1"/>
    <col min="5413" max="5415" width="9.140625" style="556"/>
    <col min="5416" max="5416" width="15.7109375" style="556" customWidth="1"/>
    <col min="5417" max="5419" width="12.7109375" style="556" customWidth="1"/>
    <col min="5420" max="5421" width="9.140625" style="556"/>
    <col min="5422" max="5422" width="12.7109375" style="556" customWidth="1"/>
    <col min="5423" max="5424" width="9.140625" style="556"/>
    <col min="5425" max="5425" width="2.7109375" style="556" customWidth="1"/>
    <col min="5426" max="5426" width="9.140625" style="556"/>
    <col min="5427" max="5427" width="10.7109375" style="556" customWidth="1"/>
    <col min="5428" max="5428" width="2.7109375" style="556" customWidth="1"/>
    <col min="5429" max="5633" width="9.140625" style="556"/>
    <col min="5634" max="5634" width="14.7109375" style="556" customWidth="1"/>
    <col min="5635" max="5635" width="10.7109375" style="556" customWidth="1"/>
    <col min="5636" max="5636" width="11.7109375" style="556" customWidth="1"/>
    <col min="5637" max="5637" width="9.140625" style="556"/>
    <col min="5638" max="5638" width="10.7109375" style="556" customWidth="1"/>
    <col min="5639" max="5641" width="9.140625" style="556"/>
    <col min="5642" max="5642" width="14.7109375" style="556" customWidth="1"/>
    <col min="5643" max="5643" width="9.140625" style="556"/>
    <col min="5644" max="5644" width="12.7109375" style="556" customWidth="1"/>
    <col min="5645" max="5646" width="9.140625" style="556"/>
    <col min="5647" max="5649" width="8.7109375" style="556" customWidth="1"/>
    <col min="5650" max="5650" width="9.140625" style="556"/>
    <col min="5651" max="5651" width="10.7109375" style="556" customWidth="1"/>
    <col min="5652" max="5667" width="9.140625" style="556"/>
    <col min="5668" max="5668" width="8.7109375" style="556" customWidth="1"/>
    <col min="5669" max="5671" width="9.140625" style="556"/>
    <col min="5672" max="5672" width="15.7109375" style="556" customWidth="1"/>
    <col min="5673" max="5675" width="12.7109375" style="556" customWidth="1"/>
    <col min="5676" max="5677" width="9.140625" style="556"/>
    <col min="5678" max="5678" width="12.7109375" style="556" customWidth="1"/>
    <col min="5679" max="5680" width="9.140625" style="556"/>
    <col min="5681" max="5681" width="2.7109375" style="556" customWidth="1"/>
    <col min="5682" max="5682" width="9.140625" style="556"/>
    <col min="5683" max="5683" width="10.7109375" style="556" customWidth="1"/>
    <col min="5684" max="5684" width="2.7109375" style="556" customWidth="1"/>
    <col min="5685" max="5889" width="9.140625" style="556"/>
    <col min="5890" max="5890" width="14.7109375" style="556" customWidth="1"/>
    <col min="5891" max="5891" width="10.7109375" style="556" customWidth="1"/>
    <col min="5892" max="5892" width="11.7109375" style="556" customWidth="1"/>
    <col min="5893" max="5893" width="9.140625" style="556"/>
    <col min="5894" max="5894" width="10.7109375" style="556" customWidth="1"/>
    <col min="5895" max="5897" width="9.140625" style="556"/>
    <col min="5898" max="5898" width="14.7109375" style="556" customWidth="1"/>
    <col min="5899" max="5899" width="9.140625" style="556"/>
    <col min="5900" max="5900" width="12.7109375" style="556" customWidth="1"/>
    <col min="5901" max="5902" width="9.140625" style="556"/>
    <col min="5903" max="5905" width="8.7109375" style="556" customWidth="1"/>
    <col min="5906" max="5906" width="9.140625" style="556"/>
    <col min="5907" max="5907" width="10.7109375" style="556" customWidth="1"/>
    <col min="5908" max="5923" width="9.140625" style="556"/>
    <col min="5924" max="5924" width="8.7109375" style="556" customWidth="1"/>
    <col min="5925" max="5927" width="9.140625" style="556"/>
    <col min="5928" max="5928" width="15.7109375" style="556" customWidth="1"/>
    <col min="5929" max="5931" width="12.7109375" style="556" customWidth="1"/>
    <col min="5932" max="5933" width="9.140625" style="556"/>
    <col min="5934" max="5934" width="12.7109375" style="556" customWidth="1"/>
    <col min="5935" max="5936" width="9.140625" style="556"/>
    <col min="5937" max="5937" width="2.7109375" style="556" customWidth="1"/>
    <col min="5938" max="5938" width="9.140625" style="556"/>
    <col min="5939" max="5939" width="10.7109375" style="556" customWidth="1"/>
    <col min="5940" max="5940" width="2.7109375" style="556" customWidth="1"/>
    <col min="5941" max="6145" width="9.140625" style="556"/>
    <col min="6146" max="6146" width="14.7109375" style="556" customWidth="1"/>
    <col min="6147" max="6147" width="10.7109375" style="556" customWidth="1"/>
    <col min="6148" max="6148" width="11.7109375" style="556" customWidth="1"/>
    <col min="6149" max="6149" width="9.140625" style="556"/>
    <col min="6150" max="6150" width="10.7109375" style="556" customWidth="1"/>
    <col min="6151" max="6153" width="9.140625" style="556"/>
    <col min="6154" max="6154" width="14.7109375" style="556" customWidth="1"/>
    <col min="6155" max="6155" width="9.140625" style="556"/>
    <col min="6156" max="6156" width="12.7109375" style="556" customWidth="1"/>
    <col min="6157" max="6158" width="9.140625" style="556"/>
    <col min="6159" max="6161" width="8.7109375" style="556" customWidth="1"/>
    <col min="6162" max="6162" width="9.140625" style="556"/>
    <col min="6163" max="6163" width="10.7109375" style="556" customWidth="1"/>
    <col min="6164" max="6179" width="9.140625" style="556"/>
    <col min="6180" max="6180" width="8.7109375" style="556" customWidth="1"/>
    <col min="6181" max="6183" width="9.140625" style="556"/>
    <col min="6184" max="6184" width="15.7109375" style="556" customWidth="1"/>
    <col min="6185" max="6187" width="12.7109375" style="556" customWidth="1"/>
    <col min="6188" max="6189" width="9.140625" style="556"/>
    <col min="6190" max="6190" width="12.7109375" style="556" customWidth="1"/>
    <col min="6191" max="6192" width="9.140625" style="556"/>
    <col min="6193" max="6193" width="2.7109375" style="556" customWidth="1"/>
    <col min="6194" max="6194" width="9.140625" style="556"/>
    <col min="6195" max="6195" width="10.7109375" style="556" customWidth="1"/>
    <col min="6196" max="6196" width="2.7109375" style="556" customWidth="1"/>
    <col min="6197" max="6401" width="9.140625" style="556"/>
    <col min="6402" max="6402" width="14.7109375" style="556" customWidth="1"/>
    <col min="6403" max="6403" width="10.7109375" style="556" customWidth="1"/>
    <col min="6404" max="6404" width="11.7109375" style="556" customWidth="1"/>
    <col min="6405" max="6405" width="9.140625" style="556"/>
    <col min="6406" max="6406" width="10.7109375" style="556" customWidth="1"/>
    <col min="6407" max="6409" width="9.140625" style="556"/>
    <col min="6410" max="6410" width="14.7109375" style="556" customWidth="1"/>
    <col min="6411" max="6411" width="9.140625" style="556"/>
    <col min="6412" max="6412" width="12.7109375" style="556" customWidth="1"/>
    <col min="6413" max="6414" width="9.140625" style="556"/>
    <col min="6415" max="6417" width="8.7109375" style="556" customWidth="1"/>
    <col min="6418" max="6418" width="9.140625" style="556"/>
    <col min="6419" max="6419" width="10.7109375" style="556" customWidth="1"/>
    <col min="6420" max="6435" width="9.140625" style="556"/>
    <col min="6436" max="6436" width="8.7109375" style="556" customWidth="1"/>
    <col min="6437" max="6439" width="9.140625" style="556"/>
    <col min="6440" max="6440" width="15.7109375" style="556" customWidth="1"/>
    <col min="6441" max="6443" width="12.7109375" style="556" customWidth="1"/>
    <col min="6444" max="6445" width="9.140625" style="556"/>
    <col min="6446" max="6446" width="12.7109375" style="556" customWidth="1"/>
    <col min="6447" max="6448" width="9.140625" style="556"/>
    <col min="6449" max="6449" width="2.7109375" style="556" customWidth="1"/>
    <col min="6450" max="6450" width="9.140625" style="556"/>
    <col min="6451" max="6451" width="10.7109375" style="556" customWidth="1"/>
    <col min="6452" max="6452" width="2.7109375" style="556" customWidth="1"/>
    <col min="6453" max="6657" width="9.140625" style="556"/>
    <col min="6658" max="6658" width="14.7109375" style="556" customWidth="1"/>
    <col min="6659" max="6659" width="10.7109375" style="556" customWidth="1"/>
    <col min="6660" max="6660" width="11.7109375" style="556" customWidth="1"/>
    <col min="6661" max="6661" width="9.140625" style="556"/>
    <col min="6662" max="6662" width="10.7109375" style="556" customWidth="1"/>
    <col min="6663" max="6665" width="9.140625" style="556"/>
    <col min="6666" max="6666" width="14.7109375" style="556" customWidth="1"/>
    <col min="6667" max="6667" width="9.140625" style="556"/>
    <col min="6668" max="6668" width="12.7109375" style="556" customWidth="1"/>
    <col min="6669" max="6670" width="9.140625" style="556"/>
    <col min="6671" max="6673" width="8.7109375" style="556" customWidth="1"/>
    <col min="6674" max="6674" width="9.140625" style="556"/>
    <col min="6675" max="6675" width="10.7109375" style="556" customWidth="1"/>
    <col min="6676" max="6691" width="9.140625" style="556"/>
    <col min="6692" max="6692" width="8.7109375" style="556" customWidth="1"/>
    <col min="6693" max="6695" width="9.140625" style="556"/>
    <col min="6696" max="6696" width="15.7109375" style="556" customWidth="1"/>
    <col min="6697" max="6699" width="12.7109375" style="556" customWidth="1"/>
    <col min="6700" max="6701" width="9.140625" style="556"/>
    <col min="6702" max="6702" width="12.7109375" style="556" customWidth="1"/>
    <col min="6703" max="6704" width="9.140625" style="556"/>
    <col min="6705" max="6705" width="2.7109375" style="556" customWidth="1"/>
    <col min="6706" max="6706" width="9.140625" style="556"/>
    <col min="6707" max="6707" width="10.7109375" style="556" customWidth="1"/>
    <col min="6708" max="6708" width="2.7109375" style="556" customWidth="1"/>
    <col min="6709" max="6913" width="9.140625" style="556"/>
    <col min="6914" max="6914" width="14.7109375" style="556" customWidth="1"/>
    <col min="6915" max="6915" width="10.7109375" style="556" customWidth="1"/>
    <col min="6916" max="6916" width="11.7109375" style="556" customWidth="1"/>
    <col min="6917" max="6917" width="9.140625" style="556"/>
    <col min="6918" max="6918" width="10.7109375" style="556" customWidth="1"/>
    <col min="6919" max="6921" width="9.140625" style="556"/>
    <col min="6922" max="6922" width="14.7109375" style="556" customWidth="1"/>
    <col min="6923" max="6923" width="9.140625" style="556"/>
    <col min="6924" max="6924" width="12.7109375" style="556" customWidth="1"/>
    <col min="6925" max="6926" width="9.140625" style="556"/>
    <col min="6927" max="6929" width="8.7109375" style="556" customWidth="1"/>
    <col min="6930" max="6930" width="9.140625" style="556"/>
    <col min="6931" max="6931" width="10.7109375" style="556" customWidth="1"/>
    <col min="6932" max="6947" width="9.140625" style="556"/>
    <col min="6948" max="6948" width="8.7109375" style="556" customWidth="1"/>
    <col min="6949" max="6951" width="9.140625" style="556"/>
    <col min="6952" max="6952" width="15.7109375" style="556" customWidth="1"/>
    <col min="6953" max="6955" width="12.7109375" style="556" customWidth="1"/>
    <col min="6956" max="6957" width="9.140625" style="556"/>
    <col min="6958" max="6958" width="12.7109375" style="556" customWidth="1"/>
    <col min="6959" max="6960" width="9.140625" style="556"/>
    <col min="6961" max="6961" width="2.7109375" style="556" customWidth="1"/>
    <col min="6962" max="6962" width="9.140625" style="556"/>
    <col min="6963" max="6963" width="10.7109375" style="556" customWidth="1"/>
    <col min="6964" max="6964" width="2.7109375" style="556" customWidth="1"/>
    <col min="6965" max="7169" width="9.140625" style="556"/>
    <col min="7170" max="7170" width="14.7109375" style="556" customWidth="1"/>
    <col min="7171" max="7171" width="10.7109375" style="556" customWidth="1"/>
    <col min="7172" max="7172" width="11.7109375" style="556" customWidth="1"/>
    <col min="7173" max="7173" width="9.140625" style="556"/>
    <col min="7174" max="7174" width="10.7109375" style="556" customWidth="1"/>
    <col min="7175" max="7177" width="9.140625" style="556"/>
    <col min="7178" max="7178" width="14.7109375" style="556" customWidth="1"/>
    <col min="7179" max="7179" width="9.140625" style="556"/>
    <col min="7180" max="7180" width="12.7109375" style="556" customWidth="1"/>
    <col min="7181" max="7182" width="9.140625" style="556"/>
    <col min="7183" max="7185" width="8.7109375" style="556" customWidth="1"/>
    <col min="7186" max="7186" width="9.140625" style="556"/>
    <col min="7187" max="7187" width="10.7109375" style="556" customWidth="1"/>
    <col min="7188" max="7203" width="9.140625" style="556"/>
    <col min="7204" max="7204" width="8.7109375" style="556" customWidth="1"/>
    <col min="7205" max="7207" width="9.140625" style="556"/>
    <col min="7208" max="7208" width="15.7109375" style="556" customWidth="1"/>
    <col min="7209" max="7211" width="12.7109375" style="556" customWidth="1"/>
    <col min="7212" max="7213" width="9.140625" style="556"/>
    <col min="7214" max="7214" width="12.7109375" style="556" customWidth="1"/>
    <col min="7215" max="7216" width="9.140625" style="556"/>
    <col min="7217" max="7217" width="2.7109375" style="556" customWidth="1"/>
    <col min="7218" max="7218" width="9.140625" style="556"/>
    <col min="7219" max="7219" width="10.7109375" style="556" customWidth="1"/>
    <col min="7220" max="7220" width="2.7109375" style="556" customWidth="1"/>
    <col min="7221" max="7425" width="9.140625" style="556"/>
    <col min="7426" max="7426" width="14.7109375" style="556" customWidth="1"/>
    <col min="7427" max="7427" width="10.7109375" style="556" customWidth="1"/>
    <col min="7428" max="7428" width="11.7109375" style="556" customWidth="1"/>
    <col min="7429" max="7429" width="9.140625" style="556"/>
    <col min="7430" max="7430" width="10.7109375" style="556" customWidth="1"/>
    <col min="7431" max="7433" width="9.140625" style="556"/>
    <col min="7434" max="7434" width="14.7109375" style="556" customWidth="1"/>
    <col min="7435" max="7435" width="9.140625" style="556"/>
    <col min="7436" max="7436" width="12.7109375" style="556" customWidth="1"/>
    <col min="7437" max="7438" width="9.140625" style="556"/>
    <col min="7439" max="7441" width="8.7109375" style="556" customWidth="1"/>
    <col min="7442" max="7442" width="9.140625" style="556"/>
    <col min="7443" max="7443" width="10.7109375" style="556" customWidth="1"/>
    <col min="7444" max="7459" width="9.140625" style="556"/>
    <col min="7460" max="7460" width="8.7109375" style="556" customWidth="1"/>
    <col min="7461" max="7463" width="9.140625" style="556"/>
    <col min="7464" max="7464" width="15.7109375" style="556" customWidth="1"/>
    <col min="7465" max="7467" width="12.7109375" style="556" customWidth="1"/>
    <col min="7468" max="7469" width="9.140625" style="556"/>
    <col min="7470" max="7470" width="12.7109375" style="556" customWidth="1"/>
    <col min="7471" max="7472" width="9.140625" style="556"/>
    <col min="7473" max="7473" width="2.7109375" style="556" customWidth="1"/>
    <col min="7474" max="7474" width="9.140625" style="556"/>
    <col min="7475" max="7475" width="10.7109375" style="556" customWidth="1"/>
    <col min="7476" max="7476" width="2.7109375" style="556" customWidth="1"/>
    <col min="7477" max="7681" width="9.140625" style="556"/>
    <col min="7682" max="7682" width="14.7109375" style="556" customWidth="1"/>
    <col min="7683" max="7683" width="10.7109375" style="556" customWidth="1"/>
    <col min="7684" max="7684" width="11.7109375" style="556" customWidth="1"/>
    <col min="7685" max="7685" width="9.140625" style="556"/>
    <col min="7686" max="7686" width="10.7109375" style="556" customWidth="1"/>
    <col min="7687" max="7689" width="9.140625" style="556"/>
    <col min="7690" max="7690" width="14.7109375" style="556" customWidth="1"/>
    <col min="7691" max="7691" width="9.140625" style="556"/>
    <col min="7692" max="7692" width="12.7109375" style="556" customWidth="1"/>
    <col min="7693" max="7694" width="9.140625" style="556"/>
    <col min="7695" max="7697" width="8.7109375" style="556" customWidth="1"/>
    <col min="7698" max="7698" width="9.140625" style="556"/>
    <col min="7699" max="7699" width="10.7109375" style="556" customWidth="1"/>
    <col min="7700" max="7715" width="9.140625" style="556"/>
    <col min="7716" max="7716" width="8.7109375" style="556" customWidth="1"/>
    <col min="7717" max="7719" width="9.140625" style="556"/>
    <col min="7720" max="7720" width="15.7109375" style="556" customWidth="1"/>
    <col min="7721" max="7723" width="12.7109375" style="556" customWidth="1"/>
    <col min="7724" max="7725" width="9.140625" style="556"/>
    <col min="7726" max="7726" width="12.7109375" style="556" customWidth="1"/>
    <col min="7727" max="7728" width="9.140625" style="556"/>
    <col min="7729" max="7729" width="2.7109375" style="556" customWidth="1"/>
    <col min="7730" max="7730" width="9.140625" style="556"/>
    <col min="7731" max="7731" width="10.7109375" style="556" customWidth="1"/>
    <col min="7732" max="7732" width="2.7109375" style="556" customWidth="1"/>
    <col min="7733" max="7937" width="9.140625" style="556"/>
    <col min="7938" max="7938" width="14.7109375" style="556" customWidth="1"/>
    <col min="7939" max="7939" width="10.7109375" style="556" customWidth="1"/>
    <col min="7940" max="7940" width="11.7109375" style="556" customWidth="1"/>
    <col min="7941" max="7941" width="9.140625" style="556"/>
    <col min="7942" max="7942" width="10.7109375" style="556" customWidth="1"/>
    <col min="7943" max="7945" width="9.140625" style="556"/>
    <col min="7946" max="7946" width="14.7109375" style="556" customWidth="1"/>
    <col min="7947" max="7947" width="9.140625" style="556"/>
    <col min="7948" max="7948" width="12.7109375" style="556" customWidth="1"/>
    <col min="7949" max="7950" width="9.140625" style="556"/>
    <col min="7951" max="7953" width="8.7109375" style="556" customWidth="1"/>
    <col min="7954" max="7954" width="9.140625" style="556"/>
    <col min="7955" max="7955" width="10.7109375" style="556" customWidth="1"/>
    <col min="7956" max="7971" width="9.140625" style="556"/>
    <col min="7972" max="7972" width="8.7109375" style="556" customWidth="1"/>
    <col min="7973" max="7975" width="9.140625" style="556"/>
    <col min="7976" max="7976" width="15.7109375" style="556" customWidth="1"/>
    <col min="7977" max="7979" width="12.7109375" style="556" customWidth="1"/>
    <col min="7980" max="7981" width="9.140625" style="556"/>
    <col min="7982" max="7982" width="12.7109375" style="556" customWidth="1"/>
    <col min="7983" max="7984" width="9.140625" style="556"/>
    <col min="7985" max="7985" width="2.7109375" style="556" customWidth="1"/>
    <col min="7986" max="7986" width="9.140625" style="556"/>
    <col min="7987" max="7987" width="10.7109375" style="556" customWidth="1"/>
    <col min="7988" max="7988" width="2.7109375" style="556" customWidth="1"/>
    <col min="7989" max="8193" width="9.140625" style="556"/>
    <col min="8194" max="8194" width="14.7109375" style="556" customWidth="1"/>
    <col min="8195" max="8195" width="10.7109375" style="556" customWidth="1"/>
    <col min="8196" max="8196" width="11.7109375" style="556" customWidth="1"/>
    <col min="8197" max="8197" width="9.140625" style="556"/>
    <col min="8198" max="8198" width="10.7109375" style="556" customWidth="1"/>
    <col min="8199" max="8201" width="9.140625" style="556"/>
    <col min="8202" max="8202" width="14.7109375" style="556" customWidth="1"/>
    <col min="8203" max="8203" width="9.140625" style="556"/>
    <col min="8204" max="8204" width="12.7109375" style="556" customWidth="1"/>
    <col min="8205" max="8206" width="9.140625" style="556"/>
    <col min="8207" max="8209" width="8.7109375" style="556" customWidth="1"/>
    <col min="8210" max="8210" width="9.140625" style="556"/>
    <col min="8211" max="8211" width="10.7109375" style="556" customWidth="1"/>
    <col min="8212" max="8227" width="9.140625" style="556"/>
    <col min="8228" max="8228" width="8.7109375" style="556" customWidth="1"/>
    <col min="8229" max="8231" width="9.140625" style="556"/>
    <col min="8232" max="8232" width="15.7109375" style="556" customWidth="1"/>
    <col min="8233" max="8235" width="12.7109375" style="556" customWidth="1"/>
    <col min="8236" max="8237" width="9.140625" style="556"/>
    <col min="8238" max="8238" width="12.7109375" style="556" customWidth="1"/>
    <col min="8239" max="8240" width="9.140625" style="556"/>
    <col min="8241" max="8241" width="2.7109375" style="556" customWidth="1"/>
    <col min="8242" max="8242" width="9.140625" style="556"/>
    <col min="8243" max="8243" width="10.7109375" style="556" customWidth="1"/>
    <col min="8244" max="8244" width="2.7109375" style="556" customWidth="1"/>
    <col min="8245" max="8449" width="9.140625" style="556"/>
    <col min="8450" max="8450" width="14.7109375" style="556" customWidth="1"/>
    <col min="8451" max="8451" width="10.7109375" style="556" customWidth="1"/>
    <col min="8452" max="8452" width="11.7109375" style="556" customWidth="1"/>
    <col min="8453" max="8453" width="9.140625" style="556"/>
    <col min="8454" max="8454" width="10.7109375" style="556" customWidth="1"/>
    <col min="8455" max="8457" width="9.140625" style="556"/>
    <col min="8458" max="8458" width="14.7109375" style="556" customWidth="1"/>
    <col min="8459" max="8459" width="9.140625" style="556"/>
    <col min="8460" max="8460" width="12.7109375" style="556" customWidth="1"/>
    <col min="8461" max="8462" width="9.140625" style="556"/>
    <col min="8463" max="8465" width="8.7109375" style="556" customWidth="1"/>
    <col min="8466" max="8466" width="9.140625" style="556"/>
    <col min="8467" max="8467" width="10.7109375" style="556" customWidth="1"/>
    <col min="8468" max="8483" width="9.140625" style="556"/>
    <col min="8484" max="8484" width="8.7109375" style="556" customWidth="1"/>
    <col min="8485" max="8487" width="9.140625" style="556"/>
    <col min="8488" max="8488" width="15.7109375" style="556" customWidth="1"/>
    <col min="8489" max="8491" width="12.7109375" style="556" customWidth="1"/>
    <col min="8492" max="8493" width="9.140625" style="556"/>
    <col min="8494" max="8494" width="12.7109375" style="556" customWidth="1"/>
    <col min="8495" max="8496" width="9.140625" style="556"/>
    <col min="8497" max="8497" width="2.7109375" style="556" customWidth="1"/>
    <col min="8498" max="8498" width="9.140625" style="556"/>
    <col min="8499" max="8499" width="10.7109375" style="556" customWidth="1"/>
    <col min="8500" max="8500" width="2.7109375" style="556" customWidth="1"/>
    <col min="8501" max="8705" width="9.140625" style="556"/>
    <col min="8706" max="8706" width="14.7109375" style="556" customWidth="1"/>
    <col min="8707" max="8707" width="10.7109375" style="556" customWidth="1"/>
    <col min="8708" max="8708" width="11.7109375" style="556" customWidth="1"/>
    <col min="8709" max="8709" width="9.140625" style="556"/>
    <col min="8710" max="8710" width="10.7109375" style="556" customWidth="1"/>
    <col min="8711" max="8713" width="9.140625" style="556"/>
    <col min="8714" max="8714" width="14.7109375" style="556" customWidth="1"/>
    <col min="8715" max="8715" width="9.140625" style="556"/>
    <col min="8716" max="8716" width="12.7109375" style="556" customWidth="1"/>
    <col min="8717" max="8718" width="9.140625" style="556"/>
    <col min="8719" max="8721" width="8.7109375" style="556" customWidth="1"/>
    <col min="8722" max="8722" width="9.140625" style="556"/>
    <col min="8723" max="8723" width="10.7109375" style="556" customWidth="1"/>
    <col min="8724" max="8739" width="9.140625" style="556"/>
    <col min="8740" max="8740" width="8.7109375" style="556" customWidth="1"/>
    <col min="8741" max="8743" width="9.140625" style="556"/>
    <col min="8744" max="8744" width="15.7109375" style="556" customWidth="1"/>
    <col min="8745" max="8747" width="12.7109375" style="556" customWidth="1"/>
    <col min="8748" max="8749" width="9.140625" style="556"/>
    <col min="8750" max="8750" width="12.7109375" style="556" customWidth="1"/>
    <col min="8751" max="8752" width="9.140625" style="556"/>
    <col min="8753" max="8753" width="2.7109375" style="556" customWidth="1"/>
    <col min="8754" max="8754" width="9.140625" style="556"/>
    <col min="8755" max="8755" width="10.7109375" style="556" customWidth="1"/>
    <col min="8756" max="8756" width="2.7109375" style="556" customWidth="1"/>
    <col min="8757" max="8961" width="9.140625" style="556"/>
    <col min="8962" max="8962" width="14.7109375" style="556" customWidth="1"/>
    <col min="8963" max="8963" width="10.7109375" style="556" customWidth="1"/>
    <col min="8964" max="8964" width="11.7109375" style="556" customWidth="1"/>
    <col min="8965" max="8965" width="9.140625" style="556"/>
    <col min="8966" max="8966" width="10.7109375" style="556" customWidth="1"/>
    <col min="8967" max="8969" width="9.140625" style="556"/>
    <col min="8970" max="8970" width="14.7109375" style="556" customWidth="1"/>
    <col min="8971" max="8971" width="9.140625" style="556"/>
    <col min="8972" max="8972" width="12.7109375" style="556" customWidth="1"/>
    <col min="8973" max="8974" width="9.140625" style="556"/>
    <col min="8975" max="8977" width="8.7109375" style="556" customWidth="1"/>
    <col min="8978" max="8978" width="9.140625" style="556"/>
    <col min="8979" max="8979" width="10.7109375" style="556" customWidth="1"/>
    <col min="8980" max="8995" width="9.140625" style="556"/>
    <col min="8996" max="8996" width="8.7109375" style="556" customWidth="1"/>
    <col min="8997" max="8999" width="9.140625" style="556"/>
    <col min="9000" max="9000" width="15.7109375" style="556" customWidth="1"/>
    <col min="9001" max="9003" width="12.7109375" style="556" customWidth="1"/>
    <col min="9004" max="9005" width="9.140625" style="556"/>
    <col min="9006" max="9006" width="12.7109375" style="556" customWidth="1"/>
    <col min="9007" max="9008" width="9.140625" style="556"/>
    <col min="9009" max="9009" width="2.7109375" style="556" customWidth="1"/>
    <col min="9010" max="9010" width="9.140625" style="556"/>
    <col min="9011" max="9011" width="10.7109375" style="556" customWidth="1"/>
    <col min="9012" max="9012" width="2.7109375" style="556" customWidth="1"/>
    <col min="9013" max="9217" width="9.140625" style="556"/>
    <col min="9218" max="9218" width="14.7109375" style="556" customWidth="1"/>
    <col min="9219" max="9219" width="10.7109375" style="556" customWidth="1"/>
    <col min="9220" max="9220" width="11.7109375" style="556" customWidth="1"/>
    <col min="9221" max="9221" width="9.140625" style="556"/>
    <col min="9222" max="9222" width="10.7109375" style="556" customWidth="1"/>
    <col min="9223" max="9225" width="9.140625" style="556"/>
    <col min="9226" max="9226" width="14.7109375" style="556" customWidth="1"/>
    <col min="9227" max="9227" width="9.140625" style="556"/>
    <col min="9228" max="9228" width="12.7109375" style="556" customWidth="1"/>
    <col min="9229" max="9230" width="9.140625" style="556"/>
    <col min="9231" max="9233" width="8.7109375" style="556" customWidth="1"/>
    <col min="9234" max="9234" width="9.140625" style="556"/>
    <col min="9235" max="9235" width="10.7109375" style="556" customWidth="1"/>
    <col min="9236" max="9251" width="9.140625" style="556"/>
    <col min="9252" max="9252" width="8.7109375" style="556" customWidth="1"/>
    <col min="9253" max="9255" width="9.140625" style="556"/>
    <col min="9256" max="9256" width="15.7109375" style="556" customWidth="1"/>
    <col min="9257" max="9259" width="12.7109375" style="556" customWidth="1"/>
    <col min="9260" max="9261" width="9.140625" style="556"/>
    <col min="9262" max="9262" width="12.7109375" style="556" customWidth="1"/>
    <col min="9263" max="9264" width="9.140625" style="556"/>
    <col min="9265" max="9265" width="2.7109375" style="556" customWidth="1"/>
    <col min="9266" max="9266" width="9.140625" style="556"/>
    <col min="9267" max="9267" width="10.7109375" style="556" customWidth="1"/>
    <col min="9268" max="9268" width="2.7109375" style="556" customWidth="1"/>
    <col min="9269" max="9473" width="9.140625" style="556"/>
    <col min="9474" max="9474" width="14.7109375" style="556" customWidth="1"/>
    <col min="9475" max="9475" width="10.7109375" style="556" customWidth="1"/>
    <col min="9476" max="9476" width="11.7109375" style="556" customWidth="1"/>
    <col min="9477" max="9477" width="9.140625" style="556"/>
    <col min="9478" max="9478" width="10.7109375" style="556" customWidth="1"/>
    <col min="9479" max="9481" width="9.140625" style="556"/>
    <col min="9482" max="9482" width="14.7109375" style="556" customWidth="1"/>
    <col min="9483" max="9483" width="9.140625" style="556"/>
    <col min="9484" max="9484" width="12.7109375" style="556" customWidth="1"/>
    <col min="9485" max="9486" width="9.140625" style="556"/>
    <col min="9487" max="9489" width="8.7109375" style="556" customWidth="1"/>
    <col min="9490" max="9490" width="9.140625" style="556"/>
    <col min="9491" max="9491" width="10.7109375" style="556" customWidth="1"/>
    <col min="9492" max="9507" width="9.140625" style="556"/>
    <col min="9508" max="9508" width="8.7109375" style="556" customWidth="1"/>
    <col min="9509" max="9511" width="9.140625" style="556"/>
    <col min="9512" max="9512" width="15.7109375" style="556" customWidth="1"/>
    <col min="9513" max="9515" width="12.7109375" style="556" customWidth="1"/>
    <col min="9516" max="9517" width="9.140625" style="556"/>
    <col min="9518" max="9518" width="12.7109375" style="556" customWidth="1"/>
    <col min="9519" max="9520" width="9.140625" style="556"/>
    <col min="9521" max="9521" width="2.7109375" style="556" customWidth="1"/>
    <col min="9522" max="9522" width="9.140625" style="556"/>
    <col min="9523" max="9523" width="10.7109375" style="556" customWidth="1"/>
    <col min="9524" max="9524" width="2.7109375" style="556" customWidth="1"/>
    <col min="9525" max="9729" width="9.140625" style="556"/>
    <col min="9730" max="9730" width="14.7109375" style="556" customWidth="1"/>
    <col min="9731" max="9731" width="10.7109375" style="556" customWidth="1"/>
    <col min="9732" max="9732" width="11.7109375" style="556" customWidth="1"/>
    <col min="9733" max="9733" width="9.140625" style="556"/>
    <col min="9734" max="9734" width="10.7109375" style="556" customWidth="1"/>
    <col min="9735" max="9737" width="9.140625" style="556"/>
    <col min="9738" max="9738" width="14.7109375" style="556" customWidth="1"/>
    <col min="9739" max="9739" width="9.140625" style="556"/>
    <col min="9740" max="9740" width="12.7109375" style="556" customWidth="1"/>
    <col min="9741" max="9742" width="9.140625" style="556"/>
    <col min="9743" max="9745" width="8.7109375" style="556" customWidth="1"/>
    <col min="9746" max="9746" width="9.140625" style="556"/>
    <col min="9747" max="9747" width="10.7109375" style="556" customWidth="1"/>
    <col min="9748" max="9763" width="9.140625" style="556"/>
    <col min="9764" max="9764" width="8.7109375" style="556" customWidth="1"/>
    <col min="9765" max="9767" width="9.140625" style="556"/>
    <col min="9768" max="9768" width="15.7109375" style="556" customWidth="1"/>
    <col min="9769" max="9771" width="12.7109375" style="556" customWidth="1"/>
    <col min="9772" max="9773" width="9.140625" style="556"/>
    <col min="9774" max="9774" width="12.7109375" style="556" customWidth="1"/>
    <col min="9775" max="9776" width="9.140625" style="556"/>
    <col min="9777" max="9777" width="2.7109375" style="556" customWidth="1"/>
    <col min="9778" max="9778" width="9.140625" style="556"/>
    <col min="9779" max="9779" width="10.7109375" style="556" customWidth="1"/>
    <col min="9780" max="9780" width="2.7109375" style="556" customWidth="1"/>
    <col min="9781" max="9985" width="9.140625" style="556"/>
    <col min="9986" max="9986" width="14.7109375" style="556" customWidth="1"/>
    <col min="9987" max="9987" width="10.7109375" style="556" customWidth="1"/>
    <col min="9988" max="9988" width="11.7109375" style="556" customWidth="1"/>
    <col min="9989" max="9989" width="9.140625" style="556"/>
    <col min="9990" max="9990" width="10.7109375" style="556" customWidth="1"/>
    <col min="9991" max="9993" width="9.140625" style="556"/>
    <col min="9994" max="9994" width="14.7109375" style="556" customWidth="1"/>
    <col min="9995" max="9995" width="9.140625" style="556"/>
    <col min="9996" max="9996" width="12.7109375" style="556" customWidth="1"/>
    <col min="9997" max="9998" width="9.140625" style="556"/>
    <col min="9999" max="10001" width="8.7109375" style="556" customWidth="1"/>
    <col min="10002" max="10002" width="9.140625" style="556"/>
    <col min="10003" max="10003" width="10.7109375" style="556" customWidth="1"/>
    <col min="10004" max="10019" width="9.140625" style="556"/>
    <col min="10020" max="10020" width="8.7109375" style="556" customWidth="1"/>
    <col min="10021" max="10023" width="9.140625" style="556"/>
    <col min="10024" max="10024" width="15.7109375" style="556" customWidth="1"/>
    <col min="10025" max="10027" width="12.7109375" style="556" customWidth="1"/>
    <col min="10028" max="10029" width="9.140625" style="556"/>
    <col min="10030" max="10030" width="12.7109375" style="556" customWidth="1"/>
    <col min="10031" max="10032" width="9.140625" style="556"/>
    <col min="10033" max="10033" width="2.7109375" style="556" customWidth="1"/>
    <col min="10034" max="10034" width="9.140625" style="556"/>
    <col min="10035" max="10035" width="10.7109375" style="556" customWidth="1"/>
    <col min="10036" max="10036" width="2.7109375" style="556" customWidth="1"/>
    <col min="10037" max="10241" width="9.140625" style="556"/>
    <col min="10242" max="10242" width="14.7109375" style="556" customWidth="1"/>
    <col min="10243" max="10243" width="10.7109375" style="556" customWidth="1"/>
    <col min="10244" max="10244" width="11.7109375" style="556" customWidth="1"/>
    <col min="10245" max="10245" width="9.140625" style="556"/>
    <col min="10246" max="10246" width="10.7109375" style="556" customWidth="1"/>
    <col min="10247" max="10249" width="9.140625" style="556"/>
    <col min="10250" max="10250" width="14.7109375" style="556" customWidth="1"/>
    <col min="10251" max="10251" width="9.140625" style="556"/>
    <col min="10252" max="10252" width="12.7109375" style="556" customWidth="1"/>
    <col min="10253" max="10254" width="9.140625" style="556"/>
    <col min="10255" max="10257" width="8.7109375" style="556" customWidth="1"/>
    <col min="10258" max="10258" width="9.140625" style="556"/>
    <col min="10259" max="10259" width="10.7109375" style="556" customWidth="1"/>
    <col min="10260" max="10275" width="9.140625" style="556"/>
    <col min="10276" max="10276" width="8.7109375" style="556" customWidth="1"/>
    <col min="10277" max="10279" width="9.140625" style="556"/>
    <col min="10280" max="10280" width="15.7109375" style="556" customWidth="1"/>
    <col min="10281" max="10283" width="12.7109375" style="556" customWidth="1"/>
    <col min="10284" max="10285" width="9.140625" style="556"/>
    <col min="10286" max="10286" width="12.7109375" style="556" customWidth="1"/>
    <col min="10287" max="10288" width="9.140625" style="556"/>
    <col min="10289" max="10289" width="2.7109375" style="556" customWidth="1"/>
    <col min="10290" max="10290" width="9.140625" style="556"/>
    <col min="10291" max="10291" width="10.7109375" style="556" customWidth="1"/>
    <col min="10292" max="10292" width="2.7109375" style="556" customWidth="1"/>
    <col min="10293" max="10497" width="9.140625" style="556"/>
    <col min="10498" max="10498" width="14.7109375" style="556" customWidth="1"/>
    <col min="10499" max="10499" width="10.7109375" style="556" customWidth="1"/>
    <col min="10500" max="10500" width="11.7109375" style="556" customWidth="1"/>
    <col min="10501" max="10501" width="9.140625" style="556"/>
    <col min="10502" max="10502" width="10.7109375" style="556" customWidth="1"/>
    <col min="10503" max="10505" width="9.140625" style="556"/>
    <col min="10506" max="10506" width="14.7109375" style="556" customWidth="1"/>
    <col min="10507" max="10507" width="9.140625" style="556"/>
    <col min="10508" max="10508" width="12.7109375" style="556" customWidth="1"/>
    <col min="10509" max="10510" width="9.140625" style="556"/>
    <col min="10511" max="10513" width="8.7109375" style="556" customWidth="1"/>
    <col min="10514" max="10514" width="9.140625" style="556"/>
    <col min="10515" max="10515" width="10.7109375" style="556" customWidth="1"/>
    <col min="10516" max="10531" width="9.140625" style="556"/>
    <col min="10532" max="10532" width="8.7109375" style="556" customWidth="1"/>
    <col min="10533" max="10535" width="9.140625" style="556"/>
    <col min="10536" max="10536" width="15.7109375" style="556" customWidth="1"/>
    <col min="10537" max="10539" width="12.7109375" style="556" customWidth="1"/>
    <col min="10540" max="10541" width="9.140625" style="556"/>
    <col min="10542" max="10542" width="12.7109375" style="556" customWidth="1"/>
    <col min="10543" max="10544" width="9.140625" style="556"/>
    <col min="10545" max="10545" width="2.7109375" style="556" customWidth="1"/>
    <col min="10546" max="10546" width="9.140625" style="556"/>
    <col min="10547" max="10547" width="10.7109375" style="556" customWidth="1"/>
    <col min="10548" max="10548" width="2.7109375" style="556" customWidth="1"/>
    <col min="10549" max="10753" width="9.140625" style="556"/>
    <col min="10754" max="10754" width="14.7109375" style="556" customWidth="1"/>
    <col min="10755" max="10755" width="10.7109375" style="556" customWidth="1"/>
    <col min="10756" max="10756" width="11.7109375" style="556" customWidth="1"/>
    <col min="10757" max="10757" width="9.140625" style="556"/>
    <col min="10758" max="10758" width="10.7109375" style="556" customWidth="1"/>
    <col min="10759" max="10761" width="9.140625" style="556"/>
    <col min="10762" max="10762" width="14.7109375" style="556" customWidth="1"/>
    <col min="10763" max="10763" width="9.140625" style="556"/>
    <col min="10764" max="10764" width="12.7109375" style="556" customWidth="1"/>
    <col min="10765" max="10766" width="9.140625" style="556"/>
    <col min="10767" max="10769" width="8.7109375" style="556" customWidth="1"/>
    <col min="10770" max="10770" width="9.140625" style="556"/>
    <col min="10771" max="10771" width="10.7109375" style="556" customWidth="1"/>
    <col min="10772" max="10787" width="9.140625" style="556"/>
    <col min="10788" max="10788" width="8.7109375" style="556" customWidth="1"/>
    <col min="10789" max="10791" width="9.140625" style="556"/>
    <col min="10792" max="10792" width="15.7109375" style="556" customWidth="1"/>
    <col min="10793" max="10795" width="12.7109375" style="556" customWidth="1"/>
    <col min="10796" max="10797" width="9.140625" style="556"/>
    <col min="10798" max="10798" width="12.7109375" style="556" customWidth="1"/>
    <col min="10799" max="10800" width="9.140625" style="556"/>
    <col min="10801" max="10801" width="2.7109375" style="556" customWidth="1"/>
    <col min="10802" max="10802" width="9.140625" style="556"/>
    <col min="10803" max="10803" width="10.7109375" style="556" customWidth="1"/>
    <col min="10804" max="10804" width="2.7109375" style="556" customWidth="1"/>
    <col min="10805" max="11009" width="9.140625" style="556"/>
    <col min="11010" max="11010" width="14.7109375" style="556" customWidth="1"/>
    <col min="11011" max="11011" width="10.7109375" style="556" customWidth="1"/>
    <col min="11012" max="11012" width="11.7109375" style="556" customWidth="1"/>
    <col min="11013" max="11013" width="9.140625" style="556"/>
    <col min="11014" max="11014" width="10.7109375" style="556" customWidth="1"/>
    <col min="11015" max="11017" width="9.140625" style="556"/>
    <col min="11018" max="11018" width="14.7109375" style="556" customWidth="1"/>
    <col min="11019" max="11019" width="9.140625" style="556"/>
    <col min="11020" max="11020" width="12.7109375" style="556" customWidth="1"/>
    <col min="11021" max="11022" width="9.140625" style="556"/>
    <col min="11023" max="11025" width="8.7109375" style="556" customWidth="1"/>
    <col min="11026" max="11026" width="9.140625" style="556"/>
    <col min="11027" max="11027" width="10.7109375" style="556" customWidth="1"/>
    <col min="11028" max="11043" width="9.140625" style="556"/>
    <col min="11044" max="11044" width="8.7109375" style="556" customWidth="1"/>
    <col min="11045" max="11047" width="9.140625" style="556"/>
    <col min="11048" max="11048" width="15.7109375" style="556" customWidth="1"/>
    <col min="11049" max="11051" width="12.7109375" style="556" customWidth="1"/>
    <col min="11052" max="11053" width="9.140625" style="556"/>
    <col min="11054" max="11054" width="12.7109375" style="556" customWidth="1"/>
    <col min="11055" max="11056" width="9.140625" style="556"/>
    <col min="11057" max="11057" width="2.7109375" style="556" customWidth="1"/>
    <col min="11058" max="11058" width="9.140625" style="556"/>
    <col min="11059" max="11059" width="10.7109375" style="556" customWidth="1"/>
    <col min="11060" max="11060" width="2.7109375" style="556" customWidth="1"/>
    <col min="11061" max="11265" width="9.140625" style="556"/>
    <col min="11266" max="11266" width="14.7109375" style="556" customWidth="1"/>
    <col min="11267" max="11267" width="10.7109375" style="556" customWidth="1"/>
    <col min="11268" max="11268" width="11.7109375" style="556" customWidth="1"/>
    <col min="11269" max="11269" width="9.140625" style="556"/>
    <col min="11270" max="11270" width="10.7109375" style="556" customWidth="1"/>
    <col min="11271" max="11273" width="9.140625" style="556"/>
    <col min="11274" max="11274" width="14.7109375" style="556" customWidth="1"/>
    <col min="11275" max="11275" width="9.140625" style="556"/>
    <col min="11276" max="11276" width="12.7109375" style="556" customWidth="1"/>
    <col min="11277" max="11278" width="9.140625" style="556"/>
    <col min="11279" max="11281" width="8.7109375" style="556" customWidth="1"/>
    <col min="11282" max="11282" width="9.140625" style="556"/>
    <col min="11283" max="11283" width="10.7109375" style="556" customWidth="1"/>
    <col min="11284" max="11299" width="9.140625" style="556"/>
    <col min="11300" max="11300" width="8.7109375" style="556" customWidth="1"/>
    <col min="11301" max="11303" width="9.140625" style="556"/>
    <col min="11304" max="11304" width="15.7109375" style="556" customWidth="1"/>
    <col min="11305" max="11307" width="12.7109375" style="556" customWidth="1"/>
    <col min="11308" max="11309" width="9.140625" style="556"/>
    <col min="11310" max="11310" width="12.7109375" style="556" customWidth="1"/>
    <col min="11311" max="11312" width="9.140625" style="556"/>
    <col min="11313" max="11313" width="2.7109375" style="556" customWidth="1"/>
    <col min="11314" max="11314" width="9.140625" style="556"/>
    <col min="11315" max="11315" width="10.7109375" style="556" customWidth="1"/>
    <col min="11316" max="11316" width="2.7109375" style="556" customWidth="1"/>
    <col min="11317" max="11521" width="9.140625" style="556"/>
    <col min="11522" max="11522" width="14.7109375" style="556" customWidth="1"/>
    <col min="11523" max="11523" width="10.7109375" style="556" customWidth="1"/>
    <col min="11524" max="11524" width="11.7109375" style="556" customWidth="1"/>
    <col min="11525" max="11525" width="9.140625" style="556"/>
    <col min="11526" max="11526" width="10.7109375" style="556" customWidth="1"/>
    <col min="11527" max="11529" width="9.140625" style="556"/>
    <col min="11530" max="11530" width="14.7109375" style="556" customWidth="1"/>
    <col min="11531" max="11531" width="9.140625" style="556"/>
    <col min="11532" max="11532" width="12.7109375" style="556" customWidth="1"/>
    <col min="11533" max="11534" width="9.140625" style="556"/>
    <col min="11535" max="11537" width="8.7109375" style="556" customWidth="1"/>
    <col min="11538" max="11538" width="9.140625" style="556"/>
    <col min="11539" max="11539" width="10.7109375" style="556" customWidth="1"/>
    <col min="11540" max="11555" width="9.140625" style="556"/>
    <col min="11556" max="11556" width="8.7109375" style="556" customWidth="1"/>
    <col min="11557" max="11559" width="9.140625" style="556"/>
    <col min="11560" max="11560" width="15.7109375" style="556" customWidth="1"/>
    <col min="11561" max="11563" width="12.7109375" style="556" customWidth="1"/>
    <col min="11564" max="11565" width="9.140625" style="556"/>
    <col min="11566" max="11566" width="12.7109375" style="556" customWidth="1"/>
    <col min="11567" max="11568" width="9.140625" style="556"/>
    <col min="11569" max="11569" width="2.7109375" style="556" customWidth="1"/>
    <col min="11570" max="11570" width="9.140625" style="556"/>
    <col min="11571" max="11571" width="10.7109375" style="556" customWidth="1"/>
    <col min="11572" max="11572" width="2.7109375" style="556" customWidth="1"/>
    <col min="11573" max="11777" width="9.140625" style="556"/>
    <col min="11778" max="11778" width="14.7109375" style="556" customWidth="1"/>
    <col min="11779" max="11779" width="10.7109375" style="556" customWidth="1"/>
    <col min="11780" max="11780" width="11.7109375" style="556" customWidth="1"/>
    <col min="11781" max="11781" width="9.140625" style="556"/>
    <col min="11782" max="11782" width="10.7109375" style="556" customWidth="1"/>
    <col min="11783" max="11785" width="9.140625" style="556"/>
    <col min="11786" max="11786" width="14.7109375" style="556" customWidth="1"/>
    <col min="11787" max="11787" width="9.140625" style="556"/>
    <col min="11788" max="11788" width="12.7109375" style="556" customWidth="1"/>
    <col min="11789" max="11790" width="9.140625" style="556"/>
    <col min="11791" max="11793" width="8.7109375" style="556" customWidth="1"/>
    <col min="11794" max="11794" width="9.140625" style="556"/>
    <col min="11795" max="11795" width="10.7109375" style="556" customWidth="1"/>
    <col min="11796" max="11811" width="9.140625" style="556"/>
    <col min="11812" max="11812" width="8.7109375" style="556" customWidth="1"/>
    <col min="11813" max="11815" width="9.140625" style="556"/>
    <col min="11816" max="11816" width="15.7109375" style="556" customWidth="1"/>
    <col min="11817" max="11819" width="12.7109375" style="556" customWidth="1"/>
    <col min="11820" max="11821" width="9.140625" style="556"/>
    <col min="11822" max="11822" width="12.7109375" style="556" customWidth="1"/>
    <col min="11823" max="11824" width="9.140625" style="556"/>
    <col min="11825" max="11825" width="2.7109375" style="556" customWidth="1"/>
    <col min="11826" max="11826" width="9.140625" style="556"/>
    <col min="11827" max="11827" width="10.7109375" style="556" customWidth="1"/>
    <col min="11828" max="11828" width="2.7109375" style="556" customWidth="1"/>
    <col min="11829" max="12033" width="9.140625" style="556"/>
    <col min="12034" max="12034" width="14.7109375" style="556" customWidth="1"/>
    <col min="12035" max="12035" width="10.7109375" style="556" customWidth="1"/>
    <col min="12036" max="12036" width="11.7109375" style="556" customWidth="1"/>
    <col min="12037" max="12037" width="9.140625" style="556"/>
    <col min="12038" max="12038" width="10.7109375" style="556" customWidth="1"/>
    <col min="12039" max="12041" width="9.140625" style="556"/>
    <col min="12042" max="12042" width="14.7109375" style="556" customWidth="1"/>
    <col min="12043" max="12043" width="9.140625" style="556"/>
    <col min="12044" max="12044" width="12.7109375" style="556" customWidth="1"/>
    <col min="12045" max="12046" width="9.140625" style="556"/>
    <col min="12047" max="12049" width="8.7109375" style="556" customWidth="1"/>
    <col min="12050" max="12050" width="9.140625" style="556"/>
    <col min="12051" max="12051" width="10.7109375" style="556" customWidth="1"/>
    <col min="12052" max="12067" width="9.140625" style="556"/>
    <col min="12068" max="12068" width="8.7109375" style="556" customWidth="1"/>
    <col min="12069" max="12071" width="9.140625" style="556"/>
    <col min="12072" max="12072" width="15.7109375" style="556" customWidth="1"/>
    <col min="12073" max="12075" width="12.7109375" style="556" customWidth="1"/>
    <col min="12076" max="12077" width="9.140625" style="556"/>
    <col min="12078" max="12078" width="12.7109375" style="556" customWidth="1"/>
    <col min="12079" max="12080" width="9.140625" style="556"/>
    <col min="12081" max="12081" width="2.7109375" style="556" customWidth="1"/>
    <col min="12082" max="12082" width="9.140625" style="556"/>
    <col min="12083" max="12083" width="10.7109375" style="556" customWidth="1"/>
    <col min="12084" max="12084" width="2.7109375" style="556" customWidth="1"/>
    <col min="12085" max="12289" width="9.140625" style="556"/>
    <col min="12290" max="12290" width="14.7109375" style="556" customWidth="1"/>
    <col min="12291" max="12291" width="10.7109375" style="556" customWidth="1"/>
    <col min="12292" max="12292" width="11.7109375" style="556" customWidth="1"/>
    <col min="12293" max="12293" width="9.140625" style="556"/>
    <col min="12294" max="12294" width="10.7109375" style="556" customWidth="1"/>
    <col min="12295" max="12297" width="9.140625" style="556"/>
    <col min="12298" max="12298" width="14.7109375" style="556" customWidth="1"/>
    <col min="12299" max="12299" width="9.140625" style="556"/>
    <col min="12300" max="12300" width="12.7109375" style="556" customWidth="1"/>
    <col min="12301" max="12302" width="9.140625" style="556"/>
    <col min="12303" max="12305" width="8.7109375" style="556" customWidth="1"/>
    <col min="12306" max="12306" width="9.140625" style="556"/>
    <col min="12307" max="12307" width="10.7109375" style="556" customWidth="1"/>
    <col min="12308" max="12323" width="9.140625" style="556"/>
    <col min="12324" max="12324" width="8.7109375" style="556" customWidth="1"/>
    <col min="12325" max="12327" width="9.140625" style="556"/>
    <col min="12328" max="12328" width="15.7109375" style="556" customWidth="1"/>
    <col min="12329" max="12331" width="12.7109375" style="556" customWidth="1"/>
    <col min="12332" max="12333" width="9.140625" style="556"/>
    <col min="12334" max="12334" width="12.7109375" style="556" customWidth="1"/>
    <col min="12335" max="12336" width="9.140625" style="556"/>
    <col min="12337" max="12337" width="2.7109375" style="556" customWidth="1"/>
    <col min="12338" max="12338" width="9.140625" style="556"/>
    <col min="12339" max="12339" width="10.7109375" style="556" customWidth="1"/>
    <col min="12340" max="12340" width="2.7109375" style="556" customWidth="1"/>
    <col min="12341" max="12545" width="9.140625" style="556"/>
    <col min="12546" max="12546" width="14.7109375" style="556" customWidth="1"/>
    <col min="12547" max="12547" width="10.7109375" style="556" customWidth="1"/>
    <col min="12548" max="12548" width="11.7109375" style="556" customWidth="1"/>
    <col min="12549" max="12549" width="9.140625" style="556"/>
    <col min="12550" max="12550" width="10.7109375" style="556" customWidth="1"/>
    <col min="12551" max="12553" width="9.140625" style="556"/>
    <col min="12554" max="12554" width="14.7109375" style="556" customWidth="1"/>
    <col min="12555" max="12555" width="9.140625" style="556"/>
    <col min="12556" max="12556" width="12.7109375" style="556" customWidth="1"/>
    <col min="12557" max="12558" width="9.140625" style="556"/>
    <col min="12559" max="12561" width="8.7109375" style="556" customWidth="1"/>
    <col min="12562" max="12562" width="9.140625" style="556"/>
    <col min="12563" max="12563" width="10.7109375" style="556" customWidth="1"/>
    <col min="12564" max="12579" width="9.140625" style="556"/>
    <col min="12580" max="12580" width="8.7109375" style="556" customWidth="1"/>
    <col min="12581" max="12583" width="9.140625" style="556"/>
    <col min="12584" max="12584" width="15.7109375" style="556" customWidth="1"/>
    <col min="12585" max="12587" width="12.7109375" style="556" customWidth="1"/>
    <col min="12588" max="12589" width="9.140625" style="556"/>
    <col min="12590" max="12590" width="12.7109375" style="556" customWidth="1"/>
    <col min="12591" max="12592" width="9.140625" style="556"/>
    <col min="12593" max="12593" width="2.7109375" style="556" customWidth="1"/>
    <col min="12594" max="12594" width="9.140625" style="556"/>
    <col min="12595" max="12595" width="10.7109375" style="556" customWidth="1"/>
    <col min="12596" max="12596" width="2.7109375" style="556" customWidth="1"/>
    <col min="12597" max="12801" width="9.140625" style="556"/>
    <col min="12802" max="12802" width="14.7109375" style="556" customWidth="1"/>
    <col min="12803" max="12803" width="10.7109375" style="556" customWidth="1"/>
    <col min="12804" max="12804" width="11.7109375" style="556" customWidth="1"/>
    <col min="12805" max="12805" width="9.140625" style="556"/>
    <col min="12806" max="12806" width="10.7109375" style="556" customWidth="1"/>
    <col min="12807" max="12809" width="9.140625" style="556"/>
    <col min="12810" max="12810" width="14.7109375" style="556" customWidth="1"/>
    <col min="12811" max="12811" width="9.140625" style="556"/>
    <col min="12812" max="12812" width="12.7109375" style="556" customWidth="1"/>
    <col min="12813" max="12814" width="9.140625" style="556"/>
    <col min="12815" max="12817" width="8.7109375" style="556" customWidth="1"/>
    <col min="12818" max="12818" width="9.140625" style="556"/>
    <col min="12819" max="12819" width="10.7109375" style="556" customWidth="1"/>
    <col min="12820" max="12835" width="9.140625" style="556"/>
    <col min="12836" max="12836" width="8.7109375" style="556" customWidth="1"/>
    <col min="12837" max="12839" width="9.140625" style="556"/>
    <col min="12840" max="12840" width="15.7109375" style="556" customWidth="1"/>
    <col min="12841" max="12843" width="12.7109375" style="556" customWidth="1"/>
    <col min="12844" max="12845" width="9.140625" style="556"/>
    <col min="12846" max="12846" width="12.7109375" style="556" customWidth="1"/>
    <col min="12847" max="12848" width="9.140625" style="556"/>
    <col min="12849" max="12849" width="2.7109375" style="556" customWidth="1"/>
    <col min="12850" max="12850" width="9.140625" style="556"/>
    <col min="12851" max="12851" width="10.7109375" style="556" customWidth="1"/>
    <col min="12852" max="12852" width="2.7109375" style="556" customWidth="1"/>
    <col min="12853" max="13057" width="9.140625" style="556"/>
    <col min="13058" max="13058" width="14.7109375" style="556" customWidth="1"/>
    <col min="13059" max="13059" width="10.7109375" style="556" customWidth="1"/>
    <col min="13060" max="13060" width="11.7109375" style="556" customWidth="1"/>
    <col min="13061" max="13061" width="9.140625" style="556"/>
    <col min="13062" max="13062" width="10.7109375" style="556" customWidth="1"/>
    <col min="13063" max="13065" width="9.140625" style="556"/>
    <col min="13066" max="13066" width="14.7109375" style="556" customWidth="1"/>
    <col min="13067" max="13067" width="9.140625" style="556"/>
    <col min="13068" max="13068" width="12.7109375" style="556" customWidth="1"/>
    <col min="13069" max="13070" width="9.140625" style="556"/>
    <col min="13071" max="13073" width="8.7109375" style="556" customWidth="1"/>
    <col min="13074" max="13074" width="9.140625" style="556"/>
    <col min="13075" max="13075" width="10.7109375" style="556" customWidth="1"/>
    <col min="13076" max="13091" width="9.140625" style="556"/>
    <col min="13092" max="13092" width="8.7109375" style="556" customWidth="1"/>
    <col min="13093" max="13095" width="9.140625" style="556"/>
    <col min="13096" max="13096" width="15.7109375" style="556" customWidth="1"/>
    <col min="13097" max="13099" width="12.7109375" style="556" customWidth="1"/>
    <col min="13100" max="13101" width="9.140625" style="556"/>
    <col min="13102" max="13102" width="12.7109375" style="556" customWidth="1"/>
    <col min="13103" max="13104" width="9.140625" style="556"/>
    <col min="13105" max="13105" width="2.7109375" style="556" customWidth="1"/>
    <col min="13106" max="13106" width="9.140625" style="556"/>
    <col min="13107" max="13107" width="10.7109375" style="556" customWidth="1"/>
    <col min="13108" max="13108" width="2.7109375" style="556" customWidth="1"/>
    <col min="13109" max="13313" width="9.140625" style="556"/>
    <col min="13314" max="13314" width="14.7109375" style="556" customWidth="1"/>
    <col min="13315" max="13315" width="10.7109375" style="556" customWidth="1"/>
    <col min="13316" max="13316" width="11.7109375" style="556" customWidth="1"/>
    <col min="13317" max="13317" width="9.140625" style="556"/>
    <col min="13318" max="13318" width="10.7109375" style="556" customWidth="1"/>
    <col min="13319" max="13321" width="9.140625" style="556"/>
    <col min="13322" max="13322" width="14.7109375" style="556" customWidth="1"/>
    <col min="13323" max="13323" width="9.140625" style="556"/>
    <col min="13324" max="13324" width="12.7109375" style="556" customWidth="1"/>
    <col min="13325" max="13326" width="9.140625" style="556"/>
    <col min="13327" max="13329" width="8.7109375" style="556" customWidth="1"/>
    <col min="13330" max="13330" width="9.140625" style="556"/>
    <col min="13331" max="13331" width="10.7109375" style="556" customWidth="1"/>
    <col min="13332" max="13347" width="9.140625" style="556"/>
    <col min="13348" max="13348" width="8.7109375" style="556" customWidth="1"/>
    <col min="13349" max="13351" width="9.140625" style="556"/>
    <col min="13352" max="13352" width="15.7109375" style="556" customWidth="1"/>
    <col min="13353" max="13355" width="12.7109375" style="556" customWidth="1"/>
    <col min="13356" max="13357" width="9.140625" style="556"/>
    <col min="13358" max="13358" width="12.7109375" style="556" customWidth="1"/>
    <col min="13359" max="13360" width="9.140625" style="556"/>
    <col min="13361" max="13361" width="2.7109375" style="556" customWidth="1"/>
    <col min="13362" max="13362" width="9.140625" style="556"/>
    <col min="13363" max="13363" width="10.7109375" style="556" customWidth="1"/>
    <col min="13364" max="13364" width="2.7109375" style="556" customWidth="1"/>
    <col min="13365" max="13569" width="9.140625" style="556"/>
    <col min="13570" max="13570" width="14.7109375" style="556" customWidth="1"/>
    <col min="13571" max="13571" width="10.7109375" style="556" customWidth="1"/>
    <col min="13572" max="13572" width="11.7109375" style="556" customWidth="1"/>
    <col min="13573" max="13573" width="9.140625" style="556"/>
    <col min="13574" max="13574" width="10.7109375" style="556" customWidth="1"/>
    <col min="13575" max="13577" width="9.140625" style="556"/>
    <col min="13578" max="13578" width="14.7109375" style="556" customWidth="1"/>
    <col min="13579" max="13579" width="9.140625" style="556"/>
    <col min="13580" max="13580" width="12.7109375" style="556" customWidth="1"/>
    <col min="13581" max="13582" width="9.140625" style="556"/>
    <col min="13583" max="13585" width="8.7109375" style="556" customWidth="1"/>
    <col min="13586" max="13586" width="9.140625" style="556"/>
    <col min="13587" max="13587" width="10.7109375" style="556" customWidth="1"/>
    <col min="13588" max="13603" width="9.140625" style="556"/>
    <col min="13604" max="13604" width="8.7109375" style="556" customWidth="1"/>
    <col min="13605" max="13607" width="9.140625" style="556"/>
    <col min="13608" max="13608" width="15.7109375" style="556" customWidth="1"/>
    <col min="13609" max="13611" width="12.7109375" style="556" customWidth="1"/>
    <col min="13612" max="13613" width="9.140625" style="556"/>
    <col min="13614" max="13614" width="12.7109375" style="556" customWidth="1"/>
    <col min="13615" max="13616" width="9.140625" style="556"/>
    <col min="13617" max="13617" width="2.7109375" style="556" customWidth="1"/>
    <col min="13618" max="13618" width="9.140625" style="556"/>
    <col min="13619" max="13619" width="10.7109375" style="556" customWidth="1"/>
    <col min="13620" max="13620" width="2.7109375" style="556" customWidth="1"/>
    <col min="13621" max="13825" width="9.140625" style="556"/>
    <col min="13826" max="13826" width="14.7109375" style="556" customWidth="1"/>
    <col min="13827" max="13827" width="10.7109375" style="556" customWidth="1"/>
    <col min="13828" max="13828" width="11.7109375" style="556" customWidth="1"/>
    <col min="13829" max="13829" width="9.140625" style="556"/>
    <col min="13830" max="13830" width="10.7109375" style="556" customWidth="1"/>
    <col min="13831" max="13833" width="9.140625" style="556"/>
    <col min="13834" max="13834" width="14.7109375" style="556" customWidth="1"/>
    <col min="13835" max="13835" width="9.140625" style="556"/>
    <col min="13836" max="13836" width="12.7109375" style="556" customWidth="1"/>
    <col min="13837" max="13838" width="9.140625" style="556"/>
    <col min="13839" max="13841" width="8.7109375" style="556" customWidth="1"/>
    <col min="13842" max="13842" width="9.140625" style="556"/>
    <col min="13843" max="13843" width="10.7109375" style="556" customWidth="1"/>
    <col min="13844" max="13859" width="9.140625" style="556"/>
    <col min="13860" max="13860" width="8.7109375" style="556" customWidth="1"/>
    <col min="13861" max="13863" width="9.140625" style="556"/>
    <col min="13864" max="13864" width="15.7109375" style="556" customWidth="1"/>
    <col min="13865" max="13867" width="12.7109375" style="556" customWidth="1"/>
    <col min="13868" max="13869" width="9.140625" style="556"/>
    <col min="13870" max="13870" width="12.7109375" style="556" customWidth="1"/>
    <col min="13871" max="13872" width="9.140625" style="556"/>
    <col min="13873" max="13873" width="2.7109375" style="556" customWidth="1"/>
    <col min="13874" max="13874" width="9.140625" style="556"/>
    <col min="13875" max="13875" width="10.7109375" style="556" customWidth="1"/>
    <col min="13876" max="13876" width="2.7109375" style="556" customWidth="1"/>
    <col min="13877" max="14081" width="9.140625" style="556"/>
    <col min="14082" max="14082" width="14.7109375" style="556" customWidth="1"/>
    <col min="14083" max="14083" width="10.7109375" style="556" customWidth="1"/>
    <col min="14084" max="14084" width="11.7109375" style="556" customWidth="1"/>
    <col min="14085" max="14085" width="9.140625" style="556"/>
    <col min="14086" max="14086" width="10.7109375" style="556" customWidth="1"/>
    <col min="14087" max="14089" width="9.140625" style="556"/>
    <col min="14090" max="14090" width="14.7109375" style="556" customWidth="1"/>
    <col min="14091" max="14091" width="9.140625" style="556"/>
    <col min="14092" max="14092" width="12.7109375" style="556" customWidth="1"/>
    <col min="14093" max="14094" width="9.140625" style="556"/>
    <col min="14095" max="14097" width="8.7109375" style="556" customWidth="1"/>
    <col min="14098" max="14098" width="9.140625" style="556"/>
    <col min="14099" max="14099" width="10.7109375" style="556" customWidth="1"/>
    <col min="14100" max="14115" width="9.140625" style="556"/>
    <col min="14116" max="14116" width="8.7109375" style="556" customWidth="1"/>
    <col min="14117" max="14119" width="9.140625" style="556"/>
    <col min="14120" max="14120" width="15.7109375" style="556" customWidth="1"/>
    <col min="14121" max="14123" width="12.7109375" style="556" customWidth="1"/>
    <col min="14124" max="14125" width="9.140625" style="556"/>
    <col min="14126" max="14126" width="12.7109375" style="556" customWidth="1"/>
    <col min="14127" max="14128" width="9.140625" style="556"/>
    <col min="14129" max="14129" width="2.7109375" style="556" customWidth="1"/>
    <col min="14130" max="14130" width="9.140625" style="556"/>
    <col min="14131" max="14131" width="10.7109375" style="556" customWidth="1"/>
    <col min="14132" max="14132" width="2.7109375" style="556" customWidth="1"/>
    <col min="14133" max="14337" width="9.140625" style="556"/>
    <col min="14338" max="14338" width="14.7109375" style="556" customWidth="1"/>
    <col min="14339" max="14339" width="10.7109375" style="556" customWidth="1"/>
    <col min="14340" max="14340" width="11.7109375" style="556" customWidth="1"/>
    <col min="14341" max="14341" width="9.140625" style="556"/>
    <col min="14342" max="14342" width="10.7109375" style="556" customWidth="1"/>
    <col min="14343" max="14345" width="9.140625" style="556"/>
    <col min="14346" max="14346" width="14.7109375" style="556" customWidth="1"/>
    <col min="14347" max="14347" width="9.140625" style="556"/>
    <col min="14348" max="14348" width="12.7109375" style="556" customWidth="1"/>
    <col min="14349" max="14350" width="9.140625" style="556"/>
    <col min="14351" max="14353" width="8.7109375" style="556" customWidth="1"/>
    <col min="14354" max="14354" width="9.140625" style="556"/>
    <col min="14355" max="14355" width="10.7109375" style="556" customWidth="1"/>
    <col min="14356" max="14371" width="9.140625" style="556"/>
    <col min="14372" max="14372" width="8.7109375" style="556" customWidth="1"/>
    <col min="14373" max="14375" width="9.140625" style="556"/>
    <col min="14376" max="14376" width="15.7109375" style="556" customWidth="1"/>
    <col min="14377" max="14379" width="12.7109375" style="556" customWidth="1"/>
    <col min="14380" max="14381" width="9.140625" style="556"/>
    <col min="14382" max="14382" width="12.7109375" style="556" customWidth="1"/>
    <col min="14383" max="14384" width="9.140625" style="556"/>
    <col min="14385" max="14385" width="2.7109375" style="556" customWidth="1"/>
    <col min="14386" max="14386" width="9.140625" style="556"/>
    <col min="14387" max="14387" width="10.7109375" style="556" customWidth="1"/>
    <col min="14388" max="14388" width="2.7109375" style="556" customWidth="1"/>
    <col min="14389" max="14593" width="9.140625" style="556"/>
    <col min="14594" max="14594" width="14.7109375" style="556" customWidth="1"/>
    <col min="14595" max="14595" width="10.7109375" style="556" customWidth="1"/>
    <col min="14596" max="14596" width="11.7109375" style="556" customWidth="1"/>
    <col min="14597" max="14597" width="9.140625" style="556"/>
    <col min="14598" max="14598" width="10.7109375" style="556" customWidth="1"/>
    <col min="14599" max="14601" width="9.140625" style="556"/>
    <col min="14602" max="14602" width="14.7109375" style="556" customWidth="1"/>
    <col min="14603" max="14603" width="9.140625" style="556"/>
    <col min="14604" max="14604" width="12.7109375" style="556" customWidth="1"/>
    <col min="14605" max="14606" width="9.140625" style="556"/>
    <col min="14607" max="14609" width="8.7109375" style="556" customWidth="1"/>
    <col min="14610" max="14610" width="9.140625" style="556"/>
    <col min="14611" max="14611" width="10.7109375" style="556" customWidth="1"/>
    <col min="14612" max="14627" width="9.140625" style="556"/>
    <col min="14628" max="14628" width="8.7109375" style="556" customWidth="1"/>
    <col min="14629" max="14631" width="9.140625" style="556"/>
    <col min="14632" max="14632" width="15.7109375" style="556" customWidth="1"/>
    <col min="14633" max="14635" width="12.7109375" style="556" customWidth="1"/>
    <col min="14636" max="14637" width="9.140625" style="556"/>
    <col min="14638" max="14638" width="12.7109375" style="556" customWidth="1"/>
    <col min="14639" max="14640" width="9.140625" style="556"/>
    <col min="14641" max="14641" width="2.7109375" style="556" customWidth="1"/>
    <col min="14642" max="14642" width="9.140625" style="556"/>
    <col min="14643" max="14643" width="10.7109375" style="556" customWidth="1"/>
    <col min="14644" max="14644" width="2.7109375" style="556" customWidth="1"/>
    <col min="14645" max="14849" width="9.140625" style="556"/>
    <col min="14850" max="14850" width="14.7109375" style="556" customWidth="1"/>
    <col min="14851" max="14851" width="10.7109375" style="556" customWidth="1"/>
    <col min="14852" max="14852" width="11.7109375" style="556" customWidth="1"/>
    <col min="14853" max="14853" width="9.140625" style="556"/>
    <col min="14854" max="14854" width="10.7109375" style="556" customWidth="1"/>
    <col min="14855" max="14857" width="9.140625" style="556"/>
    <col min="14858" max="14858" width="14.7109375" style="556" customWidth="1"/>
    <col min="14859" max="14859" width="9.140625" style="556"/>
    <col min="14860" max="14860" width="12.7109375" style="556" customWidth="1"/>
    <col min="14861" max="14862" width="9.140625" style="556"/>
    <col min="14863" max="14865" width="8.7109375" style="556" customWidth="1"/>
    <col min="14866" max="14866" width="9.140625" style="556"/>
    <col min="14867" max="14867" width="10.7109375" style="556" customWidth="1"/>
    <col min="14868" max="14883" width="9.140625" style="556"/>
    <col min="14884" max="14884" width="8.7109375" style="556" customWidth="1"/>
    <col min="14885" max="14887" width="9.140625" style="556"/>
    <col min="14888" max="14888" width="15.7109375" style="556" customWidth="1"/>
    <col min="14889" max="14891" width="12.7109375" style="556" customWidth="1"/>
    <col min="14892" max="14893" width="9.140625" style="556"/>
    <col min="14894" max="14894" width="12.7109375" style="556" customWidth="1"/>
    <col min="14895" max="14896" width="9.140625" style="556"/>
    <col min="14897" max="14897" width="2.7109375" style="556" customWidth="1"/>
    <col min="14898" max="14898" width="9.140625" style="556"/>
    <col min="14899" max="14899" width="10.7109375" style="556" customWidth="1"/>
    <col min="14900" max="14900" width="2.7109375" style="556" customWidth="1"/>
    <col min="14901" max="15105" width="9.140625" style="556"/>
    <col min="15106" max="15106" width="14.7109375" style="556" customWidth="1"/>
    <col min="15107" max="15107" width="10.7109375" style="556" customWidth="1"/>
    <col min="15108" max="15108" width="11.7109375" style="556" customWidth="1"/>
    <col min="15109" max="15109" width="9.140625" style="556"/>
    <col min="15110" max="15110" width="10.7109375" style="556" customWidth="1"/>
    <col min="15111" max="15113" width="9.140625" style="556"/>
    <col min="15114" max="15114" width="14.7109375" style="556" customWidth="1"/>
    <col min="15115" max="15115" width="9.140625" style="556"/>
    <col min="15116" max="15116" width="12.7109375" style="556" customWidth="1"/>
    <col min="15117" max="15118" width="9.140625" style="556"/>
    <col min="15119" max="15121" width="8.7109375" style="556" customWidth="1"/>
    <col min="15122" max="15122" width="9.140625" style="556"/>
    <col min="15123" max="15123" width="10.7109375" style="556" customWidth="1"/>
    <col min="15124" max="15139" width="9.140625" style="556"/>
    <col min="15140" max="15140" width="8.7109375" style="556" customWidth="1"/>
    <col min="15141" max="15143" width="9.140625" style="556"/>
    <col min="15144" max="15144" width="15.7109375" style="556" customWidth="1"/>
    <col min="15145" max="15147" width="12.7109375" style="556" customWidth="1"/>
    <col min="15148" max="15149" width="9.140625" style="556"/>
    <col min="15150" max="15150" width="12.7109375" style="556" customWidth="1"/>
    <col min="15151" max="15152" width="9.140625" style="556"/>
    <col min="15153" max="15153" width="2.7109375" style="556" customWidth="1"/>
    <col min="15154" max="15154" width="9.140625" style="556"/>
    <col min="15155" max="15155" width="10.7109375" style="556" customWidth="1"/>
    <col min="15156" max="15156" width="2.7109375" style="556" customWidth="1"/>
    <col min="15157" max="15361" width="9.140625" style="556"/>
    <col min="15362" max="15362" width="14.7109375" style="556" customWidth="1"/>
    <col min="15363" max="15363" width="10.7109375" style="556" customWidth="1"/>
    <col min="15364" max="15364" width="11.7109375" style="556" customWidth="1"/>
    <col min="15365" max="15365" width="9.140625" style="556"/>
    <col min="15366" max="15366" width="10.7109375" style="556" customWidth="1"/>
    <col min="15367" max="15369" width="9.140625" style="556"/>
    <col min="15370" max="15370" width="14.7109375" style="556" customWidth="1"/>
    <col min="15371" max="15371" width="9.140625" style="556"/>
    <col min="15372" max="15372" width="12.7109375" style="556" customWidth="1"/>
    <col min="15373" max="15374" width="9.140625" style="556"/>
    <col min="15375" max="15377" width="8.7109375" style="556" customWidth="1"/>
    <col min="15378" max="15378" width="9.140625" style="556"/>
    <col min="15379" max="15379" width="10.7109375" style="556" customWidth="1"/>
    <col min="15380" max="15395" width="9.140625" style="556"/>
    <col min="15396" max="15396" width="8.7109375" style="556" customWidth="1"/>
    <col min="15397" max="15399" width="9.140625" style="556"/>
    <col min="15400" max="15400" width="15.7109375" style="556" customWidth="1"/>
    <col min="15401" max="15403" width="12.7109375" style="556" customWidth="1"/>
    <col min="15404" max="15405" width="9.140625" style="556"/>
    <col min="15406" max="15406" width="12.7109375" style="556" customWidth="1"/>
    <col min="15407" max="15408" width="9.140625" style="556"/>
    <col min="15409" max="15409" width="2.7109375" style="556" customWidth="1"/>
    <col min="15410" max="15410" width="9.140625" style="556"/>
    <col min="15411" max="15411" width="10.7109375" style="556" customWidth="1"/>
    <col min="15412" max="15412" width="2.7109375" style="556" customWidth="1"/>
    <col min="15413" max="15617" width="9.140625" style="556"/>
    <col min="15618" max="15618" width="14.7109375" style="556" customWidth="1"/>
    <col min="15619" max="15619" width="10.7109375" style="556" customWidth="1"/>
    <col min="15620" max="15620" width="11.7109375" style="556" customWidth="1"/>
    <col min="15621" max="15621" width="9.140625" style="556"/>
    <col min="15622" max="15622" width="10.7109375" style="556" customWidth="1"/>
    <col min="15623" max="15625" width="9.140625" style="556"/>
    <col min="15626" max="15626" width="14.7109375" style="556" customWidth="1"/>
    <col min="15627" max="15627" width="9.140625" style="556"/>
    <col min="15628" max="15628" width="12.7109375" style="556" customWidth="1"/>
    <col min="15629" max="15630" width="9.140625" style="556"/>
    <col min="15631" max="15633" width="8.7109375" style="556" customWidth="1"/>
    <col min="15634" max="15634" width="9.140625" style="556"/>
    <col min="15635" max="15635" width="10.7109375" style="556" customWidth="1"/>
    <col min="15636" max="15651" width="9.140625" style="556"/>
    <col min="15652" max="15652" width="8.7109375" style="556" customWidth="1"/>
    <col min="15653" max="15655" width="9.140625" style="556"/>
    <col min="15656" max="15656" width="15.7109375" style="556" customWidth="1"/>
    <col min="15657" max="15659" width="12.7109375" style="556" customWidth="1"/>
    <col min="15660" max="15661" width="9.140625" style="556"/>
    <col min="15662" max="15662" width="12.7109375" style="556" customWidth="1"/>
    <col min="15663" max="15664" width="9.140625" style="556"/>
    <col min="15665" max="15665" width="2.7109375" style="556" customWidth="1"/>
    <col min="15666" max="15666" width="9.140625" style="556"/>
    <col min="15667" max="15667" width="10.7109375" style="556" customWidth="1"/>
    <col min="15668" max="15668" width="2.7109375" style="556" customWidth="1"/>
    <col min="15669" max="15873" width="9.140625" style="556"/>
    <col min="15874" max="15874" width="14.7109375" style="556" customWidth="1"/>
    <col min="15875" max="15875" width="10.7109375" style="556" customWidth="1"/>
    <col min="15876" max="15876" width="11.7109375" style="556" customWidth="1"/>
    <col min="15877" max="15877" width="9.140625" style="556"/>
    <col min="15878" max="15878" width="10.7109375" style="556" customWidth="1"/>
    <col min="15879" max="15881" width="9.140625" style="556"/>
    <col min="15882" max="15882" width="14.7109375" style="556" customWidth="1"/>
    <col min="15883" max="15883" width="9.140625" style="556"/>
    <col min="15884" max="15884" width="12.7109375" style="556" customWidth="1"/>
    <col min="15885" max="15886" width="9.140625" style="556"/>
    <col min="15887" max="15889" width="8.7109375" style="556" customWidth="1"/>
    <col min="15890" max="15890" width="9.140625" style="556"/>
    <col min="15891" max="15891" width="10.7109375" style="556" customWidth="1"/>
    <col min="15892" max="15907" width="9.140625" style="556"/>
    <col min="15908" max="15908" width="8.7109375" style="556" customWidth="1"/>
    <col min="15909" max="15911" width="9.140625" style="556"/>
    <col min="15912" max="15912" width="15.7109375" style="556" customWidth="1"/>
    <col min="15913" max="15915" width="12.7109375" style="556" customWidth="1"/>
    <col min="15916" max="15917" width="9.140625" style="556"/>
    <col min="15918" max="15918" width="12.7109375" style="556" customWidth="1"/>
    <col min="15919" max="15920" width="9.140625" style="556"/>
    <col min="15921" max="15921" width="2.7109375" style="556" customWidth="1"/>
    <col min="15922" max="15922" width="9.140625" style="556"/>
    <col min="15923" max="15923" width="10.7109375" style="556" customWidth="1"/>
    <col min="15924" max="15924" width="2.7109375" style="556" customWidth="1"/>
    <col min="15925" max="16129" width="9.140625" style="556"/>
    <col min="16130" max="16130" width="14.7109375" style="556" customWidth="1"/>
    <col min="16131" max="16131" width="10.7109375" style="556" customWidth="1"/>
    <col min="16132" max="16132" width="11.7109375" style="556" customWidth="1"/>
    <col min="16133" max="16133" width="9.140625" style="556"/>
    <col min="16134" max="16134" width="10.7109375" style="556" customWidth="1"/>
    <col min="16135" max="16137" width="9.140625" style="556"/>
    <col min="16138" max="16138" width="14.7109375" style="556" customWidth="1"/>
    <col min="16139" max="16139" width="9.140625" style="556"/>
    <col min="16140" max="16140" width="12.7109375" style="556" customWidth="1"/>
    <col min="16141" max="16142" width="9.140625" style="556"/>
    <col min="16143" max="16145" width="8.7109375" style="556" customWidth="1"/>
    <col min="16146" max="16146" width="9.140625" style="556"/>
    <col min="16147" max="16147" width="10.7109375" style="556" customWidth="1"/>
    <col min="16148" max="16163" width="9.140625" style="556"/>
    <col min="16164" max="16164" width="8.7109375" style="556" customWidth="1"/>
    <col min="16165" max="16167" width="9.140625" style="556"/>
    <col min="16168" max="16168" width="15.7109375" style="556" customWidth="1"/>
    <col min="16169" max="16171" width="12.7109375" style="556" customWidth="1"/>
    <col min="16172" max="16173" width="9.140625" style="556"/>
    <col min="16174" max="16174" width="12.7109375" style="556" customWidth="1"/>
    <col min="16175" max="16176" width="9.140625" style="556"/>
    <col min="16177" max="16177" width="2.7109375" style="556" customWidth="1"/>
    <col min="16178" max="16178" width="9.140625" style="556"/>
    <col min="16179" max="16179" width="10.7109375" style="556" customWidth="1"/>
    <col min="16180" max="16180" width="2.7109375" style="556" customWidth="1"/>
    <col min="16181" max="16384" width="9.140625" style="556"/>
  </cols>
  <sheetData>
    <row r="2" spans="2:51" ht="20.25" x14ac:dyDescent="0.3">
      <c r="B2" s="555" t="s">
        <v>801</v>
      </c>
    </row>
    <row r="3" spans="2:51" x14ac:dyDescent="0.2">
      <c r="AX3" s="556" t="s">
        <v>198</v>
      </c>
    </row>
    <row r="4" spans="2:51" ht="13.5" thickBot="1" x14ac:dyDescent="0.25"/>
    <row r="5" spans="2:51" x14ac:dyDescent="0.2">
      <c r="B5" s="924" t="s">
        <v>1</v>
      </c>
      <c r="C5" s="558" t="s">
        <v>328</v>
      </c>
      <c r="D5" s="558" t="s">
        <v>3</v>
      </c>
      <c r="E5" s="558" t="s">
        <v>782</v>
      </c>
      <c r="F5" s="558" t="s">
        <v>111</v>
      </c>
      <c r="G5" s="561" t="s">
        <v>198</v>
      </c>
      <c r="H5" s="925"/>
      <c r="I5" s="926" t="s">
        <v>368</v>
      </c>
      <c r="J5" s="925"/>
      <c r="K5" s="927" t="s">
        <v>329</v>
      </c>
      <c r="L5" s="928" t="s">
        <v>783</v>
      </c>
      <c r="M5" s="929" t="s">
        <v>784</v>
      </c>
      <c r="N5" s="925"/>
      <c r="O5" s="930" t="s">
        <v>549</v>
      </c>
      <c r="P5" s="930" t="s">
        <v>7</v>
      </c>
      <c r="Q5" s="930" t="s">
        <v>785</v>
      </c>
      <c r="R5" s="925"/>
      <c r="S5" s="564" t="s">
        <v>758</v>
      </c>
      <c r="T5" s="565" t="s">
        <v>786</v>
      </c>
      <c r="U5" s="565" t="s">
        <v>758</v>
      </c>
      <c r="V5" s="565" t="s">
        <v>758</v>
      </c>
      <c r="W5" s="565" t="s">
        <v>758</v>
      </c>
      <c r="X5" s="931" t="s">
        <v>758</v>
      </c>
      <c r="Z5" s="932" t="s">
        <v>329</v>
      </c>
      <c r="AA5" s="933" t="s">
        <v>329</v>
      </c>
      <c r="AB5" s="630" t="s">
        <v>198</v>
      </c>
      <c r="AC5" s="630" t="s">
        <v>524</v>
      </c>
      <c r="AD5" s="630" t="s">
        <v>787</v>
      </c>
      <c r="AE5" s="845" t="s">
        <v>788</v>
      </c>
      <c r="AF5" s="563" t="s">
        <v>484</v>
      </c>
      <c r="AX5" s="556">
        <v>0.5</v>
      </c>
      <c r="AY5" s="803">
        <v>1.4999999999999999E-2</v>
      </c>
    </row>
    <row r="6" spans="2:51" ht="13.5" thickBot="1" x14ac:dyDescent="0.25">
      <c r="B6" s="934"/>
      <c r="C6" s="935" t="s">
        <v>0</v>
      </c>
      <c r="D6" s="935" t="s">
        <v>0</v>
      </c>
      <c r="E6" s="935" t="s">
        <v>5</v>
      </c>
      <c r="F6" s="935"/>
      <c r="G6" s="936"/>
      <c r="H6" s="925"/>
      <c r="I6" s="934" t="s">
        <v>763</v>
      </c>
      <c r="J6" s="925"/>
      <c r="K6" s="937" t="s">
        <v>3</v>
      </c>
      <c r="L6" s="938" t="s">
        <v>3</v>
      </c>
      <c r="M6" s="939" t="s">
        <v>783</v>
      </c>
      <c r="N6" s="925"/>
      <c r="O6" s="940" t="s">
        <v>788</v>
      </c>
      <c r="P6" s="940" t="s">
        <v>788</v>
      </c>
      <c r="Q6" s="940" t="s">
        <v>3</v>
      </c>
      <c r="R6" s="925"/>
      <c r="S6" s="574" t="s">
        <v>1</v>
      </c>
      <c r="T6" s="575" t="s">
        <v>198</v>
      </c>
      <c r="U6" s="575" t="s">
        <v>329</v>
      </c>
      <c r="V6" s="575" t="s">
        <v>783</v>
      </c>
      <c r="W6" s="575" t="s">
        <v>789</v>
      </c>
      <c r="X6" s="941" t="s">
        <v>785</v>
      </c>
      <c r="Z6" s="572" t="s">
        <v>483</v>
      </c>
      <c r="AA6" s="609" t="s">
        <v>484</v>
      </c>
      <c r="AB6" s="609"/>
      <c r="AC6" s="609" t="s">
        <v>790</v>
      </c>
      <c r="AD6" s="609" t="s">
        <v>788</v>
      </c>
      <c r="AE6" s="609"/>
      <c r="AF6" s="573"/>
      <c r="AX6" s="556">
        <v>0.75</v>
      </c>
      <c r="AY6" s="803">
        <v>1.4999999999999999E-2</v>
      </c>
    </row>
    <row r="7" spans="2:51" x14ac:dyDescent="0.2">
      <c r="B7" s="818"/>
      <c r="C7" s="569"/>
      <c r="D7" s="569"/>
      <c r="E7" s="569"/>
      <c r="F7" s="569"/>
      <c r="G7" s="587"/>
      <c r="I7" s="816"/>
      <c r="K7" s="687"/>
      <c r="L7" s="771"/>
      <c r="M7" s="688"/>
      <c r="O7" s="942"/>
      <c r="P7" s="942"/>
      <c r="Q7" s="942"/>
      <c r="S7" s="593"/>
      <c r="T7" s="594"/>
      <c r="U7" s="594"/>
      <c r="V7" s="594"/>
      <c r="W7" s="594"/>
      <c r="X7" s="638"/>
      <c r="Z7" s="572"/>
      <c r="AA7" s="609"/>
      <c r="AB7" s="609"/>
      <c r="AC7" s="609"/>
      <c r="AD7" s="609"/>
      <c r="AE7" s="609"/>
      <c r="AF7" s="573"/>
      <c r="AX7" s="556">
        <v>1</v>
      </c>
      <c r="AY7" s="803">
        <v>1.4E-2</v>
      </c>
    </row>
    <row r="8" spans="2:51" x14ac:dyDescent="0.2">
      <c r="B8" s="818" t="s">
        <v>791</v>
      </c>
      <c r="C8" s="588">
        <v>0.2</v>
      </c>
      <c r="D8" s="943">
        <v>0.06</v>
      </c>
      <c r="E8" s="569">
        <v>116.7</v>
      </c>
      <c r="F8" s="569">
        <v>4.2</v>
      </c>
      <c r="G8" s="587">
        <v>4.75</v>
      </c>
      <c r="I8" s="944">
        <v>-1.2E-2</v>
      </c>
      <c r="K8" s="945">
        <f>+F8/E8/12</f>
        <v>2.9991431019708655E-3</v>
      </c>
      <c r="L8" s="783">
        <f>-I8*G8</f>
        <v>5.7000000000000002E-2</v>
      </c>
      <c r="M8" s="784">
        <f>+K8+L8</f>
        <v>5.9999143101970867E-2</v>
      </c>
      <c r="O8" s="946">
        <f>-O19*C8*G8</f>
        <v>5.8479532163702178E-7</v>
      </c>
      <c r="P8" s="946">
        <f>-O19*G8</f>
        <v>2.9239766081851082E-6</v>
      </c>
      <c r="Q8" s="946">
        <f>+M8+P8</f>
        <v>6.0002067078579052E-2</v>
      </c>
      <c r="R8" s="803" t="s">
        <v>0</v>
      </c>
      <c r="S8" s="947">
        <f>+C8*D8</f>
        <v>1.2E-2</v>
      </c>
      <c r="T8" s="594">
        <f>+C8*G8</f>
        <v>0.95000000000000007</v>
      </c>
      <c r="U8" s="801">
        <f>+C8*K8</f>
        <v>5.9982862039417316E-4</v>
      </c>
      <c r="V8" s="801">
        <f>+C8*L8</f>
        <v>1.14E-2</v>
      </c>
      <c r="W8" s="801">
        <f>+C8*M8</f>
        <v>1.1999828620394174E-2</v>
      </c>
      <c r="X8" s="850">
        <f>+C8*Q8</f>
        <v>1.200041341571581E-2</v>
      </c>
      <c r="Z8" s="591">
        <f>(C8-C19)*(K19-K$25)</f>
        <v>4.4274102023381416E-4</v>
      </c>
      <c r="AA8" s="663">
        <f>+C8*(K8-K19)</f>
        <v>4.1341571581062289E-7</v>
      </c>
      <c r="AB8" s="609"/>
      <c r="AC8" s="663">
        <f>+T8*(-I8+I$25)</f>
        <v>-4.9692307692307688E-4</v>
      </c>
      <c r="AD8" s="663"/>
      <c r="AE8" s="663">
        <f>(T8-T19)*(-O19+O$25)</f>
        <v>4.308965137982746E-4</v>
      </c>
      <c r="AF8" s="592">
        <f>+C8*(D8-Q8)</f>
        <v>-4.1341571581088314E-7</v>
      </c>
      <c r="AX8" s="556">
        <v>1.25</v>
      </c>
      <c r="AY8" s="803">
        <v>1.4E-2</v>
      </c>
    </row>
    <row r="9" spans="2:51" x14ac:dyDescent="0.2">
      <c r="B9" s="818"/>
      <c r="C9" s="588"/>
      <c r="D9" s="569"/>
      <c r="E9" s="569"/>
      <c r="F9" s="569"/>
      <c r="G9" s="587"/>
      <c r="I9" s="818"/>
      <c r="K9" s="687"/>
      <c r="L9" s="771"/>
      <c r="M9" s="688"/>
      <c r="O9" s="942"/>
      <c r="P9" s="942"/>
      <c r="Q9" s="942"/>
      <c r="S9" s="593"/>
      <c r="T9" s="594"/>
      <c r="U9" s="594"/>
      <c r="V9" s="594"/>
      <c r="W9" s="594"/>
      <c r="X9" s="638"/>
      <c r="Z9" s="591"/>
      <c r="AA9" s="663"/>
      <c r="AB9" s="609"/>
      <c r="AC9" s="609"/>
      <c r="AD9" s="609"/>
      <c r="AE9" s="663"/>
      <c r="AF9" s="573"/>
      <c r="AX9" s="556">
        <v>1.5</v>
      </c>
      <c r="AY9" s="803">
        <v>1.4E-2</v>
      </c>
    </row>
    <row r="10" spans="2:51" x14ac:dyDescent="0.2">
      <c r="B10" s="818" t="s">
        <v>792</v>
      </c>
      <c r="C10" s="588">
        <v>0.65</v>
      </c>
      <c r="D10" s="943">
        <v>4.3999999999999997E-2</v>
      </c>
      <c r="E10" s="569">
        <v>98.7</v>
      </c>
      <c r="F10" s="569">
        <v>6.2</v>
      </c>
      <c r="G10" s="587">
        <v>3.6</v>
      </c>
      <c r="I10" s="948">
        <v>-0.01</v>
      </c>
      <c r="K10" s="945">
        <f>+F10/E10/12</f>
        <v>5.2347180006754477E-3</v>
      </c>
      <c r="L10" s="783">
        <f>-I10*G10</f>
        <v>3.6000000000000004E-2</v>
      </c>
      <c r="M10" s="784">
        <f>+K10+L10</f>
        <v>4.1234718000675449E-2</v>
      </c>
      <c r="O10" s="946">
        <f>-O21*C10*G10</f>
        <v>1.5439517625231937E-3</v>
      </c>
      <c r="P10" s="946">
        <f>-O21*G10</f>
        <v>2.3753104038818362E-3</v>
      </c>
      <c r="Q10" s="946">
        <f>+M10+P10</f>
        <v>4.3610028404557286E-2</v>
      </c>
      <c r="S10" s="947">
        <f>+C10*D10</f>
        <v>2.86E-2</v>
      </c>
      <c r="T10" s="594">
        <f>+C10*G10</f>
        <v>2.3400000000000003</v>
      </c>
      <c r="U10" s="801">
        <f>+C10*K10</f>
        <v>3.4025667004390411E-3</v>
      </c>
      <c r="V10" s="801">
        <f>+C10*L10</f>
        <v>2.3400000000000004E-2</v>
      </c>
      <c r="W10" s="801">
        <f>+C10*M10</f>
        <v>2.6802566700439043E-2</v>
      </c>
      <c r="X10" s="850">
        <f>+C10*Q10</f>
        <v>2.8346518462962236E-2</v>
      </c>
      <c r="Z10" s="591">
        <f>(C10-C21)*(K21-K$25)</f>
        <v>2.9703155920861703E-4</v>
      </c>
      <c r="AA10" s="663">
        <f>+C10*(K10-K21)</f>
        <v>-2.7708697921463864E-4</v>
      </c>
      <c r="AB10" s="609"/>
      <c r="AC10" s="663">
        <f>+T10*(-I10+I$25)</f>
        <v>-5.9040000000000004E-3</v>
      </c>
      <c r="AD10" s="663"/>
      <c r="AE10" s="663">
        <f>(T10-T21)*(-O21+O$25)</f>
        <v>8.5634244730806543E-5</v>
      </c>
      <c r="AF10" s="592">
        <f>+C10*(D10-Q10)</f>
        <v>2.5348153703776274E-4</v>
      </c>
      <c r="AX10" s="556">
        <v>1.75</v>
      </c>
      <c r="AY10" s="803">
        <v>1.35E-2</v>
      </c>
    </row>
    <row r="11" spans="2:51" x14ac:dyDescent="0.2">
      <c r="B11" s="818"/>
      <c r="C11" s="588"/>
      <c r="D11" s="569"/>
      <c r="E11" s="569"/>
      <c r="F11" s="569"/>
      <c r="G11" s="587"/>
      <c r="I11" s="818"/>
      <c r="K11" s="687"/>
      <c r="L11" s="771"/>
      <c r="M11" s="688"/>
      <c r="O11" s="942"/>
      <c r="P11" s="942"/>
      <c r="Q11" s="942"/>
      <c r="S11" s="593"/>
      <c r="T11" s="594"/>
      <c r="U11" s="594"/>
      <c r="V11" s="594"/>
      <c r="W11" s="594"/>
      <c r="X11" s="638"/>
      <c r="Z11" s="591"/>
      <c r="AA11" s="663"/>
      <c r="AB11" s="609"/>
      <c r="AC11" s="609"/>
      <c r="AD11" s="609"/>
      <c r="AE11" s="663"/>
      <c r="AF11" s="573"/>
      <c r="AX11" s="556">
        <v>2</v>
      </c>
      <c r="AY11" s="803">
        <v>1.35E-2</v>
      </c>
    </row>
    <row r="12" spans="2:51" x14ac:dyDescent="0.2">
      <c r="B12" s="818" t="s">
        <v>793</v>
      </c>
      <c r="C12" s="588">
        <v>0.15</v>
      </c>
      <c r="D12" s="943">
        <v>5.6000000000000001E-2</v>
      </c>
      <c r="E12" s="569">
        <v>96.5</v>
      </c>
      <c r="F12" s="569">
        <v>9.5</v>
      </c>
      <c r="G12" s="587">
        <v>4.3</v>
      </c>
      <c r="I12" s="944">
        <v>-1.0999999999999999E-2</v>
      </c>
      <c r="K12" s="945">
        <f>+F12/E12/12</f>
        <v>8.2037996545768575E-3</v>
      </c>
      <c r="L12" s="783">
        <f>-I12*G12</f>
        <v>4.7299999999999995E-2</v>
      </c>
      <c r="M12" s="784">
        <f>+K12+L12</f>
        <v>5.5503799654576851E-2</v>
      </c>
      <c r="O12" s="946">
        <f>-O23*C12*G12</f>
        <v>1.4522312373225157E-4</v>
      </c>
      <c r="P12" s="946">
        <f>-O23*G12</f>
        <v>9.6815415821501036E-4</v>
      </c>
      <c r="Q12" s="946">
        <f>+M12+P12</f>
        <v>5.647195381279186E-2</v>
      </c>
      <c r="S12" s="947">
        <f>+C12*D12</f>
        <v>8.3999999999999995E-3</v>
      </c>
      <c r="T12" s="594">
        <f>+C12*G12</f>
        <v>0.64499999999999991</v>
      </c>
      <c r="U12" s="801">
        <f>+C12*K12</f>
        <v>1.2305699481865286E-3</v>
      </c>
      <c r="V12" s="801">
        <f>+C12*L12</f>
        <v>7.0949999999999989E-3</v>
      </c>
      <c r="W12" s="801">
        <f>+C12*M12</f>
        <v>8.3255699481865272E-3</v>
      </c>
      <c r="X12" s="850">
        <f>+C12*Q12</f>
        <v>8.470793071918779E-3</v>
      </c>
      <c r="Z12" s="591">
        <f>(C12-C23)*(K23-K$25)</f>
        <v>1.3132560282795152E-4</v>
      </c>
      <c r="AA12" s="663">
        <f>+C12*(K12-K23)</f>
        <v>1.6566122607699504E-4</v>
      </c>
      <c r="AB12" s="609"/>
      <c r="AC12" s="663">
        <f>+T12*(-I12+I$25)</f>
        <v>-9.8238461538461565E-4</v>
      </c>
      <c r="AD12" s="663"/>
      <c r="AE12" s="663">
        <f>(T12-T23)*(-O23+O$25)</f>
        <v>-1.9072505851763959E-5</v>
      </c>
      <c r="AF12" s="592">
        <f>+C12*(D12-Q12)</f>
        <v>-7.0793071918778819E-5</v>
      </c>
      <c r="AX12" s="556">
        <v>2.25</v>
      </c>
      <c r="AY12" s="803">
        <v>1.35E-2</v>
      </c>
    </row>
    <row r="13" spans="2:51" x14ac:dyDescent="0.2">
      <c r="B13" s="818"/>
      <c r="C13" s="569"/>
      <c r="D13" s="569"/>
      <c r="E13" s="569"/>
      <c r="F13" s="569"/>
      <c r="G13" s="587"/>
      <c r="I13" s="818"/>
      <c r="K13" s="687"/>
      <c r="L13" s="771"/>
      <c r="M13" s="688"/>
      <c r="O13" s="942"/>
      <c r="P13" s="942"/>
      <c r="Q13" s="942"/>
      <c r="S13" s="593"/>
      <c r="T13" s="594"/>
      <c r="U13" s="594"/>
      <c r="V13" s="594"/>
      <c r="W13" s="594"/>
      <c r="X13" s="638"/>
      <c r="Z13" s="572"/>
      <c r="AA13" s="609"/>
      <c r="AB13" s="609"/>
      <c r="AC13" s="609"/>
      <c r="AD13" s="609"/>
      <c r="AE13" s="609"/>
      <c r="AF13" s="573"/>
      <c r="AX13" s="556">
        <v>2.5</v>
      </c>
      <c r="AY13" s="803">
        <v>1.35E-2</v>
      </c>
    </row>
    <row r="14" spans="2:51" ht="13.5" thickBot="1" x14ac:dyDescent="0.25">
      <c r="B14" s="949" t="s">
        <v>16</v>
      </c>
      <c r="C14" s="596">
        <f>SUM(C8:C12)</f>
        <v>1</v>
      </c>
      <c r="D14" s="950">
        <f>+S14</f>
        <v>4.8999999999999995E-2</v>
      </c>
      <c r="E14" s="775"/>
      <c r="F14" s="775"/>
      <c r="G14" s="599">
        <f>+T14</f>
        <v>3.9350000000000005</v>
      </c>
      <c r="I14" s="951">
        <f>-L14/G14</f>
        <v>-1.0646759847522235E-2</v>
      </c>
      <c r="K14" s="952">
        <f>+U14</f>
        <v>5.2329652690197423E-3</v>
      </c>
      <c r="L14" s="953">
        <f>+V14</f>
        <v>4.1895000000000002E-2</v>
      </c>
      <c r="M14" s="802">
        <f>+W14</f>
        <v>4.7127965269019745E-2</v>
      </c>
      <c r="O14" s="954">
        <f>SUM(O8:O12)</f>
        <v>1.6897596815770822E-3</v>
      </c>
      <c r="P14" s="954">
        <f>-G14*O25</f>
        <v>1.1923014288997707E-3</v>
      </c>
      <c r="Q14" s="954">
        <f>+M14+P14</f>
        <v>4.8320266697919514E-2</v>
      </c>
      <c r="S14" s="955">
        <f>SUM(S7:S12)</f>
        <v>4.8999999999999995E-2</v>
      </c>
      <c r="T14" s="956">
        <f>SUM(T7:T12)</f>
        <v>3.9350000000000005</v>
      </c>
      <c r="U14" s="957">
        <f>SUM(U7:U12)</f>
        <v>5.2329652690197423E-3</v>
      </c>
      <c r="V14" s="957">
        <f>SUM(V7:V12)</f>
        <v>4.1895000000000002E-2</v>
      </c>
      <c r="W14" s="957">
        <f>SUM(W7:W12)</f>
        <v>4.7127965269019745E-2</v>
      </c>
      <c r="X14" s="958">
        <f>SUM(X8:X12)</f>
        <v>4.881772495059683E-2</v>
      </c>
      <c r="Z14" s="601">
        <f>SUM(Z8:Z12)</f>
        <v>8.7109818227038265E-4</v>
      </c>
      <c r="AA14" s="793">
        <f>SUM(AA8:AA12)</f>
        <v>-1.1101233742183297E-4</v>
      </c>
      <c r="AB14" s="793">
        <f>-(G14-G25)*I25</f>
        <v>-1.1771692307692302E-2</v>
      </c>
      <c r="AC14" s="793">
        <f>SUM(AC8:AC12)</f>
        <v>-7.3833076923076934E-3</v>
      </c>
      <c r="AD14" s="793">
        <f>-(G14-G25)*O25</f>
        <v>-2.8481914692904289E-4</v>
      </c>
      <c r="AE14" s="793">
        <f>SUM(AE7:AE12)</f>
        <v>4.9745825267731721E-4</v>
      </c>
      <c r="AF14" s="602">
        <f>SUM(AF7:AF12)</f>
        <v>1.8227504940317304E-4</v>
      </c>
      <c r="AX14" s="556">
        <v>2.75</v>
      </c>
      <c r="AY14" s="803">
        <v>1.2999999999999999E-2</v>
      </c>
    </row>
    <row r="15" spans="2:51" ht="13.5" thickBot="1" x14ac:dyDescent="0.25">
      <c r="AA15" s="562"/>
      <c r="AB15" s="630"/>
      <c r="AC15" s="630"/>
      <c r="AD15" s="630"/>
      <c r="AE15" s="630"/>
      <c r="AF15" s="563"/>
      <c r="AX15" s="556">
        <v>3</v>
      </c>
      <c r="AY15" s="803">
        <v>1.2999999999999999E-2</v>
      </c>
    </row>
    <row r="16" spans="2:51" ht="13.5" thickBot="1" x14ac:dyDescent="0.25">
      <c r="B16" s="924" t="s">
        <v>15</v>
      </c>
      <c r="C16" s="558" t="s">
        <v>328</v>
      </c>
      <c r="D16" s="558" t="s">
        <v>3</v>
      </c>
      <c r="E16" s="558" t="s">
        <v>782</v>
      </c>
      <c r="F16" s="558" t="s">
        <v>111</v>
      </c>
      <c r="G16" s="561" t="s">
        <v>198</v>
      </c>
      <c r="H16" s="925"/>
      <c r="I16" s="926" t="s">
        <v>368</v>
      </c>
      <c r="J16" s="925"/>
      <c r="K16" s="927" t="s">
        <v>329</v>
      </c>
      <c r="L16" s="928" t="s">
        <v>783</v>
      </c>
      <c r="M16" s="929" t="s">
        <v>784</v>
      </c>
      <c r="N16" s="925"/>
      <c r="O16" s="930" t="s">
        <v>788</v>
      </c>
      <c r="P16" s="929" t="s">
        <v>794</v>
      </c>
      <c r="Q16" s="930" t="s">
        <v>785</v>
      </c>
      <c r="R16" s="925"/>
      <c r="S16" s="564" t="s">
        <v>758</v>
      </c>
      <c r="T16" s="565" t="s">
        <v>786</v>
      </c>
      <c r="U16" s="565" t="s">
        <v>758</v>
      </c>
      <c r="V16" s="565" t="s">
        <v>758</v>
      </c>
      <c r="W16" s="565" t="s">
        <v>758</v>
      </c>
      <c r="X16" s="931" t="s">
        <v>758</v>
      </c>
      <c r="AA16" s="601">
        <f>SUM(Z14:AA14)</f>
        <v>7.6008584484854971E-4</v>
      </c>
      <c r="AB16" s="959"/>
      <c r="AC16" s="793">
        <f>SUM(AB14:AC14)</f>
        <v>-1.9154999999999995E-2</v>
      </c>
      <c r="AD16" s="959"/>
      <c r="AE16" s="793">
        <f>SUM(AD14:AE14)</f>
        <v>2.1263910574827432E-4</v>
      </c>
      <c r="AF16" s="602">
        <f>SUM(Z14:AF14)</f>
        <v>-1.8000000000000002E-2</v>
      </c>
      <c r="AX16" s="556">
        <v>3.25</v>
      </c>
      <c r="AY16" s="803">
        <v>1.2999999999999999E-2</v>
      </c>
    </row>
    <row r="17" spans="2:51" ht="13.5" thickBot="1" x14ac:dyDescent="0.25">
      <c r="B17" s="934"/>
      <c r="C17" s="935" t="s">
        <v>0</v>
      </c>
      <c r="D17" s="935" t="s">
        <v>0</v>
      </c>
      <c r="E17" s="935" t="s">
        <v>5</v>
      </c>
      <c r="F17" s="935"/>
      <c r="G17" s="936"/>
      <c r="H17" s="925"/>
      <c r="I17" s="934" t="s">
        <v>763</v>
      </c>
      <c r="J17" s="925"/>
      <c r="K17" s="937" t="s">
        <v>3</v>
      </c>
      <c r="L17" s="938" t="s">
        <v>3</v>
      </c>
      <c r="M17" s="939" t="s">
        <v>783</v>
      </c>
      <c r="N17" s="925"/>
      <c r="O17" s="940" t="s">
        <v>0</v>
      </c>
      <c r="P17" s="939" t="s">
        <v>795</v>
      </c>
      <c r="Q17" s="940" t="s">
        <v>3</v>
      </c>
      <c r="R17" s="925"/>
      <c r="S17" s="574" t="s">
        <v>1</v>
      </c>
      <c r="T17" s="575" t="s">
        <v>198</v>
      </c>
      <c r="U17" s="575" t="s">
        <v>329</v>
      </c>
      <c r="V17" s="575" t="s">
        <v>783</v>
      </c>
      <c r="W17" s="575" t="s">
        <v>789</v>
      </c>
      <c r="X17" s="941" t="s">
        <v>785</v>
      </c>
      <c r="AX17" s="556">
        <v>3.5</v>
      </c>
      <c r="AY17" s="803">
        <v>1.2999999999999999E-2</v>
      </c>
    </row>
    <row r="18" spans="2:51" x14ac:dyDescent="0.2">
      <c r="B18" s="818"/>
      <c r="C18" s="569"/>
      <c r="D18" s="569"/>
      <c r="E18" s="569"/>
      <c r="F18" s="569"/>
      <c r="G18" s="587"/>
      <c r="I18" s="818"/>
      <c r="K18" s="687"/>
      <c r="L18" s="771"/>
      <c r="M18" s="688"/>
      <c r="O18" s="942"/>
      <c r="P18" s="688"/>
      <c r="Q18" s="942"/>
      <c r="S18" s="593"/>
      <c r="T18" s="594"/>
      <c r="U18" s="594"/>
      <c r="V18" s="594"/>
      <c r="W18" s="594"/>
      <c r="X18" s="638"/>
      <c r="AX18" s="556">
        <v>3.75</v>
      </c>
      <c r="AY18" s="803">
        <v>1.2500000000000001E-2</v>
      </c>
    </row>
    <row r="19" spans="2:51" x14ac:dyDescent="0.2">
      <c r="B19" s="818" t="s">
        <v>791</v>
      </c>
      <c r="C19" s="588">
        <v>0.5</v>
      </c>
      <c r="D19" s="943">
        <v>0.06</v>
      </c>
      <c r="E19" s="569">
        <v>114</v>
      </c>
      <c r="F19" s="569">
        <v>4.0999999999999996</v>
      </c>
      <c r="G19" s="587">
        <v>4.75</v>
      </c>
      <c r="I19" s="944">
        <v>-1.2E-2</v>
      </c>
      <c r="K19" s="945">
        <f>+F19/E19/12</f>
        <v>2.9970760233918124E-3</v>
      </c>
      <c r="L19" s="783">
        <f>-I19*G19</f>
        <v>5.7000000000000002E-2</v>
      </c>
      <c r="M19" s="784">
        <f>+K19+L19</f>
        <v>5.9997076023391813E-2</v>
      </c>
      <c r="O19" s="946">
        <f>+(D19-M19)/-G19</f>
        <v>-6.1557402277581228E-7</v>
      </c>
      <c r="P19" s="946">
        <f>-O19*G19</f>
        <v>2.9239766081851082E-6</v>
      </c>
      <c r="Q19" s="946">
        <f>+M19+P19</f>
        <v>0.06</v>
      </c>
      <c r="R19" s="803" t="s">
        <v>0</v>
      </c>
      <c r="S19" s="947">
        <f>+C19*D19</f>
        <v>0.03</v>
      </c>
      <c r="T19" s="594">
        <f>+C19*G19</f>
        <v>2.375</v>
      </c>
      <c r="U19" s="801">
        <f>+C19*K19</f>
        <v>1.4985380116959062E-3</v>
      </c>
      <c r="V19" s="801">
        <f>+C19*L19</f>
        <v>2.8500000000000001E-2</v>
      </c>
      <c r="W19" s="801">
        <f>+C19*M19</f>
        <v>2.9998538011695906E-2</v>
      </c>
      <c r="X19" s="850">
        <f>+C19*Q19</f>
        <v>0.03</v>
      </c>
      <c r="AX19" s="556">
        <v>4</v>
      </c>
      <c r="AY19" s="803">
        <v>1.2500000000000001E-2</v>
      </c>
    </row>
    <row r="20" spans="2:51" x14ac:dyDescent="0.2">
      <c r="B20" s="818"/>
      <c r="C20" s="588"/>
      <c r="D20" s="569"/>
      <c r="E20" s="569"/>
      <c r="F20" s="569"/>
      <c r="G20" s="587"/>
      <c r="I20" s="818"/>
      <c r="K20" s="687"/>
      <c r="L20" s="771"/>
      <c r="M20" s="688"/>
      <c r="O20" s="942"/>
      <c r="P20" s="942"/>
      <c r="Q20" s="942"/>
      <c r="S20" s="593"/>
      <c r="T20" s="594"/>
      <c r="U20" s="594"/>
      <c r="V20" s="594"/>
      <c r="W20" s="594"/>
      <c r="X20" s="638"/>
      <c r="AX20" s="556">
        <v>4.25</v>
      </c>
      <c r="AY20" s="803">
        <v>1.2500000000000001E-2</v>
      </c>
    </row>
    <row r="21" spans="2:51" x14ac:dyDescent="0.2">
      <c r="B21" s="818" t="s">
        <v>792</v>
      </c>
      <c r="C21" s="588">
        <v>0.4</v>
      </c>
      <c r="D21" s="943">
        <v>0.08</v>
      </c>
      <c r="E21" s="569">
        <v>100.1</v>
      </c>
      <c r="F21" s="569">
        <v>6.8</v>
      </c>
      <c r="G21" s="587">
        <v>5.25</v>
      </c>
      <c r="I21" s="944">
        <v>-1.35E-2</v>
      </c>
      <c r="K21" s="945">
        <f>+F21/E21/12</f>
        <v>5.661005661005661E-3</v>
      </c>
      <c r="L21" s="783">
        <f>-I21*G21</f>
        <v>7.0874999999999994E-2</v>
      </c>
      <c r="M21" s="784">
        <f>+K21+L21</f>
        <v>7.6536005661005657E-2</v>
      </c>
      <c r="O21" s="946">
        <f>+(D21-M21)/-G21</f>
        <v>-6.5980844552273232E-4</v>
      </c>
      <c r="P21" s="946">
        <f>-O21*G21</f>
        <v>3.4639943389943445E-3</v>
      </c>
      <c r="Q21" s="946">
        <f>+M21+P21</f>
        <v>0.08</v>
      </c>
      <c r="R21" s="803" t="s">
        <v>0</v>
      </c>
      <c r="S21" s="947">
        <f>+C21*D21</f>
        <v>3.2000000000000001E-2</v>
      </c>
      <c r="T21" s="594">
        <f>+C21*G21</f>
        <v>2.1</v>
      </c>
      <c r="U21" s="801">
        <f>+C21*K21</f>
        <v>2.2644022644022644E-3</v>
      </c>
      <c r="V21" s="801">
        <f>+C21*L21</f>
        <v>2.835E-2</v>
      </c>
      <c r="W21" s="801">
        <f>+C21*M21</f>
        <v>3.0614402264402263E-2</v>
      </c>
      <c r="X21" s="850">
        <f>+C21*Q21</f>
        <v>3.2000000000000001E-2</v>
      </c>
      <c r="AX21" s="556">
        <v>4.5</v>
      </c>
      <c r="AY21" s="803">
        <v>1.2500000000000001E-2</v>
      </c>
    </row>
    <row r="22" spans="2:51" x14ac:dyDescent="0.2">
      <c r="B22" s="818"/>
      <c r="C22" s="588"/>
      <c r="D22" s="569"/>
      <c r="E22" s="569"/>
      <c r="F22" s="569"/>
      <c r="G22" s="587"/>
      <c r="I22" s="818"/>
      <c r="K22" s="687"/>
      <c r="L22" s="771"/>
      <c r="M22" s="688"/>
      <c r="O22" s="942"/>
      <c r="P22" s="942"/>
      <c r="Q22" s="942"/>
      <c r="S22" s="593"/>
      <c r="T22" s="594"/>
      <c r="U22" s="594"/>
      <c r="V22" s="594"/>
      <c r="W22" s="594"/>
      <c r="X22" s="638"/>
      <c r="AX22" s="556">
        <v>4.75</v>
      </c>
      <c r="AY22" s="803">
        <v>1.2500000000000001E-2</v>
      </c>
    </row>
    <row r="23" spans="2:51" x14ac:dyDescent="0.2">
      <c r="B23" s="818" t="s">
        <v>793</v>
      </c>
      <c r="C23" s="588">
        <v>0.1</v>
      </c>
      <c r="D23" s="943">
        <v>0.05</v>
      </c>
      <c r="E23" s="569">
        <v>98.6</v>
      </c>
      <c r="F23" s="569">
        <v>8.4</v>
      </c>
      <c r="G23" s="590">
        <v>4</v>
      </c>
      <c r="I23" s="944">
        <v>-1.0500000000000001E-2</v>
      </c>
      <c r="K23" s="945">
        <f>+F23/E23/12</f>
        <v>7.0993914807302239E-3</v>
      </c>
      <c r="L23" s="783">
        <f>-I23*G23</f>
        <v>4.2000000000000003E-2</v>
      </c>
      <c r="M23" s="784">
        <f>+K23+L23</f>
        <v>4.9099391480730226E-2</v>
      </c>
      <c r="O23" s="946">
        <f>+(D23-M23)/-G23</f>
        <v>-2.2515212981744429E-4</v>
      </c>
      <c r="P23" s="946">
        <f>-O23*G23</f>
        <v>9.0060851926977714E-4</v>
      </c>
      <c r="Q23" s="946">
        <f>+M23+P23</f>
        <v>0.05</v>
      </c>
      <c r="R23" s="803" t="s">
        <v>0</v>
      </c>
      <c r="S23" s="947">
        <f>+C23*D23</f>
        <v>5.000000000000001E-3</v>
      </c>
      <c r="T23" s="594">
        <f>+C23*G23</f>
        <v>0.4</v>
      </c>
      <c r="U23" s="801">
        <f>+C23*K23</f>
        <v>7.0993914807302241E-4</v>
      </c>
      <c r="V23" s="801">
        <f>+C23*L23</f>
        <v>4.2000000000000006E-3</v>
      </c>
      <c r="W23" s="801">
        <f>+C23*M23</f>
        <v>4.9099391480730229E-3</v>
      </c>
      <c r="X23" s="850">
        <f>+C23*Q23</f>
        <v>5.000000000000001E-3</v>
      </c>
      <c r="AX23" s="556">
        <v>5</v>
      </c>
      <c r="AY23" s="803">
        <v>1.2500000000000001E-2</v>
      </c>
    </row>
    <row r="24" spans="2:51" x14ac:dyDescent="0.2">
      <c r="B24" s="818"/>
      <c r="C24" s="569"/>
      <c r="D24" s="569"/>
      <c r="E24" s="569"/>
      <c r="F24" s="569"/>
      <c r="G24" s="587"/>
      <c r="I24" s="818"/>
      <c r="K24" s="687"/>
      <c r="L24" s="771"/>
      <c r="M24" s="688"/>
      <c r="O24" s="942" t="s">
        <v>0</v>
      </c>
      <c r="P24" s="688"/>
      <c r="Q24" s="942"/>
      <c r="S24" s="593"/>
      <c r="T24" s="594"/>
      <c r="U24" s="594"/>
      <c r="V24" s="594"/>
      <c r="W24" s="594"/>
      <c r="X24" s="638"/>
      <c r="AX24" s="556">
        <v>5.25</v>
      </c>
      <c r="AY24" s="803">
        <v>1.2500000000000001E-2</v>
      </c>
    </row>
    <row r="25" spans="2:51" ht="13.5" thickBot="1" x14ac:dyDescent="0.25">
      <c r="B25" s="949" t="s">
        <v>16</v>
      </c>
      <c r="C25" s="596">
        <f>SUM(C19:C23)</f>
        <v>1</v>
      </c>
      <c r="D25" s="950">
        <f>+S25</f>
        <v>6.7000000000000004E-2</v>
      </c>
      <c r="E25" s="775"/>
      <c r="F25" s="775"/>
      <c r="G25" s="599">
        <f>+T25</f>
        <v>4.875</v>
      </c>
      <c r="I25" s="951">
        <f>-L25/G25</f>
        <v>-1.2523076923076923E-2</v>
      </c>
      <c r="K25" s="952">
        <f>+U25</f>
        <v>4.4728794241711929E-3</v>
      </c>
      <c r="L25" s="953">
        <f>+V25</f>
        <v>6.105E-2</v>
      </c>
      <c r="M25" s="802">
        <f>+W25</f>
        <v>6.552287942417119E-2</v>
      </c>
      <c r="O25" s="954">
        <f>+(D25-M25)/-G25</f>
        <v>-3.0299909247770537E-4</v>
      </c>
      <c r="P25" s="802">
        <f>+D25-M25</f>
        <v>1.4771205758288136E-3</v>
      </c>
      <c r="Q25" s="954">
        <f>+M25+P25</f>
        <v>6.7000000000000004E-2</v>
      </c>
      <c r="R25" s="803" t="s">
        <v>0</v>
      </c>
      <c r="S25" s="955">
        <f>SUM(S18:S23)</f>
        <v>6.7000000000000004E-2</v>
      </c>
      <c r="T25" s="956">
        <f>SUM(T18:T23)</f>
        <v>4.875</v>
      </c>
      <c r="U25" s="957">
        <f>SUM(U18:U23)</f>
        <v>4.4728794241711929E-3</v>
      </c>
      <c r="V25" s="957">
        <f>SUM(V18:V23)</f>
        <v>6.105E-2</v>
      </c>
      <c r="W25" s="957">
        <f>SUM(W18:W23)</f>
        <v>6.552287942417119E-2</v>
      </c>
      <c r="X25" s="958">
        <f>SUM(X19:X23)</f>
        <v>6.7000000000000004E-2</v>
      </c>
      <c r="AX25" s="556">
        <v>5.5</v>
      </c>
      <c r="AY25" s="803">
        <v>1.2E-2</v>
      </c>
    </row>
    <row r="26" spans="2:51" x14ac:dyDescent="0.2">
      <c r="AX26" s="556">
        <v>5.75</v>
      </c>
      <c r="AY26" s="803">
        <v>1.2E-2</v>
      </c>
    </row>
    <row r="27" spans="2:51" x14ac:dyDescent="0.2">
      <c r="L27" s="556" t="s">
        <v>0</v>
      </c>
      <c r="M27" s="803" t="s">
        <v>0</v>
      </c>
      <c r="AX27" s="556">
        <v>6</v>
      </c>
      <c r="AY27" s="803">
        <v>1.1000000000000001E-2</v>
      </c>
    </row>
    <row r="28" spans="2:51" x14ac:dyDescent="0.2">
      <c r="AX28" s="556">
        <v>6.25</v>
      </c>
      <c r="AY28" s="803">
        <v>1.1000000000000001E-2</v>
      </c>
    </row>
    <row r="29" spans="2:51" x14ac:dyDescent="0.2">
      <c r="L29" s="803" t="s">
        <v>0</v>
      </c>
      <c r="AX29" s="556">
        <v>6.5</v>
      </c>
      <c r="AY29" s="803">
        <v>1.1000000000000001E-2</v>
      </c>
    </row>
    <row r="30" spans="2:51" x14ac:dyDescent="0.2">
      <c r="AX30" s="556">
        <v>6.75</v>
      </c>
      <c r="AY30" s="803">
        <v>0.01</v>
      </c>
    </row>
    <row r="31" spans="2:51" ht="13.5" thickBot="1" x14ac:dyDescent="0.25">
      <c r="AX31" s="556">
        <v>7</v>
      </c>
      <c r="AY31" s="803">
        <v>0.01</v>
      </c>
    </row>
    <row r="32" spans="2:51" x14ac:dyDescent="0.2">
      <c r="B32" s="960" t="s">
        <v>7</v>
      </c>
      <c r="C32" s="961" t="s">
        <v>1</v>
      </c>
      <c r="D32" s="961" t="s">
        <v>15</v>
      </c>
      <c r="E32" s="960" t="s">
        <v>71</v>
      </c>
      <c r="J32" s="962" t="s">
        <v>1164</v>
      </c>
      <c r="K32" s="961" t="s">
        <v>1</v>
      </c>
      <c r="L32" s="961" t="s">
        <v>15</v>
      </c>
      <c r="M32" s="960" t="s">
        <v>71</v>
      </c>
      <c r="AX32" s="556">
        <v>7.25</v>
      </c>
      <c r="AY32" s="803">
        <v>0.01</v>
      </c>
    </row>
    <row r="33" spans="2:51" ht="13.5" thickBot="1" x14ac:dyDescent="0.25">
      <c r="B33" s="963" t="s">
        <v>788</v>
      </c>
      <c r="C33" s="964"/>
      <c r="D33" s="964"/>
      <c r="E33" s="963"/>
      <c r="J33" s="965"/>
      <c r="K33" s="964"/>
      <c r="L33" s="964"/>
      <c r="M33" s="963"/>
      <c r="AX33" s="556">
        <v>7.5</v>
      </c>
      <c r="AY33" s="803">
        <v>8.9999999999999993E-3</v>
      </c>
    </row>
    <row r="34" spans="2:51" x14ac:dyDescent="0.2">
      <c r="B34" s="966"/>
      <c r="C34" s="609"/>
      <c r="D34" s="609"/>
      <c r="E34" s="966"/>
      <c r="J34" s="572"/>
      <c r="K34" s="609"/>
      <c r="L34" s="609"/>
      <c r="M34" s="966"/>
      <c r="AX34" s="556">
        <v>8</v>
      </c>
      <c r="AY34" s="803">
        <v>8.9999999999999993E-3</v>
      </c>
    </row>
    <row r="35" spans="2:51" x14ac:dyDescent="0.2">
      <c r="B35" s="967" t="s">
        <v>796</v>
      </c>
      <c r="C35" s="968">
        <f>+D14</f>
        <v>4.8999999999999995E-2</v>
      </c>
      <c r="D35" s="968">
        <f>+D25</f>
        <v>6.7000000000000004E-2</v>
      </c>
      <c r="E35" s="969">
        <f>+C35-D35</f>
        <v>-1.8000000000000009E-2</v>
      </c>
      <c r="J35" s="970" t="s">
        <v>796</v>
      </c>
      <c r="K35" s="968">
        <f>+D14</f>
        <v>4.8999999999999995E-2</v>
      </c>
      <c r="L35" s="968">
        <f>+D25</f>
        <v>6.7000000000000004E-2</v>
      </c>
      <c r="M35" s="969">
        <f>+K35-L35</f>
        <v>-1.8000000000000009E-2</v>
      </c>
      <c r="AX35" s="556">
        <v>8.25</v>
      </c>
      <c r="AY35" s="803">
        <v>8.5000000000000006E-3</v>
      </c>
    </row>
    <row r="36" spans="2:51" x14ac:dyDescent="0.2">
      <c r="B36" s="966"/>
      <c r="C36" s="609"/>
      <c r="D36" s="609"/>
      <c r="E36" s="966"/>
      <c r="J36" s="572"/>
      <c r="K36" s="609"/>
      <c r="L36" s="609"/>
      <c r="M36" s="966"/>
      <c r="AX36" s="556">
        <v>8.5</v>
      </c>
      <c r="AY36" s="803">
        <v>8.5000000000000006E-3</v>
      </c>
    </row>
    <row r="37" spans="2:51" x14ac:dyDescent="0.2">
      <c r="B37" s="966" t="s">
        <v>797</v>
      </c>
      <c r="C37" s="663">
        <f>+K14</f>
        <v>5.2329652690197423E-3</v>
      </c>
      <c r="D37" s="663">
        <f>+K25</f>
        <v>4.4728794241711929E-3</v>
      </c>
      <c r="E37" s="971">
        <f>+C37-D37</f>
        <v>7.6008584484854938E-4</v>
      </c>
      <c r="J37" s="572" t="s">
        <v>797</v>
      </c>
      <c r="K37" s="663">
        <f>+K14</f>
        <v>5.2329652690197423E-3</v>
      </c>
      <c r="L37" s="663">
        <f>K25</f>
        <v>4.4728794241711929E-3</v>
      </c>
      <c r="M37" s="971">
        <f>+K37-L37</f>
        <v>7.6008584484854938E-4</v>
      </c>
      <c r="AX37" s="556">
        <v>8.75</v>
      </c>
      <c r="AY37" s="803">
        <v>8.0000000000000002E-3</v>
      </c>
    </row>
    <row r="38" spans="2:51" x14ac:dyDescent="0.2">
      <c r="B38" s="966"/>
      <c r="C38" s="609"/>
      <c r="D38" s="609"/>
      <c r="E38" s="966"/>
      <c r="J38" s="572"/>
      <c r="K38" s="609"/>
      <c r="L38" s="609"/>
      <c r="M38" s="966"/>
      <c r="AX38" s="556">
        <v>9</v>
      </c>
      <c r="AY38" s="803">
        <v>8.0000000000000002E-3</v>
      </c>
    </row>
    <row r="39" spans="2:51" x14ac:dyDescent="0.2">
      <c r="B39" s="966" t="s">
        <v>798</v>
      </c>
      <c r="C39" s="663">
        <f>+L14</f>
        <v>4.1895000000000002E-2</v>
      </c>
      <c r="D39" s="663">
        <f>+L25</f>
        <v>6.105E-2</v>
      </c>
      <c r="E39" s="971">
        <f>+C39-D39</f>
        <v>-1.9154999999999998E-2</v>
      </c>
      <c r="J39" s="572" t="s">
        <v>798</v>
      </c>
      <c r="K39" s="663">
        <f>+L14</f>
        <v>4.1895000000000002E-2</v>
      </c>
      <c r="L39" s="663">
        <f>+L25</f>
        <v>6.105E-2</v>
      </c>
      <c r="M39" s="971">
        <f>+K39-L39</f>
        <v>-1.9154999999999998E-2</v>
      </c>
      <c r="AX39" s="556">
        <v>9.25</v>
      </c>
      <c r="AY39" s="803">
        <v>7.4999999999999997E-3</v>
      </c>
    </row>
    <row r="40" spans="2:51" x14ac:dyDescent="0.2">
      <c r="B40" s="966"/>
      <c r="C40" s="609"/>
      <c r="D40" s="609"/>
      <c r="E40" s="966"/>
      <c r="J40" s="572"/>
      <c r="K40" s="609"/>
      <c r="L40" s="609"/>
      <c r="M40" s="966"/>
      <c r="AX40" s="556">
        <v>9.5</v>
      </c>
      <c r="AY40" s="803">
        <v>7.4999999999999997E-3</v>
      </c>
    </row>
    <row r="41" spans="2:51" x14ac:dyDescent="0.2">
      <c r="B41" s="966" t="s">
        <v>799</v>
      </c>
      <c r="C41" s="663">
        <f>+P14</f>
        <v>1.1923014288997707E-3</v>
      </c>
      <c r="D41" s="663">
        <f>+P25</f>
        <v>1.4771205758288136E-3</v>
      </c>
      <c r="E41" s="971">
        <f>+C41-D41</f>
        <v>-2.8481914692904289E-4</v>
      </c>
      <c r="J41" s="572" t="s">
        <v>788</v>
      </c>
      <c r="K41" s="663">
        <f>+O14</f>
        <v>1.6897596815770822E-3</v>
      </c>
      <c r="L41" s="663">
        <f>+P25</f>
        <v>1.4771205758288136E-3</v>
      </c>
      <c r="M41" s="971">
        <f>+K41-L41</f>
        <v>2.1263910574826858E-4</v>
      </c>
      <c r="AX41" s="556">
        <v>9.75</v>
      </c>
      <c r="AY41" s="803">
        <v>7.4999999999999997E-3</v>
      </c>
    </row>
    <row r="42" spans="2:51" x14ac:dyDescent="0.2">
      <c r="B42" s="966"/>
      <c r="C42" s="609"/>
      <c r="D42" s="609"/>
      <c r="E42" s="966"/>
      <c r="J42" s="572"/>
      <c r="K42" s="609"/>
      <c r="L42" s="609"/>
      <c r="M42" s="966"/>
      <c r="AX42" s="556">
        <v>10</v>
      </c>
      <c r="AY42" s="803">
        <v>7.4999999999999997E-3</v>
      </c>
    </row>
    <row r="43" spans="2:51" x14ac:dyDescent="0.2">
      <c r="B43" s="966" t="s">
        <v>484</v>
      </c>
      <c r="C43" s="663">
        <f>+C35-C37-C39-C41</f>
        <v>6.7973330208047941E-4</v>
      </c>
      <c r="D43" s="636" t="s">
        <v>747</v>
      </c>
      <c r="E43" s="971">
        <f>+C43</f>
        <v>6.7973330208047941E-4</v>
      </c>
      <c r="J43" s="572" t="s">
        <v>484</v>
      </c>
      <c r="K43" s="663">
        <f>+K35-K37-K39-K41</f>
        <v>1.8227504940316794E-4</v>
      </c>
      <c r="L43" s="636" t="s">
        <v>747</v>
      </c>
      <c r="M43" s="971">
        <f>+K43</f>
        <v>1.8227504940316794E-4</v>
      </c>
    </row>
    <row r="44" spans="2:51" x14ac:dyDescent="0.2">
      <c r="B44" s="966"/>
      <c r="C44" s="609"/>
      <c r="D44" s="609"/>
      <c r="E44" s="966"/>
      <c r="J44" s="572"/>
      <c r="K44" s="609"/>
      <c r="L44" s="609"/>
      <c r="M44" s="966"/>
    </row>
    <row r="45" spans="2:51" ht="13.5" thickBot="1" x14ac:dyDescent="0.25">
      <c r="B45" s="972" t="s">
        <v>141</v>
      </c>
      <c r="C45" s="614"/>
      <c r="D45" s="614"/>
      <c r="E45" s="973">
        <f>+E35-E37-E39-E41-E43</f>
        <v>3.4694469519536142E-18</v>
      </c>
      <c r="J45" s="613" t="s">
        <v>141</v>
      </c>
      <c r="K45" s="614"/>
      <c r="L45" s="614"/>
      <c r="M45" s="973">
        <f>+M35-M37-M39-M41-M43</f>
        <v>3.4694469519536142E-18</v>
      </c>
    </row>
    <row r="49" spans="2:10" ht="20.25" x14ac:dyDescent="0.3">
      <c r="B49" s="555" t="s">
        <v>802</v>
      </c>
    </row>
    <row r="51" spans="2:10" ht="13.5" thickBot="1" x14ac:dyDescent="0.25"/>
    <row r="52" spans="2:10" x14ac:dyDescent="0.2">
      <c r="B52" s="924" t="s">
        <v>761</v>
      </c>
      <c r="C52" s="681" t="s">
        <v>1</v>
      </c>
      <c r="D52" s="559" t="s">
        <v>15</v>
      </c>
      <c r="E52" s="559" t="s">
        <v>1</v>
      </c>
      <c r="F52" s="667" t="s">
        <v>15</v>
      </c>
      <c r="H52" s="562" t="s">
        <v>483</v>
      </c>
      <c r="I52" s="563" t="s">
        <v>484</v>
      </c>
      <c r="J52" s="556" t="s">
        <v>0</v>
      </c>
    </row>
    <row r="53" spans="2:10" ht="13.5" thickBot="1" x14ac:dyDescent="0.25">
      <c r="B53" s="974" t="s">
        <v>800</v>
      </c>
      <c r="C53" s="712" t="s">
        <v>328</v>
      </c>
      <c r="D53" s="775" t="s">
        <v>328</v>
      </c>
      <c r="E53" s="775" t="s">
        <v>3</v>
      </c>
      <c r="F53" s="713" t="s">
        <v>3</v>
      </c>
      <c r="H53" s="613"/>
      <c r="I53" s="696"/>
    </row>
    <row r="54" spans="2:10" x14ac:dyDescent="0.2">
      <c r="B54" s="818"/>
      <c r="C54" s="686"/>
      <c r="D54" s="569"/>
      <c r="E54" s="569"/>
      <c r="F54" s="587"/>
      <c r="H54" s="572"/>
      <c r="I54" s="573"/>
    </row>
    <row r="55" spans="2:10" x14ac:dyDescent="0.2">
      <c r="B55" s="818" t="s">
        <v>791</v>
      </c>
      <c r="C55" s="975">
        <f>+C8</f>
        <v>0.2</v>
      </c>
      <c r="D55" s="588">
        <f>+C19</f>
        <v>0.5</v>
      </c>
      <c r="E55" s="943">
        <f>+D8</f>
        <v>0.06</v>
      </c>
      <c r="F55" s="976">
        <f>+D19</f>
        <v>0.06</v>
      </c>
      <c r="H55" s="591">
        <f>+(C55-D55)*(F55-F$61)</f>
        <v>2.1000000000000016E-3</v>
      </c>
      <c r="I55" s="592">
        <f>+C55*(E55-F55)</f>
        <v>0</v>
      </c>
    </row>
    <row r="56" spans="2:10" x14ac:dyDescent="0.2">
      <c r="B56" s="818"/>
      <c r="C56" s="686"/>
      <c r="D56" s="569"/>
      <c r="E56" s="569"/>
      <c r="F56" s="587"/>
      <c r="H56" s="572"/>
      <c r="I56" s="573"/>
    </row>
    <row r="57" spans="2:10" x14ac:dyDescent="0.2">
      <c r="B57" s="818" t="s">
        <v>792</v>
      </c>
      <c r="C57" s="975">
        <f>+C10</f>
        <v>0.65</v>
      </c>
      <c r="D57" s="588">
        <f>+C21</f>
        <v>0.4</v>
      </c>
      <c r="E57" s="943">
        <f>+D10</f>
        <v>4.3999999999999997E-2</v>
      </c>
      <c r="F57" s="976">
        <f>+D21</f>
        <v>0.08</v>
      </c>
      <c r="H57" s="591">
        <f>+(C57-D57)*(F57-F$61)</f>
        <v>3.2499999999999994E-3</v>
      </c>
      <c r="I57" s="592">
        <f>+C57*(E57-F57)</f>
        <v>-2.3400000000000004E-2</v>
      </c>
    </row>
    <row r="58" spans="2:10" x14ac:dyDescent="0.2">
      <c r="B58" s="818"/>
      <c r="C58" s="686"/>
      <c r="D58" s="569"/>
      <c r="E58" s="569"/>
      <c r="F58" s="587"/>
      <c r="H58" s="572"/>
      <c r="I58" s="573"/>
    </row>
    <row r="59" spans="2:10" x14ac:dyDescent="0.2">
      <c r="B59" s="818" t="s">
        <v>793</v>
      </c>
      <c r="C59" s="975">
        <f>+C12</f>
        <v>0.15</v>
      </c>
      <c r="D59" s="588">
        <f>+C23</f>
        <v>0.1</v>
      </c>
      <c r="E59" s="943">
        <f>+D12</f>
        <v>5.6000000000000001E-2</v>
      </c>
      <c r="F59" s="976">
        <f>+D23</f>
        <v>0.05</v>
      </c>
      <c r="H59" s="591">
        <f>+(C59-D59)*(F59-F$61)</f>
        <v>-8.4999999999999984E-4</v>
      </c>
      <c r="I59" s="592">
        <f>+C59*(E59-F59)</f>
        <v>8.9999999999999976E-4</v>
      </c>
    </row>
    <row r="60" spans="2:10" x14ac:dyDescent="0.2">
      <c r="B60" s="818"/>
      <c r="C60" s="686"/>
      <c r="D60" s="569"/>
      <c r="E60" s="569"/>
      <c r="F60" s="587"/>
      <c r="H60" s="572"/>
      <c r="I60" s="573"/>
    </row>
    <row r="61" spans="2:10" ht="13.5" thickBot="1" x14ac:dyDescent="0.25">
      <c r="B61" s="949" t="s">
        <v>16</v>
      </c>
      <c r="C61" s="977">
        <f>+C14</f>
        <v>1</v>
      </c>
      <c r="D61" s="596">
        <f>+C25</f>
        <v>1</v>
      </c>
      <c r="E61" s="950">
        <f>+D14</f>
        <v>4.8999999999999995E-2</v>
      </c>
      <c r="F61" s="978">
        <f>+D25</f>
        <v>6.7000000000000004E-2</v>
      </c>
      <c r="H61" s="601">
        <f>SUM(H55:H59)</f>
        <v>4.5000000000000005E-3</v>
      </c>
      <c r="I61" s="602">
        <f>SUM(I55:I59)</f>
        <v>-2.2500000000000006E-2</v>
      </c>
    </row>
    <row r="62" spans="2:10" ht="13.5" thickBot="1" x14ac:dyDescent="0.25"/>
    <row r="63" spans="2:10" x14ac:dyDescent="0.2">
      <c r="H63" s="979" t="s">
        <v>71</v>
      </c>
      <c r="I63" s="980">
        <f>+E61-F61</f>
        <v>-1.8000000000000009E-2</v>
      </c>
    </row>
    <row r="64" spans="2:10" x14ac:dyDescent="0.2">
      <c r="H64" s="572" t="s">
        <v>483</v>
      </c>
      <c r="I64" s="592">
        <f>+H61</f>
        <v>4.5000000000000005E-3</v>
      </c>
    </row>
    <row r="65" spans="8:9" x14ac:dyDescent="0.2">
      <c r="H65" s="572" t="s">
        <v>484</v>
      </c>
      <c r="I65" s="592">
        <f>+I61</f>
        <v>-2.2500000000000006E-2</v>
      </c>
    </row>
    <row r="66" spans="8:9" ht="13.5" thickBot="1" x14ac:dyDescent="0.25">
      <c r="H66" s="613" t="s">
        <v>141</v>
      </c>
      <c r="I66" s="615">
        <f>+I63-I64-I65</f>
        <v>0</v>
      </c>
    </row>
    <row r="81" spans="2:24" ht="13.5" thickBot="1" x14ac:dyDescent="0.25"/>
    <row r="82" spans="2:24" x14ac:dyDescent="0.2">
      <c r="B82" s="924" t="s">
        <v>1</v>
      </c>
      <c r="C82" s="558" t="s">
        <v>328</v>
      </c>
      <c r="D82" s="928" t="s">
        <v>3</v>
      </c>
      <c r="E82" s="558" t="s">
        <v>782</v>
      </c>
      <c r="F82" s="558" t="s">
        <v>111</v>
      </c>
      <c r="G82" s="561" t="s">
        <v>198</v>
      </c>
      <c r="H82" s="925"/>
      <c r="I82" s="926" t="s">
        <v>368</v>
      </c>
      <c r="J82" s="926" t="s">
        <v>484</v>
      </c>
      <c r="K82" s="927" t="s">
        <v>329</v>
      </c>
      <c r="L82" s="928" t="s">
        <v>783</v>
      </c>
      <c r="M82" s="929" t="s">
        <v>784</v>
      </c>
      <c r="N82" s="925"/>
      <c r="O82" s="930" t="s">
        <v>549</v>
      </c>
      <c r="P82" s="930" t="s">
        <v>7</v>
      </c>
      <c r="Q82" s="930"/>
      <c r="R82" s="930" t="s">
        <v>788</v>
      </c>
      <c r="S82" s="564" t="s">
        <v>758</v>
      </c>
      <c r="T82" s="565" t="s">
        <v>786</v>
      </c>
      <c r="U82" s="565" t="s">
        <v>758</v>
      </c>
      <c r="V82" s="565" t="s">
        <v>758</v>
      </c>
      <c r="W82" s="931" t="s">
        <v>758</v>
      </c>
      <c r="X82" s="575"/>
    </row>
    <row r="83" spans="2:24" ht="13.5" thickBot="1" x14ac:dyDescent="0.25">
      <c r="B83" s="934"/>
      <c r="C83" s="935" t="s">
        <v>0</v>
      </c>
      <c r="D83" s="938" t="s">
        <v>0</v>
      </c>
      <c r="E83" s="935" t="s">
        <v>5</v>
      </c>
      <c r="F83" s="935"/>
      <c r="G83" s="936"/>
      <c r="H83" s="925"/>
      <c r="I83" s="934" t="s">
        <v>763</v>
      </c>
      <c r="J83" s="934" t="s">
        <v>795</v>
      </c>
      <c r="K83" s="937" t="s">
        <v>3</v>
      </c>
      <c r="L83" s="938" t="s">
        <v>3</v>
      </c>
      <c r="M83" s="939" t="s">
        <v>783</v>
      </c>
      <c r="N83" s="925"/>
      <c r="O83" s="940" t="s">
        <v>788</v>
      </c>
      <c r="P83" s="940" t="s">
        <v>788</v>
      </c>
      <c r="Q83" s="940"/>
      <c r="R83" s="940" t="s">
        <v>795</v>
      </c>
      <c r="S83" s="981" t="s">
        <v>1</v>
      </c>
      <c r="T83" s="982" t="s">
        <v>198</v>
      </c>
      <c r="U83" s="982" t="s">
        <v>329</v>
      </c>
      <c r="V83" s="982" t="s">
        <v>783</v>
      </c>
      <c r="W83" s="983" t="s">
        <v>789</v>
      </c>
      <c r="X83" s="575"/>
    </row>
    <row r="84" spans="2:24" x14ac:dyDescent="0.2">
      <c r="B84" s="818"/>
      <c r="C84" s="569"/>
      <c r="D84" s="771"/>
      <c r="E84" s="569"/>
      <c r="F84" s="569"/>
      <c r="G84" s="587"/>
      <c r="I84" s="816"/>
      <c r="J84" s="818"/>
      <c r="K84" s="687"/>
      <c r="L84" s="771"/>
      <c r="M84" s="688"/>
      <c r="O84" s="942"/>
      <c r="P84" s="942"/>
      <c r="Q84" s="942"/>
      <c r="R84" s="942"/>
      <c r="S84" s="593"/>
      <c r="T84" s="594"/>
      <c r="U84" s="594"/>
      <c r="V84" s="594"/>
      <c r="W84" s="638"/>
      <c r="X84" s="594"/>
    </row>
    <row r="85" spans="2:24" x14ac:dyDescent="0.2">
      <c r="B85" s="818" t="s">
        <v>791</v>
      </c>
      <c r="C85" s="588" t="s">
        <v>0</v>
      </c>
      <c r="D85" s="783" t="e">
        <f>+M85+J85+R85</f>
        <v>#VALUE!</v>
      </c>
      <c r="E85" s="569">
        <v>115.3</v>
      </c>
      <c r="F85" s="569">
        <v>4.2</v>
      </c>
      <c r="G85" s="587" t="s">
        <v>0</v>
      </c>
      <c r="I85" s="944" t="s">
        <v>0</v>
      </c>
      <c r="J85" s="944" t="s">
        <v>0</v>
      </c>
      <c r="K85" s="945">
        <f>+F85/E85/12</f>
        <v>3.0355594102341719E-3</v>
      </c>
      <c r="L85" s="783" t="e">
        <f>-I85*G85</f>
        <v>#VALUE!</v>
      </c>
      <c r="M85" s="784" t="e">
        <f>+K85+L85</f>
        <v>#VALUE!</v>
      </c>
      <c r="O85" s="946" t="e">
        <f>-O96*C85*G85</f>
        <v>#VALUE!</v>
      </c>
      <c r="P85" s="942"/>
      <c r="Q85" s="942"/>
      <c r="R85" s="942" t="e">
        <f>-O96*G85</f>
        <v>#VALUE!</v>
      </c>
      <c r="S85" s="947" t="e">
        <f>+C85*D85</f>
        <v>#VALUE!</v>
      </c>
      <c r="T85" s="594" t="e">
        <f>+C85*G85</f>
        <v>#VALUE!</v>
      </c>
      <c r="U85" s="801" t="e">
        <f>+C85*K85</f>
        <v>#VALUE!</v>
      </c>
      <c r="V85" s="801" t="e">
        <f>+C85*L85</f>
        <v>#VALUE!</v>
      </c>
      <c r="W85" s="850" t="e">
        <f>+C85*M85</f>
        <v>#VALUE!</v>
      </c>
      <c r="X85" s="801"/>
    </row>
    <row r="86" spans="2:24" x14ac:dyDescent="0.2">
      <c r="B86" s="818"/>
      <c r="C86" s="588"/>
      <c r="D86" s="771"/>
      <c r="E86" s="569"/>
      <c r="F86" s="569"/>
      <c r="G86" s="587"/>
      <c r="I86" s="818"/>
      <c r="J86" s="944"/>
      <c r="K86" s="687"/>
      <c r="L86" s="771"/>
      <c r="M86" s="688"/>
      <c r="O86" s="942"/>
      <c r="P86" s="942"/>
      <c r="Q86" s="942"/>
      <c r="R86" s="942"/>
      <c r="S86" s="593"/>
      <c r="T86" s="594"/>
      <c r="U86" s="594"/>
      <c r="V86" s="594"/>
      <c r="W86" s="638"/>
      <c r="X86" s="594"/>
    </row>
    <row r="87" spans="2:24" x14ac:dyDescent="0.2">
      <c r="B87" s="818" t="s">
        <v>792</v>
      </c>
      <c r="C87" s="588" t="s">
        <v>0</v>
      </c>
      <c r="D87" s="783" t="e">
        <f>+M87+J87+R87</f>
        <v>#VALUE!</v>
      </c>
      <c r="E87" s="569">
        <v>98.7</v>
      </c>
      <c r="F87" s="569">
        <v>6.7</v>
      </c>
      <c r="G87" s="587" t="s">
        <v>0</v>
      </c>
      <c r="I87" s="948" t="s">
        <v>0</v>
      </c>
      <c r="J87" s="944" t="s">
        <v>99</v>
      </c>
      <c r="K87" s="945">
        <f>+F87/E87/12</f>
        <v>5.656872678149274E-3</v>
      </c>
      <c r="L87" s="783" t="e">
        <f>-I87*G87</f>
        <v>#VALUE!</v>
      </c>
      <c r="M87" s="784" t="e">
        <f>+K87+L87</f>
        <v>#VALUE!</v>
      </c>
      <c r="O87" s="946" t="e">
        <f>-O98*C87*G87</f>
        <v>#VALUE!</v>
      </c>
      <c r="P87" s="942"/>
      <c r="Q87" s="942"/>
      <c r="R87" s="942" t="e">
        <f>-O98*G87</f>
        <v>#VALUE!</v>
      </c>
      <c r="S87" s="947" t="e">
        <f>+C87*D87</f>
        <v>#VALUE!</v>
      </c>
      <c r="T87" s="594" t="e">
        <f>+C87*G87</f>
        <v>#VALUE!</v>
      </c>
      <c r="U87" s="801" t="e">
        <f>+C87*K87</f>
        <v>#VALUE!</v>
      </c>
      <c r="V87" s="801" t="e">
        <f>+C87*L87</f>
        <v>#VALUE!</v>
      </c>
      <c r="W87" s="850" t="e">
        <f>+C87*M87</f>
        <v>#VALUE!</v>
      </c>
      <c r="X87" s="801"/>
    </row>
    <row r="88" spans="2:24" x14ac:dyDescent="0.2">
      <c r="B88" s="818"/>
      <c r="C88" s="588"/>
      <c r="D88" s="771"/>
      <c r="E88" s="569"/>
      <c r="F88" s="569"/>
      <c r="G88" s="587"/>
      <c r="I88" s="818"/>
      <c r="J88" s="944" t="s">
        <v>0</v>
      </c>
      <c r="K88" s="687"/>
      <c r="L88" s="771"/>
      <c r="M88" s="688"/>
      <c r="O88" s="942"/>
      <c r="P88" s="942"/>
      <c r="Q88" s="942"/>
      <c r="R88" s="942"/>
      <c r="S88" s="593"/>
      <c r="T88" s="594"/>
      <c r="U88" s="594"/>
      <c r="V88" s="594"/>
      <c r="W88" s="638"/>
      <c r="X88" s="594"/>
    </row>
    <row r="89" spans="2:24" x14ac:dyDescent="0.2">
      <c r="B89" s="818" t="s">
        <v>793</v>
      </c>
      <c r="C89" s="588" t="s">
        <v>0</v>
      </c>
      <c r="D89" s="783" t="e">
        <f>+M89+J89+R89</f>
        <v>#VALUE!</v>
      </c>
      <c r="E89" s="569">
        <v>96.5</v>
      </c>
      <c r="F89" s="569">
        <v>8.3000000000000007</v>
      </c>
      <c r="G89" s="587" t="s">
        <v>0</v>
      </c>
      <c r="I89" s="944" t="s">
        <v>0</v>
      </c>
      <c r="J89" s="944" t="s">
        <v>0</v>
      </c>
      <c r="K89" s="945">
        <f>+F89/E89/12</f>
        <v>7.1675302245250436E-3</v>
      </c>
      <c r="L89" s="783" t="e">
        <f>-I89*G89</f>
        <v>#VALUE!</v>
      </c>
      <c r="M89" s="784" t="e">
        <f>+K89+L89</f>
        <v>#VALUE!</v>
      </c>
      <c r="O89" s="946" t="e">
        <f>-O100*C89*G89</f>
        <v>#VALUE!</v>
      </c>
      <c r="P89" s="942"/>
      <c r="Q89" s="942"/>
      <c r="R89" s="942" t="e">
        <f>-O100*G89</f>
        <v>#VALUE!</v>
      </c>
      <c r="S89" s="947" t="e">
        <f>+C89*D89</f>
        <v>#VALUE!</v>
      </c>
      <c r="T89" s="594" t="e">
        <f>+C89*G89</f>
        <v>#VALUE!</v>
      </c>
      <c r="U89" s="801" t="e">
        <f>+C89*K89</f>
        <v>#VALUE!</v>
      </c>
      <c r="V89" s="801" t="e">
        <f>+C89*L89</f>
        <v>#VALUE!</v>
      </c>
      <c r="W89" s="850" t="e">
        <f>+C89*M89</f>
        <v>#VALUE!</v>
      </c>
      <c r="X89" s="801"/>
    </row>
    <row r="90" spans="2:24" x14ac:dyDescent="0.2">
      <c r="B90" s="818"/>
      <c r="C90" s="569"/>
      <c r="D90" s="771"/>
      <c r="E90" s="569"/>
      <c r="F90" s="569"/>
      <c r="G90" s="587"/>
      <c r="I90" s="818"/>
      <c r="J90" s="818"/>
      <c r="K90" s="687"/>
      <c r="L90" s="771"/>
      <c r="M90" s="688"/>
      <c r="O90" s="942"/>
      <c r="P90" s="942"/>
      <c r="Q90" s="942"/>
      <c r="R90" s="942"/>
      <c r="S90" s="593"/>
      <c r="T90" s="594"/>
      <c r="U90" s="594"/>
      <c r="V90" s="594"/>
      <c r="W90" s="638"/>
      <c r="X90" s="594"/>
    </row>
    <row r="91" spans="2:24" ht="13.5" thickBot="1" x14ac:dyDescent="0.25">
      <c r="B91" s="949" t="s">
        <v>16</v>
      </c>
      <c r="C91" s="596">
        <f>SUM(C85:C89)</f>
        <v>0</v>
      </c>
      <c r="D91" s="953" t="e">
        <f>+S91</f>
        <v>#VALUE!</v>
      </c>
      <c r="E91" s="775"/>
      <c r="F91" s="775"/>
      <c r="G91" s="599" t="e">
        <f>+T91</f>
        <v>#VALUE!</v>
      </c>
      <c r="I91" s="820"/>
      <c r="J91" s="820"/>
      <c r="K91" s="952" t="e">
        <f>+U91</f>
        <v>#VALUE!</v>
      </c>
      <c r="L91" s="953" t="e">
        <f>+V91</f>
        <v>#VALUE!</v>
      </c>
      <c r="M91" s="802" t="e">
        <f>+W91</f>
        <v>#VALUE!</v>
      </c>
      <c r="O91" s="954" t="e">
        <f>SUM(O85:O89)</f>
        <v>#VALUE!</v>
      </c>
      <c r="P91" s="954" t="e">
        <f>-G91*O102</f>
        <v>#VALUE!</v>
      </c>
      <c r="Q91" s="954"/>
      <c r="R91" s="984"/>
      <c r="S91" s="955" t="e">
        <f>SUM(S84:S89)</f>
        <v>#VALUE!</v>
      </c>
      <c r="T91" s="956" t="e">
        <f>SUM(T84:T89)</f>
        <v>#VALUE!</v>
      </c>
      <c r="U91" s="957" t="e">
        <f>SUM(U84:U89)</f>
        <v>#VALUE!</v>
      </c>
      <c r="V91" s="957" t="e">
        <f>SUM(V84:V89)</f>
        <v>#VALUE!</v>
      </c>
      <c r="W91" s="958" t="e">
        <f>SUM(W84:W89)</f>
        <v>#VALUE!</v>
      </c>
      <c r="X91" s="985"/>
    </row>
    <row r="92" spans="2:24" ht="13.5" thickBot="1" x14ac:dyDescent="0.25">
      <c r="D92" s="771"/>
    </row>
    <row r="93" spans="2:24" x14ac:dyDescent="0.2">
      <c r="B93" s="924" t="s">
        <v>15</v>
      </c>
      <c r="C93" s="558" t="s">
        <v>328</v>
      </c>
      <c r="D93" s="928" t="s">
        <v>3</v>
      </c>
      <c r="E93" s="558" t="s">
        <v>782</v>
      </c>
      <c r="F93" s="558" t="s">
        <v>111</v>
      </c>
      <c r="G93" s="561" t="s">
        <v>198</v>
      </c>
      <c r="H93" s="925"/>
      <c r="I93" s="926" t="s">
        <v>368</v>
      </c>
      <c r="J93" s="926" t="s">
        <v>788</v>
      </c>
      <c r="K93" s="927" t="s">
        <v>329</v>
      </c>
      <c r="L93" s="928" t="s">
        <v>783</v>
      </c>
      <c r="M93" s="929" t="s">
        <v>784</v>
      </c>
      <c r="N93" s="925"/>
      <c r="O93" s="930" t="s">
        <v>788</v>
      </c>
      <c r="P93" s="929" t="s">
        <v>794</v>
      </c>
      <c r="Q93" s="846"/>
      <c r="R93" s="925"/>
      <c r="S93" s="564" t="s">
        <v>758</v>
      </c>
      <c r="T93" s="565" t="s">
        <v>786</v>
      </c>
      <c r="U93" s="565" t="s">
        <v>758</v>
      </c>
      <c r="V93" s="565" t="s">
        <v>758</v>
      </c>
      <c r="W93" s="931" t="s">
        <v>758</v>
      </c>
      <c r="X93" s="575"/>
    </row>
    <row r="94" spans="2:24" ht="13.5" thickBot="1" x14ac:dyDescent="0.25">
      <c r="B94" s="934"/>
      <c r="C94" s="935" t="s">
        <v>0</v>
      </c>
      <c r="D94" s="938" t="s">
        <v>0</v>
      </c>
      <c r="E94" s="935" t="s">
        <v>5</v>
      </c>
      <c r="F94" s="935"/>
      <c r="G94" s="936"/>
      <c r="H94" s="925"/>
      <c r="I94" s="934" t="s">
        <v>763</v>
      </c>
      <c r="J94" s="934" t="s">
        <v>795</v>
      </c>
      <c r="K94" s="937" t="s">
        <v>3</v>
      </c>
      <c r="L94" s="938" t="s">
        <v>3</v>
      </c>
      <c r="M94" s="939" t="s">
        <v>783</v>
      </c>
      <c r="N94" s="925"/>
      <c r="O94" s="940" t="s">
        <v>0</v>
      </c>
      <c r="P94" s="939" t="s">
        <v>795</v>
      </c>
      <c r="Q94" s="846"/>
      <c r="R94" s="925"/>
      <c r="S94" s="981" t="s">
        <v>1</v>
      </c>
      <c r="T94" s="982" t="s">
        <v>198</v>
      </c>
      <c r="U94" s="982" t="s">
        <v>329</v>
      </c>
      <c r="V94" s="982" t="s">
        <v>783</v>
      </c>
      <c r="W94" s="983" t="s">
        <v>789</v>
      </c>
      <c r="X94" s="575"/>
    </row>
    <row r="95" spans="2:24" x14ac:dyDescent="0.2">
      <c r="B95" s="818"/>
      <c r="C95" s="569"/>
      <c r="D95" s="771" t="s">
        <v>0</v>
      </c>
      <c r="E95" s="569"/>
      <c r="F95" s="569"/>
      <c r="G95" s="587"/>
      <c r="I95" s="818"/>
      <c r="J95" s="818"/>
      <c r="K95" s="687"/>
      <c r="L95" s="771"/>
      <c r="M95" s="688"/>
      <c r="O95" s="942"/>
      <c r="P95" s="688"/>
      <c r="Q95" s="771"/>
      <c r="S95" s="593"/>
      <c r="T95" s="594"/>
      <c r="U95" s="594"/>
      <c r="V95" s="594"/>
      <c r="W95" s="638"/>
      <c r="X95" s="594"/>
    </row>
    <row r="96" spans="2:24" x14ac:dyDescent="0.2">
      <c r="B96" s="818" t="s">
        <v>791</v>
      </c>
      <c r="C96" s="588" t="s">
        <v>0</v>
      </c>
      <c r="D96" s="783" t="e">
        <f>+M96+J96</f>
        <v>#VALUE!</v>
      </c>
      <c r="E96" s="569">
        <v>115.7</v>
      </c>
      <c r="F96" s="569">
        <v>4.0999999999999996</v>
      </c>
      <c r="G96" s="587" t="s">
        <v>0</v>
      </c>
      <c r="I96" s="944" t="s">
        <v>0</v>
      </c>
      <c r="J96" s="944" t="s">
        <v>0</v>
      </c>
      <c r="K96" s="945">
        <f>+F96/E96/12</f>
        <v>2.9530394698934017E-3</v>
      </c>
      <c r="L96" s="783" t="e">
        <f>-I96*G96</f>
        <v>#VALUE!</v>
      </c>
      <c r="M96" s="784" t="e">
        <f>+K96+L96</f>
        <v>#VALUE!</v>
      </c>
      <c r="O96" s="946" t="e">
        <f>+(D96-M96)/-G96</f>
        <v>#VALUE!</v>
      </c>
      <c r="P96" s="688"/>
      <c r="Q96" s="771"/>
      <c r="S96" s="947" t="e">
        <f>+C96*D96</f>
        <v>#VALUE!</v>
      </c>
      <c r="T96" s="594" t="e">
        <f>+C96*G96</f>
        <v>#VALUE!</v>
      </c>
      <c r="U96" s="801" t="e">
        <f>+C96*K96</f>
        <v>#VALUE!</v>
      </c>
      <c r="V96" s="801" t="e">
        <f>+C96*L96</f>
        <v>#VALUE!</v>
      </c>
      <c r="W96" s="850" t="e">
        <f>+C96*M96</f>
        <v>#VALUE!</v>
      </c>
      <c r="X96" s="801"/>
    </row>
    <row r="97" spans="2:24" x14ac:dyDescent="0.2">
      <c r="B97" s="818"/>
      <c r="C97" s="588"/>
      <c r="D97" s="771" t="s">
        <v>0</v>
      </c>
      <c r="E97" s="569"/>
      <c r="F97" s="569"/>
      <c r="G97" s="587"/>
      <c r="I97" s="818"/>
      <c r="J97" s="944"/>
      <c r="K97" s="687"/>
      <c r="L97" s="771"/>
      <c r="M97" s="688"/>
      <c r="O97" s="942"/>
      <c r="P97" s="688"/>
      <c r="Q97" s="771"/>
      <c r="S97" s="593"/>
      <c r="T97" s="594"/>
      <c r="U97" s="594"/>
      <c r="V97" s="594"/>
      <c r="W97" s="638"/>
      <c r="X97" s="594"/>
    </row>
    <row r="98" spans="2:24" x14ac:dyDescent="0.2">
      <c r="B98" s="818" t="s">
        <v>792</v>
      </c>
      <c r="C98" s="588" t="s">
        <v>0</v>
      </c>
      <c r="D98" s="783" t="e">
        <f>+M98+J98</f>
        <v>#VALUE!</v>
      </c>
      <c r="E98" s="569">
        <v>100.1</v>
      </c>
      <c r="F98" s="569">
        <v>6.8</v>
      </c>
      <c r="G98" s="587" t="s">
        <v>0</v>
      </c>
      <c r="I98" s="944" t="s">
        <v>0</v>
      </c>
      <c r="J98" s="944" t="s">
        <v>0</v>
      </c>
      <c r="K98" s="945">
        <f>+F98/E98/12</f>
        <v>5.661005661005661E-3</v>
      </c>
      <c r="L98" s="783" t="e">
        <f>-I98*G98</f>
        <v>#VALUE!</v>
      </c>
      <c r="M98" s="784" t="e">
        <f>+K98+L98</f>
        <v>#VALUE!</v>
      </c>
      <c r="O98" s="946" t="e">
        <f>+(D98-M98)/-G98</f>
        <v>#VALUE!</v>
      </c>
      <c r="P98" s="688"/>
      <c r="Q98" s="771"/>
      <c r="S98" s="947" t="e">
        <f>+C98*D98</f>
        <v>#VALUE!</v>
      </c>
      <c r="T98" s="594" t="e">
        <f>+C98*G98</f>
        <v>#VALUE!</v>
      </c>
      <c r="U98" s="801" t="e">
        <f>+C98*K98</f>
        <v>#VALUE!</v>
      </c>
      <c r="V98" s="801" t="e">
        <f>+C98*L98</f>
        <v>#VALUE!</v>
      </c>
      <c r="W98" s="850" t="e">
        <f>+C98*M98</f>
        <v>#VALUE!</v>
      </c>
      <c r="X98" s="801"/>
    </row>
    <row r="99" spans="2:24" x14ac:dyDescent="0.2">
      <c r="B99" s="818"/>
      <c r="C99" s="588" t="s">
        <v>0</v>
      </c>
      <c r="D99" s="771"/>
      <c r="E99" s="569"/>
      <c r="F99" s="569"/>
      <c r="G99" s="587" t="s">
        <v>0</v>
      </c>
      <c r="I99" s="818"/>
      <c r="J99" s="944"/>
      <c r="K99" s="687"/>
      <c r="L99" s="771"/>
      <c r="M99" s="688"/>
      <c r="O99" s="942"/>
      <c r="P99" s="688"/>
      <c r="Q99" s="771"/>
      <c r="S99" s="593"/>
      <c r="T99" s="594"/>
      <c r="U99" s="594"/>
      <c r="V99" s="594"/>
      <c r="W99" s="638"/>
      <c r="X99" s="594"/>
    </row>
    <row r="100" spans="2:24" x14ac:dyDescent="0.2">
      <c r="B100" s="818" t="s">
        <v>793</v>
      </c>
      <c r="C100" s="588" t="s">
        <v>0</v>
      </c>
      <c r="D100" s="783" t="e">
        <f>+M100+J100</f>
        <v>#VALUE!</v>
      </c>
      <c r="E100" s="569">
        <v>98.6</v>
      </c>
      <c r="F100" s="569">
        <v>8.4</v>
      </c>
      <c r="G100" s="590" t="s">
        <v>0</v>
      </c>
      <c r="I100" s="944" t="s">
        <v>0</v>
      </c>
      <c r="J100" s="944" t="s">
        <v>0</v>
      </c>
      <c r="K100" s="945">
        <f>+F100/E100/12</f>
        <v>7.0993914807302239E-3</v>
      </c>
      <c r="L100" s="783" t="e">
        <f>-I100*G100</f>
        <v>#VALUE!</v>
      </c>
      <c r="M100" s="784" t="e">
        <f>+K100+L100</f>
        <v>#VALUE!</v>
      </c>
      <c r="O100" s="946" t="e">
        <f>+(D100-M100)/-G100</f>
        <v>#VALUE!</v>
      </c>
      <c r="P100" s="688"/>
      <c r="Q100" s="771"/>
      <c r="S100" s="947" t="e">
        <f>+C100*D100</f>
        <v>#VALUE!</v>
      </c>
      <c r="T100" s="594" t="e">
        <f>+C100*G100</f>
        <v>#VALUE!</v>
      </c>
      <c r="U100" s="801" t="e">
        <f>+C100*K100</f>
        <v>#VALUE!</v>
      </c>
      <c r="V100" s="801" t="e">
        <f>+C100*L100</f>
        <v>#VALUE!</v>
      </c>
      <c r="W100" s="850" t="e">
        <f>+C100*M100</f>
        <v>#VALUE!</v>
      </c>
      <c r="X100" s="801"/>
    </row>
    <row r="101" spans="2:24" x14ac:dyDescent="0.2">
      <c r="B101" s="818"/>
      <c r="C101" s="569"/>
      <c r="D101" s="771"/>
      <c r="E101" s="569"/>
      <c r="F101" s="569"/>
      <c r="G101" s="587"/>
      <c r="I101" s="818"/>
      <c r="J101" s="944"/>
      <c r="K101" s="687"/>
      <c r="L101" s="771"/>
      <c r="M101" s="688"/>
      <c r="O101" s="942"/>
      <c r="P101" s="688"/>
      <c r="Q101" s="771"/>
      <c r="S101" s="593"/>
      <c r="T101" s="594"/>
      <c r="U101" s="594"/>
      <c r="V101" s="594"/>
      <c r="W101" s="638"/>
      <c r="X101" s="594"/>
    </row>
    <row r="102" spans="2:24" ht="13.5" thickBot="1" x14ac:dyDescent="0.25">
      <c r="B102" s="949" t="s">
        <v>16</v>
      </c>
      <c r="C102" s="596">
        <f>SUM(C96:C100)</f>
        <v>0</v>
      </c>
      <c r="D102" s="953" t="e">
        <f>+S102</f>
        <v>#VALUE!</v>
      </c>
      <c r="E102" s="775"/>
      <c r="F102" s="775"/>
      <c r="G102" s="599" t="e">
        <f>+T102</f>
        <v>#VALUE!</v>
      </c>
      <c r="I102" s="820"/>
      <c r="J102" s="820"/>
      <c r="K102" s="952" t="e">
        <f>+U102</f>
        <v>#VALUE!</v>
      </c>
      <c r="L102" s="953" t="e">
        <f>+V102</f>
        <v>#VALUE!</v>
      </c>
      <c r="M102" s="802" t="e">
        <f>+W102</f>
        <v>#VALUE!</v>
      </c>
      <c r="O102" s="954" t="e">
        <f>+(D102-M102)/-G102</f>
        <v>#VALUE!</v>
      </c>
      <c r="P102" s="802" t="e">
        <f>+D102-M102</f>
        <v>#VALUE!</v>
      </c>
      <c r="Q102" s="986"/>
      <c r="S102" s="955" t="e">
        <f>SUM(S95:S100)</f>
        <v>#VALUE!</v>
      </c>
      <c r="T102" s="956" t="e">
        <f>SUM(T95:T100)</f>
        <v>#VALUE!</v>
      </c>
      <c r="U102" s="957" t="e">
        <f>SUM(U95:U100)</f>
        <v>#VALUE!</v>
      </c>
      <c r="V102" s="957" t="e">
        <f>SUM(V95:V100)</f>
        <v>#VALUE!</v>
      </c>
      <c r="W102" s="958" t="e">
        <f>SUM(W95:W100)</f>
        <v>#VALUE!</v>
      </c>
      <c r="X102" s="985"/>
    </row>
    <row r="108" spans="2:24" ht="13.5" thickBot="1" x14ac:dyDescent="0.25"/>
    <row r="109" spans="2:24" x14ac:dyDescent="0.2">
      <c r="B109" s="960" t="s">
        <v>7</v>
      </c>
      <c r="C109" s="961" t="s">
        <v>1</v>
      </c>
      <c r="D109" s="961" t="s">
        <v>15</v>
      </c>
      <c r="E109" s="960" t="s">
        <v>71</v>
      </c>
      <c r="J109" s="962"/>
      <c r="K109" s="961" t="s">
        <v>1</v>
      </c>
      <c r="L109" s="961" t="s">
        <v>15</v>
      </c>
      <c r="M109" s="960" t="s">
        <v>71</v>
      </c>
    </row>
    <row r="110" spans="2:24" ht="13.5" thickBot="1" x14ac:dyDescent="0.25">
      <c r="B110" s="963" t="s">
        <v>788</v>
      </c>
      <c r="C110" s="964"/>
      <c r="D110" s="964"/>
      <c r="E110" s="963"/>
      <c r="J110" s="965"/>
      <c r="K110" s="964"/>
      <c r="L110" s="964"/>
      <c r="M110" s="963"/>
    </row>
    <row r="111" spans="2:24" x14ac:dyDescent="0.2">
      <c r="B111" s="966"/>
      <c r="C111" s="609"/>
      <c r="D111" s="609"/>
      <c r="E111" s="966"/>
      <c r="J111" s="572"/>
      <c r="K111" s="609"/>
      <c r="L111" s="609"/>
      <c r="M111" s="966"/>
    </row>
    <row r="112" spans="2:24" x14ac:dyDescent="0.2">
      <c r="B112" s="967" t="s">
        <v>796</v>
      </c>
      <c r="C112" s="968" t="e">
        <f>+D91</f>
        <v>#VALUE!</v>
      </c>
      <c r="D112" s="968" t="e">
        <f>+D102</f>
        <v>#VALUE!</v>
      </c>
      <c r="E112" s="969" t="e">
        <f>+C112-D112</f>
        <v>#VALUE!</v>
      </c>
      <c r="J112" s="970" t="s">
        <v>796</v>
      </c>
      <c r="K112" s="968" t="e">
        <f>+D91</f>
        <v>#VALUE!</v>
      </c>
      <c r="L112" s="968" t="e">
        <f>+D102</f>
        <v>#VALUE!</v>
      </c>
      <c r="M112" s="969" t="e">
        <f>+K112-L112</f>
        <v>#VALUE!</v>
      </c>
    </row>
    <row r="113" spans="2:13" x14ac:dyDescent="0.2">
      <c r="B113" s="966"/>
      <c r="C113" s="609"/>
      <c r="D113" s="609"/>
      <c r="E113" s="966"/>
      <c r="J113" s="572"/>
      <c r="K113" s="609"/>
      <c r="L113" s="609"/>
      <c r="M113" s="966"/>
    </row>
    <row r="114" spans="2:13" x14ac:dyDescent="0.2">
      <c r="B114" s="966" t="s">
        <v>797</v>
      </c>
      <c r="C114" s="663" t="e">
        <f>+K91</f>
        <v>#VALUE!</v>
      </c>
      <c r="D114" s="663" t="e">
        <f>+K102</f>
        <v>#VALUE!</v>
      </c>
      <c r="E114" s="971" t="e">
        <f>+C114-D114</f>
        <v>#VALUE!</v>
      </c>
      <c r="J114" s="572" t="s">
        <v>797</v>
      </c>
      <c r="K114" s="663" t="e">
        <f>+K91</f>
        <v>#VALUE!</v>
      </c>
      <c r="L114" s="663" t="e">
        <f>K102</f>
        <v>#VALUE!</v>
      </c>
      <c r="M114" s="971" t="e">
        <f>+K114-L114</f>
        <v>#VALUE!</v>
      </c>
    </row>
    <row r="115" spans="2:13" x14ac:dyDescent="0.2">
      <c r="B115" s="966"/>
      <c r="C115" s="609"/>
      <c r="D115" s="609"/>
      <c r="E115" s="966"/>
      <c r="J115" s="572"/>
      <c r="K115" s="609"/>
      <c r="L115" s="609"/>
      <c r="M115" s="966"/>
    </row>
    <row r="116" spans="2:13" x14ac:dyDescent="0.2">
      <c r="B116" s="966" t="s">
        <v>798</v>
      </c>
      <c r="C116" s="663" t="e">
        <f>+L91</f>
        <v>#VALUE!</v>
      </c>
      <c r="D116" s="663" t="e">
        <f>+L102</f>
        <v>#VALUE!</v>
      </c>
      <c r="E116" s="971" t="e">
        <f>+C116-D116</f>
        <v>#VALUE!</v>
      </c>
      <c r="J116" s="572" t="s">
        <v>798</v>
      </c>
      <c r="K116" s="663" t="e">
        <f>+L91</f>
        <v>#VALUE!</v>
      </c>
      <c r="L116" s="663" t="e">
        <f>+L102</f>
        <v>#VALUE!</v>
      </c>
      <c r="M116" s="971" t="e">
        <f>+K116-L116</f>
        <v>#VALUE!</v>
      </c>
    </row>
    <row r="117" spans="2:13" x14ac:dyDescent="0.2">
      <c r="B117" s="966"/>
      <c r="C117" s="609"/>
      <c r="D117" s="609"/>
      <c r="E117" s="966"/>
      <c r="J117" s="572"/>
      <c r="K117" s="609"/>
      <c r="L117" s="609"/>
      <c r="M117" s="966"/>
    </row>
    <row r="118" spans="2:13" x14ac:dyDescent="0.2">
      <c r="B118" s="966" t="s">
        <v>799</v>
      </c>
      <c r="C118" s="663" t="e">
        <f>+P91</f>
        <v>#VALUE!</v>
      </c>
      <c r="D118" s="663" t="e">
        <f>+P102</f>
        <v>#VALUE!</v>
      </c>
      <c r="E118" s="971" t="e">
        <f>+C118-D118</f>
        <v>#VALUE!</v>
      </c>
      <c r="J118" s="572" t="s">
        <v>788</v>
      </c>
      <c r="K118" s="663" t="e">
        <f>+O91</f>
        <v>#VALUE!</v>
      </c>
      <c r="L118" s="663" t="e">
        <f>+P102</f>
        <v>#VALUE!</v>
      </c>
      <c r="M118" s="971" t="e">
        <f>+K118-L118</f>
        <v>#VALUE!</v>
      </c>
    </row>
    <row r="119" spans="2:13" x14ac:dyDescent="0.2">
      <c r="B119" s="966"/>
      <c r="C119" s="609"/>
      <c r="D119" s="609"/>
      <c r="E119" s="966"/>
      <c r="J119" s="572"/>
      <c r="K119" s="609"/>
      <c r="L119" s="609"/>
      <c r="M119" s="966"/>
    </row>
    <row r="120" spans="2:13" x14ac:dyDescent="0.2">
      <c r="B120" s="966" t="s">
        <v>484</v>
      </c>
      <c r="C120" s="663" t="e">
        <f>+C112-C114-C116-C118</f>
        <v>#VALUE!</v>
      </c>
      <c r="D120" s="636" t="s">
        <v>747</v>
      </c>
      <c r="E120" s="971" t="e">
        <f>+C120</f>
        <v>#VALUE!</v>
      </c>
      <c r="J120" s="572" t="s">
        <v>484</v>
      </c>
      <c r="K120" s="663" t="e">
        <f>+K112-K114-K116-K118</f>
        <v>#VALUE!</v>
      </c>
      <c r="L120" s="636" t="s">
        <v>747</v>
      </c>
      <c r="M120" s="971" t="e">
        <f>+K120</f>
        <v>#VALUE!</v>
      </c>
    </row>
    <row r="121" spans="2:13" x14ac:dyDescent="0.2">
      <c r="B121" s="966"/>
      <c r="C121" s="609"/>
      <c r="D121" s="609"/>
      <c r="E121" s="966"/>
      <c r="J121" s="572"/>
      <c r="K121" s="609"/>
      <c r="L121" s="609"/>
      <c r="M121" s="966"/>
    </row>
    <row r="122" spans="2:13" ht="13.5" thickBot="1" x14ac:dyDescent="0.25">
      <c r="B122" s="972" t="s">
        <v>141</v>
      </c>
      <c r="C122" s="614"/>
      <c r="D122" s="614"/>
      <c r="E122" s="973" t="e">
        <f>+E112-E114-E116-E118-E120</f>
        <v>#VALUE!</v>
      </c>
      <c r="J122" s="613" t="s">
        <v>141</v>
      </c>
      <c r="K122" s="614"/>
      <c r="L122" s="614"/>
      <c r="M122" s="973" t="e">
        <f>+M112-M114-M116-M118-M120</f>
        <v>#VALUE!</v>
      </c>
    </row>
    <row r="128" spans="2:13" ht="13.5" thickBot="1" x14ac:dyDescent="0.25"/>
    <row r="129" spans="2:10" x14ac:dyDescent="0.2">
      <c r="B129" s="924" t="s">
        <v>761</v>
      </c>
      <c r="C129" s="681" t="s">
        <v>1</v>
      </c>
      <c r="D129" s="559" t="s">
        <v>15</v>
      </c>
      <c r="E129" s="559" t="s">
        <v>1</v>
      </c>
      <c r="F129" s="667" t="s">
        <v>15</v>
      </c>
      <c r="H129" s="562" t="s">
        <v>483</v>
      </c>
      <c r="I129" s="563" t="s">
        <v>484</v>
      </c>
      <c r="J129" s="556" t="s">
        <v>0</v>
      </c>
    </row>
    <row r="130" spans="2:10" ht="13.5" thickBot="1" x14ac:dyDescent="0.25">
      <c r="B130" s="974" t="s">
        <v>800</v>
      </c>
      <c r="C130" s="712" t="s">
        <v>328</v>
      </c>
      <c r="D130" s="775" t="s">
        <v>328</v>
      </c>
      <c r="E130" s="775" t="s">
        <v>3</v>
      </c>
      <c r="F130" s="713" t="s">
        <v>3</v>
      </c>
      <c r="H130" s="613"/>
      <c r="I130" s="696"/>
    </row>
    <row r="131" spans="2:10" x14ac:dyDescent="0.2">
      <c r="B131" s="818"/>
      <c r="C131" s="686"/>
      <c r="D131" s="569"/>
      <c r="E131" s="569"/>
      <c r="F131" s="587"/>
      <c r="H131" s="572"/>
      <c r="I131" s="573"/>
    </row>
    <row r="132" spans="2:10" x14ac:dyDescent="0.2">
      <c r="B132" s="818" t="s">
        <v>791</v>
      </c>
      <c r="C132" s="975" t="str">
        <f>+C85</f>
        <v xml:space="preserve"> </v>
      </c>
      <c r="D132" s="588" t="str">
        <f>+C96</f>
        <v xml:space="preserve"> </v>
      </c>
      <c r="E132" s="943" t="e">
        <f>+D85</f>
        <v>#VALUE!</v>
      </c>
      <c r="F132" s="976" t="e">
        <f>+D96</f>
        <v>#VALUE!</v>
      </c>
      <c r="H132" s="591" t="e">
        <f>+(C132-D132)*(F132-F$138)</f>
        <v>#VALUE!</v>
      </c>
      <c r="I132" s="592" t="e">
        <f>+C132*(E132-F132)</f>
        <v>#VALUE!</v>
      </c>
    </row>
    <row r="133" spans="2:10" x14ac:dyDescent="0.2">
      <c r="B133" s="818"/>
      <c r="C133" s="686"/>
      <c r="D133" s="569"/>
      <c r="E133" s="569"/>
      <c r="F133" s="587"/>
      <c r="H133" s="572"/>
      <c r="I133" s="573"/>
    </row>
    <row r="134" spans="2:10" x14ac:dyDescent="0.2">
      <c r="B134" s="818" t="s">
        <v>792</v>
      </c>
      <c r="C134" s="975" t="str">
        <f>+C87</f>
        <v xml:space="preserve"> </v>
      </c>
      <c r="D134" s="588" t="str">
        <f>+C98</f>
        <v xml:space="preserve"> </v>
      </c>
      <c r="E134" s="943" t="e">
        <f>+D87</f>
        <v>#VALUE!</v>
      </c>
      <c r="F134" s="976" t="e">
        <f>+D98</f>
        <v>#VALUE!</v>
      </c>
      <c r="H134" s="591" t="e">
        <f>+(C134-D134)*(F134-F$138)</f>
        <v>#VALUE!</v>
      </c>
      <c r="I134" s="592" t="e">
        <f>+C134*(E134-F134)</f>
        <v>#VALUE!</v>
      </c>
    </row>
    <row r="135" spans="2:10" x14ac:dyDescent="0.2">
      <c r="B135" s="818"/>
      <c r="C135" s="686"/>
      <c r="D135" s="569"/>
      <c r="E135" s="569"/>
      <c r="F135" s="587"/>
      <c r="H135" s="572"/>
      <c r="I135" s="573"/>
    </row>
    <row r="136" spans="2:10" x14ac:dyDescent="0.2">
      <c r="B136" s="818" t="s">
        <v>793</v>
      </c>
      <c r="C136" s="975" t="str">
        <f>+C89</f>
        <v xml:space="preserve"> </v>
      </c>
      <c r="D136" s="588" t="str">
        <f>+C100</f>
        <v xml:space="preserve"> </v>
      </c>
      <c r="E136" s="943" t="e">
        <f>+D89</f>
        <v>#VALUE!</v>
      </c>
      <c r="F136" s="976" t="e">
        <f>+D100</f>
        <v>#VALUE!</v>
      </c>
      <c r="H136" s="591" t="e">
        <f>+(C136-D136)*(F136-F$138)</f>
        <v>#VALUE!</v>
      </c>
      <c r="I136" s="592" t="e">
        <f>+C136*(E136-F136)</f>
        <v>#VALUE!</v>
      </c>
    </row>
    <row r="137" spans="2:10" x14ac:dyDescent="0.2">
      <c r="B137" s="818"/>
      <c r="C137" s="686"/>
      <c r="D137" s="569"/>
      <c r="E137" s="569"/>
      <c r="F137" s="587"/>
      <c r="H137" s="572"/>
      <c r="I137" s="573"/>
    </row>
    <row r="138" spans="2:10" ht="13.5" thickBot="1" x14ac:dyDescent="0.25">
      <c r="B138" s="949" t="s">
        <v>16</v>
      </c>
      <c r="C138" s="977">
        <f>+C91</f>
        <v>0</v>
      </c>
      <c r="D138" s="596">
        <f>+C102</f>
        <v>0</v>
      </c>
      <c r="E138" s="950" t="e">
        <f>+D91</f>
        <v>#VALUE!</v>
      </c>
      <c r="F138" s="978" t="e">
        <f>+D102</f>
        <v>#VALUE!</v>
      </c>
      <c r="H138" s="601" t="e">
        <f>SUM(H132:H136)</f>
        <v>#VALUE!</v>
      </c>
      <c r="I138" s="602" t="e">
        <f>SUM(I132:I136)</f>
        <v>#VALUE!</v>
      </c>
    </row>
    <row r="139" spans="2:10" ht="13.5" thickBot="1" x14ac:dyDescent="0.25"/>
    <row r="140" spans="2:10" x14ac:dyDescent="0.2">
      <c r="H140" s="979" t="s">
        <v>71</v>
      </c>
      <c r="I140" s="980" t="e">
        <f>+E138-F138</f>
        <v>#VALUE!</v>
      </c>
    </row>
    <row r="141" spans="2:10" x14ac:dyDescent="0.2">
      <c r="H141" s="572" t="s">
        <v>483</v>
      </c>
      <c r="I141" s="592" t="e">
        <f>+H138</f>
        <v>#VALUE!</v>
      </c>
    </row>
    <row r="142" spans="2:10" x14ac:dyDescent="0.2">
      <c r="H142" s="572" t="s">
        <v>484</v>
      </c>
      <c r="I142" s="592" t="e">
        <f>+I138</f>
        <v>#VALUE!</v>
      </c>
    </row>
    <row r="143" spans="2:10" ht="13.5" thickBot="1" x14ac:dyDescent="0.25">
      <c r="H143" s="613" t="s">
        <v>141</v>
      </c>
      <c r="I143" s="615" t="e">
        <f>+I140-I141-I142</f>
        <v>#VALUE!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A62-E79D-431C-97B7-EC612EDEBC77}">
  <dimension ref="C2:BM215"/>
  <sheetViews>
    <sheetView workbookViewId="0"/>
  </sheetViews>
  <sheetFormatPr defaultRowHeight="15" x14ac:dyDescent="0.25"/>
  <cols>
    <col min="16" max="16" width="9.5703125" bestFit="1" customWidth="1"/>
    <col min="24" max="24" width="10.42578125" customWidth="1"/>
    <col min="27" max="27" width="11.85546875" customWidth="1"/>
    <col min="33" max="33" width="10.7109375" customWidth="1"/>
    <col min="36" max="36" width="10.5703125" customWidth="1"/>
    <col min="56" max="56" width="9.5703125" bestFit="1" customWidth="1"/>
  </cols>
  <sheetData>
    <row r="2" spans="3:65" ht="20.25" x14ac:dyDescent="0.3">
      <c r="C2" s="164" t="s">
        <v>965</v>
      </c>
      <c r="R2" s="164" t="s">
        <v>1192</v>
      </c>
      <c r="AL2" s="164" t="s">
        <v>1193</v>
      </c>
      <c r="AU2" s="164" t="s">
        <v>1195</v>
      </c>
      <c r="BD2" s="164" t="s">
        <v>1196</v>
      </c>
    </row>
    <row r="3" spans="3:65" ht="15.75" thickBot="1" x14ac:dyDescent="0.3"/>
    <row r="4" spans="3:65" x14ac:dyDescent="0.25">
      <c r="E4" t="s">
        <v>943</v>
      </c>
      <c r="G4" t="s">
        <v>944</v>
      </c>
      <c r="I4" t="s">
        <v>945</v>
      </c>
      <c r="K4" t="s">
        <v>961</v>
      </c>
      <c r="M4" t="s">
        <v>961</v>
      </c>
      <c r="O4" t="s">
        <v>943</v>
      </c>
      <c r="R4" s="1351"/>
      <c r="S4" s="1353"/>
      <c r="T4" s="1352" t="s">
        <v>1</v>
      </c>
      <c r="U4" s="1352" t="s">
        <v>15</v>
      </c>
      <c r="V4" s="1352"/>
      <c r="W4" s="1352" t="s">
        <v>1</v>
      </c>
      <c r="X4" s="1352" t="s">
        <v>15</v>
      </c>
      <c r="Y4" s="1352"/>
      <c r="Z4" s="1352" t="s">
        <v>1</v>
      </c>
      <c r="AA4" s="1353" t="s">
        <v>15</v>
      </c>
      <c r="AF4" s="1362" t="s">
        <v>1</v>
      </c>
      <c r="AG4" s="1363" t="s">
        <v>15</v>
      </c>
      <c r="AH4" s="1195"/>
      <c r="AI4" s="1363" t="s">
        <v>1</v>
      </c>
      <c r="AJ4" s="1364" t="s">
        <v>15</v>
      </c>
      <c r="AL4" s="1398" t="s">
        <v>1181</v>
      </c>
      <c r="AM4" s="1378"/>
      <c r="AN4" s="1399" t="s">
        <v>111</v>
      </c>
      <c r="AO4" s="1017" t="s">
        <v>1176</v>
      </c>
      <c r="AP4" s="1017" t="s">
        <v>1177</v>
      </c>
      <c r="AQ4" s="1017" t="s">
        <v>1178</v>
      </c>
      <c r="AR4" s="1017" t="s">
        <v>790</v>
      </c>
      <c r="AS4" s="1018" t="s">
        <v>788</v>
      </c>
      <c r="AU4" s="1398" t="s">
        <v>1182</v>
      </c>
      <c r="AV4" s="1378"/>
      <c r="AW4" s="1399" t="s">
        <v>111</v>
      </c>
      <c r="AX4" s="1017" t="s">
        <v>1176</v>
      </c>
      <c r="AY4" s="1017" t="s">
        <v>1177</v>
      </c>
      <c r="AZ4" s="1017" t="s">
        <v>1178</v>
      </c>
      <c r="BA4" s="1017" t="s">
        <v>790</v>
      </c>
      <c r="BB4" s="1018" t="s">
        <v>788</v>
      </c>
      <c r="BD4" s="1398" t="s">
        <v>685</v>
      </c>
      <c r="BE4" s="1378"/>
      <c r="BF4" s="1399" t="s">
        <v>111</v>
      </c>
      <c r="BG4" s="1017" t="s">
        <v>1176</v>
      </c>
      <c r="BH4" s="1017" t="s">
        <v>1177</v>
      </c>
      <c r="BI4" s="1017" t="s">
        <v>1178</v>
      </c>
      <c r="BJ4" s="1017" t="s">
        <v>790</v>
      </c>
      <c r="BK4" s="1018" t="s">
        <v>788</v>
      </c>
      <c r="BL4" s="1031" t="s">
        <v>16</v>
      </c>
    </row>
    <row r="5" spans="3:65" ht="15.75" thickBot="1" x14ac:dyDescent="0.3">
      <c r="I5" t="s">
        <v>947</v>
      </c>
      <c r="K5" t="s">
        <v>946</v>
      </c>
      <c r="M5" t="s">
        <v>948</v>
      </c>
      <c r="O5" t="s">
        <v>960</v>
      </c>
      <c r="R5" s="1354"/>
      <c r="S5" s="1356"/>
      <c r="T5" s="1355" t="s">
        <v>328</v>
      </c>
      <c r="U5" s="1355" t="s">
        <v>328</v>
      </c>
      <c r="V5" s="1355"/>
      <c r="W5" s="1355" t="s">
        <v>338</v>
      </c>
      <c r="X5" s="1355" t="s">
        <v>3</v>
      </c>
      <c r="Y5" s="1355"/>
      <c r="Z5" s="1355" t="s">
        <v>198</v>
      </c>
      <c r="AA5" s="1356" t="s">
        <v>198</v>
      </c>
      <c r="AF5" s="1365" t="s">
        <v>338</v>
      </c>
      <c r="AG5" s="1366" t="s">
        <v>3</v>
      </c>
      <c r="AH5" s="1198"/>
      <c r="AI5" s="1366" t="s">
        <v>198</v>
      </c>
      <c r="AJ5" s="1367" t="s">
        <v>198</v>
      </c>
      <c r="AL5" s="1401" t="s">
        <v>1194</v>
      </c>
      <c r="AM5" s="1384"/>
      <c r="AN5" s="1379"/>
      <c r="AO5" s="1023"/>
      <c r="AP5" s="1023"/>
      <c r="AQ5" s="1023"/>
      <c r="AR5" s="1023"/>
      <c r="AS5" s="1026"/>
      <c r="AU5" s="1400" t="s">
        <v>1194</v>
      </c>
      <c r="AV5" s="1026"/>
      <c r="AW5" s="1379"/>
      <c r="AX5" s="1023"/>
      <c r="AY5" s="1023"/>
      <c r="AZ5" s="1023"/>
      <c r="BA5" s="1023"/>
      <c r="BB5" s="1026"/>
      <c r="BD5" s="1400" t="s">
        <v>0</v>
      </c>
      <c r="BE5" s="1026"/>
      <c r="BF5" s="1382"/>
      <c r="BG5" s="1383"/>
      <c r="BH5" s="1383"/>
      <c r="BI5" s="1383"/>
      <c r="BJ5" s="1383"/>
      <c r="BK5" s="1384"/>
      <c r="BL5" s="1030"/>
    </row>
    <row r="6" spans="3:65" x14ac:dyDescent="0.25">
      <c r="E6" s="1165">
        <v>1.2500000000000001E-2</v>
      </c>
      <c r="G6" s="1168">
        <v>1.7299999999999999E-2</v>
      </c>
      <c r="I6" s="1168">
        <v>1.7500000000000002E-2</v>
      </c>
      <c r="K6" s="1168">
        <v>1.7500000000000002E-2</v>
      </c>
      <c r="M6" s="1168">
        <v>1.7299999999999999E-2</v>
      </c>
      <c r="O6" s="1168">
        <v>1.4500000000000001E-2</v>
      </c>
      <c r="R6" s="1344" t="s">
        <v>1168</v>
      </c>
      <c r="S6" s="1357"/>
      <c r="T6" s="1346">
        <v>0.1</v>
      </c>
      <c r="U6" s="1345"/>
      <c r="V6" s="1342"/>
      <c r="W6" s="1347">
        <f>+AB192</f>
        <v>-2.002648198779643E-3</v>
      </c>
      <c r="X6" s="1342"/>
      <c r="Y6" s="1342"/>
      <c r="Z6" s="1348">
        <f>+AD93</f>
        <v>2.8718197962068235</v>
      </c>
      <c r="AA6" s="1343"/>
      <c r="AF6" s="1368">
        <f>+T6*W6</f>
        <v>-2.0026481987796431E-4</v>
      </c>
      <c r="AG6" s="1369">
        <f>+U6*X6</f>
        <v>0</v>
      </c>
      <c r="AH6" s="1015"/>
      <c r="AI6" s="1370">
        <f>+T6*Z6</f>
        <v>0.28718197962068237</v>
      </c>
      <c r="AJ6" s="1371">
        <f>+U6*AA6</f>
        <v>0</v>
      </c>
      <c r="AL6" s="1388" t="s">
        <v>1168</v>
      </c>
      <c r="AM6" s="1378"/>
      <c r="AN6" s="1389">
        <f>$T6*AB191</f>
        <v>7.1884664022429543E-4</v>
      </c>
      <c r="AO6" s="1390">
        <f>$T6*$AD116</f>
        <v>4.6142930431265495E-4</v>
      </c>
      <c r="AP6" s="1391">
        <f>$T6*$AD139</f>
        <v>-1.3073181387754178E-3</v>
      </c>
      <c r="AQ6" s="1391">
        <f>$T6*$AD162</f>
        <v>-7.4119466327817872E-5</v>
      </c>
      <c r="AR6" s="1391">
        <f>$T6*$AD185</f>
        <v>8.9684068832856772E-7</v>
      </c>
      <c r="AS6" s="1392">
        <v>0</v>
      </c>
      <c r="AU6" s="1388" t="s">
        <v>1168</v>
      </c>
      <c r="AV6" s="1378"/>
      <c r="AW6" s="1389">
        <f>$U6*AB191</f>
        <v>0</v>
      </c>
      <c r="AX6" s="1390">
        <f>$U6*$AD116</f>
        <v>0</v>
      </c>
      <c r="AY6" s="1391">
        <f>$U6*$AD139</f>
        <v>0</v>
      </c>
      <c r="AZ6" s="1391">
        <f>$U6*$AD162</f>
        <v>0</v>
      </c>
      <c r="BA6" s="1391">
        <f>$U6*$AD185</f>
        <v>0</v>
      </c>
      <c r="BB6" s="1392">
        <v>0</v>
      </c>
      <c r="BD6" s="1388" t="s">
        <v>1168</v>
      </c>
      <c r="BE6" s="1377"/>
      <c r="BF6" s="1389">
        <f>AN6-AW6</f>
        <v>7.1884664022429543E-4</v>
      </c>
      <c r="BG6" s="1390">
        <f t="shared" ref="BG6:BK13" si="0">AO6-AX6</f>
        <v>4.6142930431265495E-4</v>
      </c>
      <c r="BH6" s="1390">
        <f t="shared" si="0"/>
        <v>-1.3073181387754178E-3</v>
      </c>
      <c r="BI6" s="1390">
        <f t="shared" si="0"/>
        <v>-7.4119466327817872E-5</v>
      </c>
      <c r="BJ6" s="1390">
        <f t="shared" si="0"/>
        <v>8.9684068832856772E-7</v>
      </c>
      <c r="BK6" s="1402">
        <f t="shared" si="0"/>
        <v>0</v>
      </c>
      <c r="BL6" s="1408">
        <f>SUM(BF6:BK6)</f>
        <v>-2.002648198779568E-4</v>
      </c>
    </row>
    <row r="7" spans="3:65" x14ac:dyDescent="0.25">
      <c r="D7" s="1164" t="s">
        <v>928</v>
      </c>
      <c r="E7" s="1165">
        <v>1.2500000000000001E-2</v>
      </c>
      <c r="G7" s="1168">
        <v>1.7300000000000003E-2</v>
      </c>
      <c r="I7" s="1168">
        <v>1.7500000000000002E-2</v>
      </c>
      <c r="K7" s="1168">
        <v>1.7500000000000002E-2</v>
      </c>
      <c r="M7" s="1168">
        <v>1.7300000000000003E-2</v>
      </c>
      <c r="O7" s="1168">
        <v>1.4500000000000001E-2</v>
      </c>
      <c r="R7" s="1344" t="s">
        <v>1169</v>
      </c>
      <c r="S7" s="1357"/>
      <c r="T7" s="1346">
        <v>0.1</v>
      </c>
      <c r="U7" s="1346">
        <v>0.25</v>
      </c>
      <c r="V7" s="1342"/>
      <c r="W7" s="1347">
        <f>+N192</f>
        <v>-9.4524112806881905E-3</v>
      </c>
      <c r="X7" s="1347">
        <f>+W7</f>
        <v>-9.4524112806881905E-3</v>
      </c>
      <c r="Y7" s="1342"/>
      <c r="Z7" s="1348">
        <f>+P93</f>
        <v>4.5341182836581346</v>
      </c>
      <c r="AA7" s="1349">
        <f>+Z7</f>
        <v>4.5341182836581346</v>
      </c>
      <c r="AF7" s="1368">
        <f t="shared" ref="AF7:AF13" si="1">+T7*W7</f>
        <v>-9.452411280688191E-4</v>
      </c>
      <c r="AG7" s="1369">
        <f t="shared" ref="AG7:AG13" si="2">+U7*X7</f>
        <v>-2.3631028201720476E-3</v>
      </c>
      <c r="AH7" s="1015"/>
      <c r="AI7" s="1370">
        <f t="shared" ref="AI7:AI13" si="3">+T7*Z7</f>
        <v>0.45341182836581351</v>
      </c>
      <c r="AJ7" s="1371">
        <f t="shared" ref="AJ7:AJ13" si="4">+U7*AA7</f>
        <v>1.1335295709145337</v>
      </c>
      <c r="AL7" s="1376" t="s">
        <v>1169</v>
      </c>
      <c r="AM7" s="1026"/>
      <c r="AN7" s="1387">
        <f>$T7*N191</f>
        <v>9.948922616172572E-4</v>
      </c>
      <c r="AO7" s="1380">
        <f>$T7*$P116</f>
        <v>5.5281673552742827E-4</v>
      </c>
      <c r="AP7" s="1381">
        <f>$T7*$P139</f>
        <v>-2.1276094139313908E-3</v>
      </c>
      <c r="AQ7" s="1381">
        <f>$T7*$P162</f>
        <v>-2.5112934847350472E-4</v>
      </c>
      <c r="AR7" s="1381">
        <f>$T7*$P185</f>
        <v>-1.142113628086135E-4</v>
      </c>
      <c r="AS7" s="1386">
        <v>0</v>
      </c>
      <c r="AU7" s="1376" t="s">
        <v>1169</v>
      </c>
      <c r="AV7" s="1026"/>
      <c r="AW7" s="1387">
        <f>$U7*N191</f>
        <v>2.487230654043143E-3</v>
      </c>
      <c r="AX7" s="1380">
        <f>$U7*$P116</f>
        <v>1.3820418388185707E-3</v>
      </c>
      <c r="AY7" s="1381">
        <f>$U7*$P139</f>
        <v>-5.3190235348284766E-3</v>
      </c>
      <c r="AZ7" s="1381">
        <f>$U7*$P162</f>
        <v>-6.278233711837618E-4</v>
      </c>
      <c r="BA7" s="1381">
        <f>$U7*$P185</f>
        <v>-2.8552840702153373E-4</v>
      </c>
      <c r="BB7" s="1386">
        <v>0</v>
      </c>
      <c r="BD7" s="1376" t="s">
        <v>1169</v>
      </c>
      <c r="BE7" s="1023"/>
      <c r="BF7" s="1387">
        <f t="shared" ref="BF7:BF13" si="5">AN7-AW7</f>
        <v>-1.4923383924258858E-3</v>
      </c>
      <c r="BG7" s="1380">
        <f t="shared" si="0"/>
        <v>-8.2922510329114241E-4</v>
      </c>
      <c r="BH7" s="1380">
        <f t="shared" si="0"/>
        <v>3.1914141208970858E-3</v>
      </c>
      <c r="BI7" s="1380">
        <f t="shared" si="0"/>
        <v>3.7669402271025708E-4</v>
      </c>
      <c r="BJ7" s="1380">
        <f t="shared" si="0"/>
        <v>1.7131704421292023E-4</v>
      </c>
      <c r="BK7" s="1385">
        <f t="shared" si="0"/>
        <v>0</v>
      </c>
      <c r="BL7" s="1408">
        <f t="shared" ref="BL7:BL13" si="6">SUM(BF7:BK7)</f>
        <v>1.417861692103235E-3</v>
      </c>
    </row>
    <row r="8" spans="3:65" x14ac:dyDescent="0.25">
      <c r="D8" s="1164"/>
      <c r="E8" s="1166">
        <f>+E7+0.4%/12</f>
        <v>1.2833333333333334E-2</v>
      </c>
      <c r="G8" s="1168">
        <v>1.7675E-2</v>
      </c>
      <c r="I8" s="1168">
        <v>1.7833333333333333E-2</v>
      </c>
      <c r="K8" s="1168">
        <v>1.7874999999999999E-2</v>
      </c>
      <c r="M8" s="1168">
        <v>1.7675E-2</v>
      </c>
      <c r="O8" s="1168">
        <v>1.4833333333333334E-2</v>
      </c>
      <c r="R8" s="1344" t="s">
        <v>1170</v>
      </c>
      <c r="S8" s="1357"/>
      <c r="T8" s="1346">
        <v>0.15</v>
      </c>
      <c r="U8" s="1345"/>
      <c r="V8" s="1342"/>
      <c r="W8" s="1347">
        <f>+AI192</f>
        <v>-2.6811550022419368E-2</v>
      </c>
      <c r="X8" s="1342"/>
      <c r="Y8" s="1342"/>
      <c r="Z8" s="1348">
        <f>+AK93</f>
        <v>6.0402636244638757</v>
      </c>
      <c r="AA8" s="1343"/>
      <c r="AF8" s="1368">
        <f t="shared" si="1"/>
        <v>-4.0217325033629053E-3</v>
      </c>
      <c r="AG8" s="1369">
        <f t="shared" si="2"/>
        <v>0</v>
      </c>
      <c r="AH8" s="1015"/>
      <c r="AI8" s="1370">
        <f t="shared" si="3"/>
        <v>0.90603954366958128</v>
      </c>
      <c r="AJ8" s="1371">
        <f t="shared" si="4"/>
        <v>0</v>
      </c>
      <c r="AL8" s="1376" t="s">
        <v>1170</v>
      </c>
      <c r="AM8" s="1026"/>
      <c r="AN8" s="1387">
        <f>$T8*AI191</f>
        <v>1.5660858113642955E-3</v>
      </c>
      <c r="AO8" s="1380">
        <f>$T8*$AK116</f>
        <v>9.6229931511070392E-4</v>
      </c>
      <c r="AP8" s="1381">
        <f>$T8*$AK139</f>
        <v>-4.2981937097265549E-3</v>
      </c>
      <c r="AQ8" s="1381">
        <f>$T8*$AK162</f>
        <v>-7.5812229714328086E-4</v>
      </c>
      <c r="AR8" s="1381">
        <f>$T8*$AK185</f>
        <v>-1.493801622968083E-3</v>
      </c>
      <c r="AS8" s="1386">
        <v>0</v>
      </c>
      <c r="AU8" s="1376" t="s">
        <v>1170</v>
      </c>
      <c r="AV8" s="1026"/>
      <c r="AW8" s="1387">
        <f>$U8*AI191</f>
        <v>0</v>
      </c>
      <c r="AX8" s="1380">
        <f>$U8*$AK116</f>
        <v>0</v>
      </c>
      <c r="AY8" s="1381">
        <f>$U8*$AK139</f>
        <v>0</v>
      </c>
      <c r="AZ8" s="1381">
        <f>$U8*$AK162</f>
        <v>0</v>
      </c>
      <c r="BA8" s="1381">
        <f>$U8*$AK185</f>
        <v>0</v>
      </c>
      <c r="BB8" s="1386">
        <v>0</v>
      </c>
      <c r="BD8" s="1376" t="s">
        <v>1170</v>
      </c>
      <c r="BE8" s="1023"/>
      <c r="BF8" s="1387">
        <f t="shared" si="5"/>
        <v>1.5660858113642955E-3</v>
      </c>
      <c r="BG8" s="1380">
        <f t="shared" si="0"/>
        <v>9.6229931511070392E-4</v>
      </c>
      <c r="BH8" s="1380">
        <f t="shared" si="0"/>
        <v>-4.2981937097265549E-3</v>
      </c>
      <c r="BI8" s="1380">
        <f t="shared" si="0"/>
        <v>-7.5812229714328086E-4</v>
      </c>
      <c r="BJ8" s="1380">
        <f t="shared" si="0"/>
        <v>-1.493801622968083E-3</v>
      </c>
      <c r="BK8" s="1385">
        <f t="shared" si="0"/>
        <v>0</v>
      </c>
      <c r="BL8" s="1408">
        <f t="shared" si="6"/>
        <v>-4.0217325033629191E-3</v>
      </c>
    </row>
    <row r="9" spans="3:65" x14ac:dyDescent="0.25">
      <c r="D9" s="1164"/>
      <c r="E9" s="1166">
        <f t="shared" ref="E9:E19" si="7">+E8+0.4%/12</f>
        <v>1.3166666666666667E-2</v>
      </c>
      <c r="G9" s="1168">
        <v>1.8149999999999999E-2</v>
      </c>
      <c r="I9" s="1168">
        <v>1.8166666666666668E-2</v>
      </c>
      <c r="K9" s="1168">
        <v>1.8250000000000002E-2</v>
      </c>
      <c r="M9" s="1168">
        <v>1.8149999999999999E-2</v>
      </c>
      <c r="O9" s="1168">
        <v>1.5166666666666667E-2</v>
      </c>
      <c r="R9" s="1344" t="s">
        <v>1171</v>
      </c>
      <c r="S9" s="1357"/>
      <c r="T9" s="1346">
        <v>0.25</v>
      </c>
      <c r="U9" s="1345"/>
      <c r="V9" s="1342"/>
      <c r="W9" s="1350">
        <f>+BD215</f>
        <v>-2.7808548766340146E-2</v>
      </c>
      <c r="X9" s="1342"/>
      <c r="Y9" s="1342"/>
      <c r="Z9" s="1348">
        <f>+BF93</f>
        <v>5.8564137369181859</v>
      </c>
      <c r="AA9" s="1343"/>
      <c r="AF9" s="1368">
        <f t="shared" si="1"/>
        <v>-6.9521371915850366E-3</v>
      </c>
      <c r="AG9" s="1369">
        <f t="shared" si="2"/>
        <v>0</v>
      </c>
      <c r="AH9" s="1015"/>
      <c r="AI9" s="1370">
        <f t="shared" si="3"/>
        <v>1.4641034342295465</v>
      </c>
      <c r="AJ9" s="1371">
        <f t="shared" si="4"/>
        <v>0</v>
      </c>
      <c r="AL9" s="1376" t="s">
        <v>1171</v>
      </c>
      <c r="AM9" s="1026"/>
      <c r="AN9" s="1387">
        <f>$T9*BD214</f>
        <v>3.1734455558794492E-3</v>
      </c>
      <c r="AO9" s="1380">
        <f>$T9*$BF116</f>
        <v>1.70073965558587E-3</v>
      </c>
      <c r="AP9" s="1381">
        <f>$T9*$BF139</f>
        <v>-6.9416065343734547E-3</v>
      </c>
      <c r="AQ9" s="1381">
        <f>$T9*$BF162</f>
        <v>-1.2057798279926295E-3</v>
      </c>
      <c r="AR9" s="1381">
        <f>$T9*$BF185</f>
        <v>-2.3464871847563829E-3</v>
      </c>
      <c r="AS9" s="1386">
        <f>$T9*$BF208</f>
        <v>-1.3324488559278995E-3</v>
      </c>
      <c r="AU9" s="1376" t="s">
        <v>1171</v>
      </c>
      <c r="AV9" s="1026"/>
      <c r="AW9" s="1387">
        <f>$U9*BD214</f>
        <v>0</v>
      </c>
      <c r="AX9" s="1380">
        <f>$U9*$BF116</f>
        <v>0</v>
      </c>
      <c r="AY9" s="1381">
        <f>$U9*$BF139</f>
        <v>0</v>
      </c>
      <c r="AZ9" s="1381">
        <f>$U9*$BF162</f>
        <v>0</v>
      </c>
      <c r="BA9" s="1381">
        <f>$U9*$BF185</f>
        <v>0</v>
      </c>
      <c r="BB9" s="1386">
        <v>0</v>
      </c>
      <c r="BD9" s="1376" t="s">
        <v>1171</v>
      </c>
      <c r="BE9" s="1023"/>
      <c r="BF9" s="1387">
        <f t="shared" si="5"/>
        <v>3.1734455558794492E-3</v>
      </c>
      <c r="BG9" s="1380">
        <f t="shared" si="0"/>
        <v>1.70073965558587E-3</v>
      </c>
      <c r="BH9" s="1380">
        <f t="shared" si="0"/>
        <v>-6.9416065343734547E-3</v>
      </c>
      <c r="BI9" s="1380">
        <f t="shared" si="0"/>
        <v>-1.2057798279926295E-3</v>
      </c>
      <c r="BJ9" s="1380">
        <f t="shared" si="0"/>
        <v>-2.3464871847563829E-3</v>
      </c>
      <c r="BK9" s="1385">
        <f t="shared" si="0"/>
        <v>-1.3324488559278995E-3</v>
      </c>
      <c r="BL9" s="1408">
        <f t="shared" si="6"/>
        <v>-6.9521371915850479E-3</v>
      </c>
    </row>
    <row r="10" spans="3:65" x14ac:dyDescent="0.25">
      <c r="D10" s="1164"/>
      <c r="E10" s="1166">
        <f t="shared" si="7"/>
        <v>1.35E-2</v>
      </c>
      <c r="G10" s="1168">
        <v>1.8525E-2</v>
      </c>
      <c r="I10" s="1168">
        <v>1.8499999999999999E-2</v>
      </c>
      <c r="K10" s="1168">
        <v>1.8624999999999999E-2</v>
      </c>
      <c r="M10" s="1168">
        <v>1.8525E-2</v>
      </c>
      <c r="O10" s="1168">
        <v>1.55E-2</v>
      </c>
      <c r="R10" s="1344" t="s">
        <v>1172</v>
      </c>
      <c r="S10" s="1357"/>
      <c r="T10" s="1346">
        <v>0.1</v>
      </c>
      <c r="U10" s="1346">
        <v>0.25</v>
      </c>
      <c r="V10" s="1342"/>
      <c r="W10" s="1347">
        <f>+G192</f>
        <v>-3.8512217436452924E-2</v>
      </c>
      <c r="X10" s="1347">
        <f>+W10</f>
        <v>-3.8512217436452924E-2</v>
      </c>
      <c r="Y10" s="1342"/>
      <c r="Z10" s="1348">
        <f>+I93</f>
        <v>7.9345487340569623</v>
      </c>
      <c r="AA10" s="1349">
        <f>+Z10</f>
        <v>7.9345487340569623</v>
      </c>
      <c r="AF10" s="1368">
        <f t="shared" si="1"/>
        <v>-3.8512217436452926E-3</v>
      </c>
      <c r="AG10" s="1369">
        <f t="shared" si="2"/>
        <v>-9.6280543591132309E-3</v>
      </c>
      <c r="AH10" s="1015"/>
      <c r="AI10" s="1370">
        <f t="shared" si="3"/>
        <v>0.79345487340569631</v>
      </c>
      <c r="AJ10" s="1371">
        <f t="shared" si="4"/>
        <v>1.9836371835142406</v>
      </c>
      <c r="AL10" s="1376" t="s">
        <v>1172</v>
      </c>
      <c r="AM10" s="1026"/>
      <c r="AN10" s="1387">
        <f>$T10*G191</f>
        <v>1.1193882234207524E-3</v>
      </c>
      <c r="AO10" s="1380">
        <f>$T10*$I116</f>
        <v>6.3464563570800889E-4</v>
      </c>
      <c r="AP10" s="1381">
        <f>$T10*$I139</f>
        <v>-3.7787023935744249E-3</v>
      </c>
      <c r="AQ10" s="1381">
        <f>$T10*$I162</f>
        <v>-9.6838132682608717E-4</v>
      </c>
      <c r="AR10" s="1381">
        <f>$T10*$I185</f>
        <v>-8.581718823735345E-4</v>
      </c>
      <c r="AS10" s="1386">
        <v>0</v>
      </c>
      <c r="AU10" s="1376" t="s">
        <v>1172</v>
      </c>
      <c r="AV10" s="1026"/>
      <c r="AW10" s="1387">
        <f>$U10*G191</f>
        <v>2.7984705585518809E-3</v>
      </c>
      <c r="AX10" s="1380">
        <f>$U10*$I116</f>
        <v>1.586614089270022E-3</v>
      </c>
      <c r="AY10" s="1381">
        <f>$U10*$I139</f>
        <v>-9.4467559839360622E-3</v>
      </c>
      <c r="AZ10" s="1381">
        <f>$U10*$I162</f>
        <v>-2.4209533170652178E-3</v>
      </c>
      <c r="BA10" s="1381">
        <f>$U10*$I185</f>
        <v>-2.145429705933836E-3</v>
      </c>
      <c r="BB10" s="1386">
        <v>0</v>
      </c>
      <c r="BD10" s="1376" t="s">
        <v>1172</v>
      </c>
      <c r="BE10" s="1023"/>
      <c r="BF10" s="1387">
        <f t="shared" si="5"/>
        <v>-1.6790823351311285E-3</v>
      </c>
      <c r="BG10" s="1380">
        <f t="shared" si="0"/>
        <v>-9.5196845356201312E-4</v>
      </c>
      <c r="BH10" s="1380">
        <f t="shared" si="0"/>
        <v>5.6680535903616373E-3</v>
      </c>
      <c r="BI10" s="1380">
        <f t="shared" si="0"/>
        <v>1.4525719902391307E-3</v>
      </c>
      <c r="BJ10" s="1380">
        <f t="shared" si="0"/>
        <v>1.2872578235603015E-3</v>
      </c>
      <c r="BK10" s="1385">
        <f t="shared" si="0"/>
        <v>0</v>
      </c>
      <c r="BL10" s="1408">
        <f t="shared" si="6"/>
        <v>5.7768326154679283E-3</v>
      </c>
    </row>
    <row r="11" spans="3:65" x14ac:dyDescent="0.25">
      <c r="D11" s="1164" t="s">
        <v>929</v>
      </c>
      <c r="E11" s="1166">
        <f t="shared" si="7"/>
        <v>1.3833333333333333E-2</v>
      </c>
      <c r="G11" s="1168">
        <v>1.89E-2</v>
      </c>
      <c r="I11" s="1168">
        <v>1.8833333333333334E-2</v>
      </c>
      <c r="K11" s="1168">
        <v>1.9E-2</v>
      </c>
      <c r="M11" s="1168">
        <v>1.89E-2</v>
      </c>
      <c r="O11" s="1168">
        <v>1.5833333333333331E-2</v>
      </c>
      <c r="R11" s="1344" t="s">
        <v>1173</v>
      </c>
      <c r="S11" s="1357"/>
      <c r="T11" s="1346">
        <v>0.1</v>
      </c>
      <c r="U11" s="1346">
        <v>0.25</v>
      </c>
      <c r="V11" s="1342"/>
      <c r="W11" s="1347">
        <f>+AP192</f>
        <v>-4.5345184078086548E-2</v>
      </c>
      <c r="X11" s="1347">
        <f>+W11</f>
        <v>-4.5345184078086548E-2</v>
      </c>
      <c r="Y11" s="1342"/>
      <c r="Z11" s="1348">
        <f>+AR93</f>
        <v>9.276882895941716</v>
      </c>
      <c r="AA11" s="1349">
        <f>+Z11</f>
        <v>9.276882895941716</v>
      </c>
      <c r="AF11" s="1368">
        <f t="shared" si="1"/>
        <v>-4.5345184078086553E-3</v>
      </c>
      <c r="AG11" s="1369">
        <f t="shared" si="2"/>
        <v>-1.1336296019521637E-2</v>
      </c>
      <c r="AH11" s="1015"/>
      <c r="AI11" s="1370">
        <f t="shared" si="3"/>
        <v>0.9276882895941716</v>
      </c>
      <c r="AJ11" s="1371">
        <f t="shared" si="4"/>
        <v>2.319220723985429</v>
      </c>
      <c r="AL11" s="1376" t="s">
        <v>1173</v>
      </c>
      <c r="AM11" s="1026"/>
      <c r="AN11" s="1387">
        <f>$T11*AP191</f>
        <v>1.0289640943904703E-3</v>
      </c>
      <c r="AO11" s="1380">
        <f>$T11*$AR116</f>
        <v>6.38406421917015E-4</v>
      </c>
      <c r="AP11" s="1381">
        <f>$T11*$AR139</f>
        <v>-4.4199498939159554E-3</v>
      </c>
      <c r="AQ11" s="1381">
        <f>$T11*$AR162</f>
        <v>-1.3681904214462538E-3</v>
      </c>
      <c r="AR11" s="1381">
        <f>$T11*$AR185</f>
        <v>-4.1374860875393417E-4</v>
      </c>
      <c r="AS11" s="1386">
        <v>0</v>
      </c>
      <c r="AU11" s="1376" t="s">
        <v>1173</v>
      </c>
      <c r="AV11" s="1026"/>
      <c r="AW11" s="1387">
        <f>$U11*AP191</f>
        <v>2.5724102359761759E-3</v>
      </c>
      <c r="AX11" s="1380">
        <f>$U11*$AR116</f>
        <v>1.5960160547925373E-3</v>
      </c>
      <c r="AY11" s="1381">
        <f>$U11*$AR139</f>
        <v>-1.1049874734789888E-2</v>
      </c>
      <c r="AZ11" s="1381">
        <f>$U11*$AR162</f>
        <v>-3.4204760536156345E-3</v>
      </c>
      <c r="BA11" s="1381">
        <f>$U11*$AR185</f>
        <v>-1.0343715218848353E-3</v>
      </c>
      <c r="BB11" s="1386">
        <v>0</v>
      </c>
      <c r="BD11" s="1376" t="s">
        <v>1173</v>
      </c>
      <c r="BE11" s="1023"/>
      <c r="BF11" s="1387">
        <f t="shared" si="5"/>
        <v>-1.5434461415857056E-3</v>
      </c>
      <c r="BG11" s="1380">
        <f t="shared" si="0"/>
        <v>-9.5760963287552228E-4</v>
      </c>
      <c r="BH11" s="1380">
        <f t="shared" si="0"/>
        <v>6.6299248408739327E-3</v>
      </c>
      <c r="BI11" s="1380">
        <f t="shared" si="0"/>
        <v>2.0522856321693807E-3</v>
      </c>
      <c r="BJ11" s="1380">
        <f t="shared" si="0"/>
        <v>6.2062291313090111E-4</v>
      </c>
      <c r="BK11" s="1385">
        <f t="shared" si="0"/>
        <v>0</v>
      </c>
      <c r="BL11" s="1408">
        <f t="shared" si="6"/>
        <v>6.8017776117129869E-3</v>
      </c>
    </row>
    <row r="12" spans="3:65" x14ac:dyDescent="0.25">
      <c r="D12" s="1164"/>
      <c r="E12" s="1166">
        <f t="shared" si="7"/>
        <v>1.4166666666666666E-2</v>
      </c>
      <c r="G12" s="1168">
        <v>1.9375E-2</v>
      </c>
      <c r="I12" s="1168">
        <v>1.9166666666666665E-2</v>
      </c>
      <c r="K12" s="1168">
        <v>1.9375E-2</v>
      </c>
      <c r="M12" s="1168">
        <v>1.9375E-2</v>
      </c>
      <c r="O12" s="1168">
        <v>1.6166666666666666E-2</v>
      </c>
      <c r="R12" s="1344" t="s">
        <v>1174</v>
      </c>
      <c r="S12" s="1357"/>
      <c r="T12" s="1346">
        <v>0.1</v>
      </c>
      <c r="U12" s="1345"/>
      <c r="V12" s="1342"/>
      <c r="W12" s="1347">
        <f>+AW192</f>
        <v>-6.1807666118763573E-2</v>
      </c>
      <c r="X12" s="1342"/>
      <c r="Y12" s="1342"/>
      <c r="Z12" s="1348">
        <f>+AY93</f>
        <v>11.415327588452504</v>
      </c>
      <c r="AA12" s="1343"/>
      <c r="AF12" s="1368">
        <f t="shared" si="1"/>
        <v>-6.1807666118763576E-3</v>
      </c>
      <c r="AG12" s="1369">
        <f t="shared" si="2"/>
        <v>0</v>
      </c>
      <c r="AH12" s="1015"/>
      <c r="AI12" s="1370">
        <f t="shared" si="3"/>
        <v>1.1415327588452504</v>
      </c>
      <c r="AJ12" s="1371">
        <f t="shared" si="4"/>
        <v>0</v>
      </c>
      <c r="AL12" s="1376" t="s">
        <v>1174</v>
      </c>
      <c r="AM12" s="1026"/>
      <c r="AN12" s="1387">
        <f>$T12*AW191</f>
        <v>6.9817188935601877E-4</v>
      </c>
      <c r="AO12" s="1380">
        <f>$T12*$AY116</f>
        <v>6.7838797700026099E-4</v>
      </c>
      <c r="AP12" s="1381">
        <f>$T12*$AY139</f>
        <v>-5.4401951383755628E-3</v>
      </c>
      <c r="AQ12" s="1381">
        <f>$T12*$AY162</f>
        <v>-2.0399868701087721E-3</v>
      </c>
      <c r="AR12" s="1381">
        <f>$T12*$AY185</f>
        <v>-7.7144469748308603E-5</v>
      </c>
      <c r="AS12" s="1386">
        <v>0</v>
      </c>
      <c r="AU12" s="1376" t="s">
        <v>1174</v>
      </c>
      <c r="AV12" s="1026"/>
      <c r="AW12" s="1387">
        <f>$U12*AW191</f>
        <v>0</v>
      </c>
      <c r="AX12" s="1380">
        <f>$U12*$AY116</f>
        <v>0</v>
      </c>
      <c r="AY12" s="1381">
        <f>$U12*$AY139</f>
        <v>0</v>
      </c>
      <c r="AZ12" s="1381">
        <f>$U12*$AY162</f>
        <v>0</v>
      </c>
      <c r="BA12" s="1381">
        <f>$U12*$AY185</f>
        <v>0</v>
      </c>
      <c r="BB12" s="1386">
        <v>0</v>
      </c>
      <c r="BD12" s="1376" t="s">
        <v>1174</v>
      </c>
      <c r="BE12" s="1023"/>
      <c r="BF12" s="1387">
        <f t="shared" si="5"/>
        <v>6.9817188935601877E-4</v>
      </c>
      <c r="BG12" s="1380">
        <f t="shared" si="0"/>
        <v>6.7838797700026099E-4</v>
      </c>
      <c r="BH12" s="1380">
        <f t="shared" si="0"/>
        <v>-5.4401951383755628E-3</v>
      </c>
      <c r="BI12" s="1380">
        <f t="shared" si="0"/>
        <v>-2.0399868701087721E-3</v>
      </c>
      <c r="BJ12" s="1380">
        <f t="shared" si="0"/>
        <v>-7.7144469748308603E-5</v>
      </c>
      <c r="BK12" s="1385">
        <f t="shared" si="0"/>
        <v>0</v>
      </c>
      <c r="BL12" s="1408">
        <f t="shared" si="6"/>
        <v>-6.1807666118763637E-3</v>
      </c>
    </row>
    <row r="13" spans="3:65" ht="15.75" thickBot="1" x14ac:dyDescent="0.3">
      <c r="D13" s="1164"/>
      <c r="E13" s="1166">
        <f t="shared" si="7"/>
        <v>1.4499999999999999E-2</v>
      </c>
      <c r="G13" s="1168">
        <v>1.975E-2</v>
      </c>
      <c r="I13" s="1168">
        <v>1.95E-2</v>
      </c>
      <c r="K13" s="1168">
        <v>1.975E-2</v>
      </c>
      <c r="M13" s="1168">
        <v>1.975E-2</v>
      </c>
      <c r="O13" s="1168">
        <v>1.6500000000000001E-2</v>
      </c>
      <c r="R13" s="1344" t="s">
        <v>1175</v>
      </c>
      <c r="S13" s="1357"/>
      <c r="T13" s="1346">
        <v>0.1</v>
      </c>
      <c r="U13" s="1346">
        <v>0.25</v>
      </c>
      <c r="V13" s="1342"/>
      <c r="W13" s="1347">
        <f>+U192</f>
        <v>-6.1083653489865442E-2</v>
      </c>
      <c r="X13" s="1347">
        <f>+W13</f>
        <v>-6.1083653489865442E-2</v>
      </c>
      <c r="Y13" s="1342"/>
      <c r="Z13" s="1348">
        <f>+W93</f>
        <v>11.566459250441525</v>
      </c>
      <c r="AA13" s="1349">
        <f>+Z13</f>
        <v>11.566459250441525</v>
      </c>
      <c r="AF13" s="1368">
        <f t="shared" si="1"/>
        <v>-6.1083653489865447E-3</v>
      </c>
      <c r="AG13" s="1369">
        <f t="shared" si="2"/>
        <v>-1.527091337246636E-2</v>
      </c>
      <c r="AH13" s="1015"/>
      <c r="AI13" s="1370">
        <f t="shared" si="3"/>
        <v>1.1566459250441525</v>
      </c>
      <c r="AJ13" s="1371">
        <f t="shared" si="4"/>
        <v>2.8916148126103813</v>
      </c>
      <c r="AL13" s="1393" t="s">
        <v>1175</v>
      </c>
      <c r="AM13" s="1384"/>
      <c r="AN13" s="1394">
        <f>$T13*U191</f>
        <v>8.322685595847615E-4</v>
      </c>
      <c r="AO13" s="1395">
        <f>$T13*$W116</f>
        <v>6.8128723749925077E-4</v>
      </c>
      <c r="AP13" s="1396">
        <f>$T13*$W139</f>
        <v>-5.5065364963964277E-3</v>
      </c>
      <c r="AQ13" s="1396">
        <f>$T13*$W162</f>
        <v>-2.1608997098967824E-3</v>
      </c>
      <c r="AR13" s="1396">
        <f>$T13*$W185</f>
        <v>4.5515060222649364E-5</v>
      </c>
      <c r="AS13" s="1397">
        <v>0</v>
      </c>
      <c r="AU13" s="1393" t="s">
        <v>1175</v>
      </c>
      <c r="AV13" s="1384"/>
      <c r="AW13" s="1394">
        <f>$U13*U191</f>
        <v>2.0806713989619035E-3</v>
      </c>
      <c r="AX13" s="1395">
        <f>$U13*$W116</f>
        <v>1.7032180937481267E-3</v>
      </c>
      <c r="AY13" s="1396">
        <f>$U13*$W139</f>
        <v>-1.3766341240991069E-2</v>
      </c>
      <c r="AZ13" s="1396">
        <f>$U13*$W162</f>
        <v>-5.4022492747419553E-3</v>
      </c>
      <c r="BA13" s="1396">
        <f>$U13*$W185</f>
        <v>1.137876505566234E-4</v>
      </c>
      <c r="BB13" s="1397">
        <v>0</v>
      </c>
      <c r="BD13" s="1393" t="s">
        <v>1175</v>
      </c>
      <c r="BE13" s="1383"/>
      <c r="BF13" s="1394">
        <f t="shared" si="5"/>
        <v>-1.248402839377142E-3</v>
      </c>
      <c r="BG13" s="1395">
        <f t="shared" si="0"/>
        <v>-1.0219308562488759E-3</v>
      </c>
      <c r="BH13" s="1395">
        <f t="shared" si="0"/>
        <v>8.259804744594642E-3</v>
      </c>
      <c r="BI13" s="1395">
        <f t="shared" si="0"/>
        <v>3.2413495648451729E-3</v>
      </c>
      <c r="BJ13" s="1395">
        <f t="shared" si="0"/>
        <v>-6.8272590333974032E-5</v>
      </c>
      <c r="BK13" s="1403">
        <f t="shared" si="0"/>
        <v>0</v>
      </c>
      <c r="BL13" s="1408">
        <f t="shared" si="6"/>
        <v>9.1625480234798235E-3</v>
      </c>
    </row>
    <row r="14" spans="3:65" x14ac:dyDescent="0.25">
      <c r="D14" s="1164"/>
      <c r="E14" s="1166">
        <f t="shared" si="7"/>
        <v>1.4833333333333332E-2</v>
      </c>
      <c r="G14" s="1168">
        <v>2.0124999999999997E-2</v>
      </c>
      <c r="I14" s="1168">
        <v>1.9833333333333331E-2</v>
      </c>
      <c r="K14" s="1168">
        <v>2.0124999999999997E-2</v>
      </c>
      <c r="M14" s="1168">
        <v>2.0124999999999997E-2</v>
      </c>
      <c r="O14" s="1168">
        <v>1.6833333333333332E-2</v>
      </c>
      <c r="R14" s="1351"/>
      <c r="S14" s="1353"/>
      <c r="T14" s="1352"/>
      <c r="U14" s="1352"/>
      <c r="V14" s="1352"/>
      <c r="W14" s="1352"/>
      <c r="X14" s="1352"/>
      <c r="Y14" s="1352"/>
      <c r="Z14" s="1352"/>
      <c r="AA14" s="1353"/>
      <c r="AF14" s="1278"/>
      <c r="AG14" s="1015"/>
      <c r="AH14" s="1015"/>
      <c r="AI14" s="1015"/>
      <c r="AJ14" s="1274"/>
      <c r="AL14" s="1379"/>
      <c r="AM14" s="1026"/>
      <c r="AN14" s="1379"/>
      <c r="AO14" s="1023"/>
      <c r="AP14" s="1023"/>
      <c r="AQ14" s="1023"/>
      <c r="AR14" s="1023"/>
      <c r="AS14" s="1026" t="s">
        <v>0</v>
      </c>
      <c r="AU14" s="1379"/>
      <c r="AV14" s="1026"/>
      <c r="AW14" s="1379"/>
      <c r="AX14" s="1023"/>
      <c r="AY14" s="1023"/>
      <c r="AZ14" s="1023"/>
      <c r="BA14" s="1023"/>
      <c r="BB14" s="1026" t="s">
        <v>0</v>
      </c>
      <c r="BD14" s="1379"/>
      <c r="BE14" s="1026"/>
      <c r="BF14" s="1379"/>
      <c r="BG14" s="1023"/>
      <c r="BH14" s="1023"/>
      <c r="BI14" s="1023"/>
      <c r="BJ14" s="1023"/>
      <c r="BK14" s="1026" t="s">
        <v>0</v>
      </c>
      <c r="BL14" s="1031"/>
    </row>
    <row r="15" spans="3:65" ht="15.75" thickBot="1" x14ac:dyDescent="0.3">
      <c r="D15" s="1164" t="s">
        <v>930</v>
      </c>
      <c r="E15" s="1166">
        <f t="shared" si="7"/>
        <v>1.5166666666666665E-2</v>
      </c>
      <c r="G15" s="1168">
        <v>2.0499999999999997E-2</v>
      </c>
      <c r="I15" s="1168">
        <v>2.0166666666666666E-2</v>
      </c>
      <c r="K15" s="1168">
        <v>2.0500000000000001E-2</v>
      </c>
      <c r="M15" s="1168">
        <v>2.0499999999999997E-2</v>
      </c>
      <c r="O15" s="1168">
        <v>1.7166666666666663E-2</v>
      </c>
      <c r="R15" s="1354" t="s">
        <v>16</v>
      </c>
      <c r="S15" s="1356"/>
      <c r="T15" s="1358">
        <f>SUM(T6:T14)</f>
        <v>0.99999999999999989</v>
      </c>
      <c r="U15" s="1355"/>
      <c r="V15" s="1355"/>
      <c r="W15" s="1359">
        <f>+AF15</f>
        <v>-3.2794247755211579E-2</v>
      </c>
      <c r="X15" s="1359">
        <f>+AG15</f>
        <v>-3.8598366571273274E-2</v>
      </c>
      <c r="Y15" s="1355"/>
      <c r="Z15" s="1360">
        <f>+AI15</f>
        <v>7.1300586327748947</v>
      </c>
      <c r="AA15" s="1361">
        <f>+AJ15</f>
        <v>8.3280022910245854</v>
      </c>
      <c r="AF15" s="1372">
        <f>SUM(AF6:AF14)</f>
        <v>-3.2794247755211579E-2</v>
      </c>
      <c r="AG15" s="1373">
        <f>SUM(AG6:AG14)</f>
        <v>-3.8598366571273274E-2</v>
      </c>
      <c r="AH15" s="1198"/>
      <c r="AI15" s="1374">
        <f>SUM(AI6:AI14)</f>
        <v>7.1300586327748947</v>
      </c>
      <c r="AJ15" s="1375">
        <f>SUM(AJ6:AJ14)</f>
        <v>8.3280022910245854</v>
      </c>
      <c r="AL15" s="1401" t="s">
        <v>16</v>
      </c>
      <c r="AM15" s="1404"/>
      <c r="AN15" s="1405">
        <f t="shared" ref="AN15:AS15" si="8">SUM(AN6:AN14)</f>
        <v>1.01320630358373E-2</v>
      </c>
      <c r="AO15" s="1406">
        <f t="shared" si="8"/>
        <v>6.3100122826611916E-3</v>
      </c>
      <c r="AP15" s="1406">
        <f t="shared" si="8"/>
        <v>-3.3820111719069193E-2</v>
      </c>
      <c r="AQ15" s="1406">
        <f t="shared" si="8"/>
        <v>-8.8266092682151281E-3</v>
      </c>
      <c r="AR15" s="1406">
        <f t="shared" si="8"/>
        <v>-5.2571532304978782E-3</v>
      </c>
      <c r="AS15" s="1407">
        <f t="shared" si="8"/>
        <v>-1.3324488559278995E-3</v>
      </c>
      <c r="AU15" s="1401" t="s">
        <v>16</v>
      </c>
      <c r="AV15" s="1404"/>
      <c r="AW15" s="1405">
        <f t="shared" ref="AW15:BB15" si="9">SUM(AW6:AW14)</f>
        <v>9.9387828475331029E-3</v>
      </c>
      <c r="AX15" s="1406">
        <f t="shared" si="9"/>
        <v>6.2678900766292567E-3</v>
      </c>
      <c r="AY15" s="1406">
        <f t="shared" si="9"/>
        <v>-3.9581995494545497E-2</v>
      </c>
      <c r="AZ15" s="1406">
        <f t="shared" si="9"/>
        <v>-1.1871502016606569E-2</v>
      </c>
      <c r="BA15" s="1406">
        <f t="shared" si="9"/>
        <v>-3.3515419842835817E-3</v>
      </c>
      <c r="BB15" s="1407">
        <f t="shared" si="9"/>
        <v>0</v>
      </c>
      <c r="BD15" s="1401" t="s">
        <v>16</v>
      </c>
      <c r="BE15" s="1404"/>
      <c r="BF15" s="1405">
        <f t="shared" ref="BF15:BK15" si="10">SUM(BF6:BF14)</f>
        <v>1.9328018830419699E-4</v>
      </c>
      <c r="BG15" s="1406">
        <f t="shared" si="10"/>
        <v>4.2122206031936209E-5</v>
      </c>
      <c r="BH15" s="1406">
        <f t="shared" si="10"/>
        <v>5.7618837754763079E-3</v>
      </c>
      <c r="BI15" s="1406">
        <f t="shared" si="10"/>
        <v>3.0448927483914413E-3</v>
      </c>
      <c r="BJ15" s="1406">
        <f t="shared" si="10"/>
        <v>-1.905611246214297E-3</v>
      </c>
      <c r="BK15" s="1407">
        <f t="shared" si="10"/>
        <v>-1.3324488559278995E-3</v>
      </c>
      <c r="BL15" s="1409">
        <f>SUM(BL6:BL13)</f>
        <v>5.8041188160616866E-3</v>
      </c>
      <c r="BM15" s="1341" t="s">
        <v>0</v>
      </c>
    </row>
    <row r="16" spans="3:65" x14ac:dyDescent="0.25">
      <c r="D16" s="1164"/>
      <c r="E16" s="1166">
        <f t="shared" si="7"/>
        <v>1.5499999999999998E-2</v>
      </c>
      <c r="G16" s="1168">
        <v>2.0874999999999998E-2</v>
      </c>
      <c r="I16" s="1168">
        <v>2.0499999999999997E-2</v>
      </c>
      <c r="K16" s="1168">
        <v>2.0874999999999998E-2</v>
      </c>
      <c r="M16" s="1168">
        <v>2.0874999999999998E-2</v>
      </c>
      <c r="O16" s="1168">
        <v>1.7499999999999998E-2</v>
      </c>
    </row>
    <row r="17" spans="4:15" x14ac:dyDescent="0.25">
      <c r="D17" s="1164"/>
      <c r="E17" s="1166">
        <f t="shared" si="7"/>
        <v>1.5833333333333331E-2</v>
      </c>
      <c r="G17" s="1168">
        <v>2.1249999999999998E-2</v>
      </c>
      <c r="I17" s="1168">
        <v>2.0833333333333332E-2</v>
      </c>
      <c r="K17" s="1168">
        <v>2.1249999999999998E-2</v>
      </c>
      <c r="M17" s="1168">
        <v>2.1249999999999998E-2</v>
      </c>
      <c r="O17" s="1168">
        <v>1.7833333333333333E-2</v>
      </c>
    </row>
    <row r="18" spans="4:15" x14ac:dyDescent="0.25">
      <c r="D18" s="1164"/>
      <c r="E18" s="1166">
        <f t="shared" si="7"/>
        <v>1.6166666666666666E-2</v>
      </c>
      <c r="G18" s="1168">
        <v>2.1624999999999998E-2</v>
      </c>
      <c r="I18" s="1168">
        <v>2.1166666666666667E-2</v>
      </c>
      <c r="K18" s="1168">
        <v>2.1625000000000002E-2</v>
      </c>
      <c r="M18" s="1168">
        <v>2.1624999999999998E-2</v>
      </c>
      <c r="O18" s="1168">
        <v>1.8166666666666664E-2</v>
      </c>
    </row>
    <row r="19" spans="4:15" x14ac:dyDescent="0.25">
      <c r="D19" s="1164" t="s">
        <v>931</v>
      </c>
      <c r="E19" s="1166">
        <f t="shared" si="7"/>
        <v>1.6500000000000001E-2</v>
      </c>
      <c r="G19" s="1168">
        <v>2.2100000000000002E-2</v>
      </c>
      <c r="I19" s="1168">
        <v>2.1500000000000002E-2</v>
      </c>
      <c r="K19" s="1168">
        <v>2.2000000000000002E-2</v>
      </c>
      <c r="M19" s="1168">
        <v>2.2100000000000002E-2</v>
      </c>
      <c r="O19" s="1168">
        <v>1.8500000000000003E-2</v>
      </c>
    </row>
    <row r="20" spans="4:15" x14ac:dyDescent="0.25">
      <c r="D20" s="1164"/>
      <c r="E20" s="1166">
        <f>+E19+0.35%/12</f>
        <v>1.6791666666666667E-2</v>
      </c>
      <c r="G20" s="1168">
        <v>2.2433333333333333E-2</v>
      </c>
      <c r="I20" s="1168">
        <v>2.1791666666666668E-2</v>
      </c>
      <c r="K20" s="1168">
        <v>2.2333333333333334E-2</v>
      </c>
      <c r="M20" s="1168">
        <v>2.2433333333333333E-2</v>
      </c>
      <c r="O20" s="1168">
        <v>1.8791666666666665E-2</v>
      </c>
    </row>
    <row r="21" spans="4:15" x14ac:dyDescent="0.25">
      <c r="D21" s="1164"/>
      <c r="E21" s="1166">
        <f t="shared" ref="E21:E31" si="11">+E20+0.35%/12</f>
        <v>1.7083333333333332E-2</v>
      </c>
      <c r="G21" s="1168">
        <v>2.2866666666666667E-2</v>
      </c>
      <c r="I21" s="1168">
        <v>2.2083333333333333E-2</v>
      </c>
      <c r="K21" s="1168">
        <v>2.2666666666666668E-2</v>
      </c>
      <c r="M21" s="1168">
        <v>2.2866666666666667E-2</v>
      </c>
      <c r="O21" s="1168">
        <v>1.9083333333333334E-2</v>
      </c>
    </row>
    <row r="22" spans="4:15" x14ac:dyDescent="0.25">
      <c r="D22" s="1164"/>
      <c r="E22" s="1166">
        <f t="shared" si="11"/>
        <v>1.7374999999999998E-2</v>
      </c>
      <c r="G22" s="1168">
        <v>2.3299999999999998E-2</v>
      </c>
      <c r="I22" s="1168">
        <v>2.2374999999999999E-2</v>
      </c>
      <c r="K22" s="1168">
        <v>2.3E-2</v>
      </c>
      <c r="M22" s="1168">
        <v>2.3299999999999998E-2</v>
      </c>
      <c r="O22" s="1168">
        <v>1.9374999999999996E-2</v>
      </c>
    </row>
    <row r="23" spans="4:15" x14ac:dyDescent="0.25">
      <c r="D23" s="1164" t="s">
        <v>932</v>
      </c>
      <c r="E23" s="1166">
        <f t="shared" si="11"/>
        <v>1.7666666666666664E-2</v>
      </c>
      <c r="G23" s="1168">
        <v>2.3833333333333331E-2</v>
      </c>
      <c r="I23" s="1168">
        <v>2.2666666666666665E-2</v>
      </c>
      <c r="K23" s="1168">
        <v>2.3333333333333331E-2</v>
      </c>
      <c r="M23" s="1168">
        <v>2.3833333333333331E-2</v>
      </c>
      <c r="O23" s="1168">
        <v>1.9666666666666666E-2</v>
      </c>
    </row>
    <row r="24" spans="4:15" x14ac:dyDescent="0.25">
      <c r="D24" s="1164"/>
      <c r="E24" s="1166">
        <f t="shared" si="11"/>
        <v>1.795833333333333E-2</v>
      </c>
      <c r="G24" s="1168">
        <v>2.4366666666666661E-2</v>
      </c>
      <c r="I24" s="1168">
        <v>2.2958333333333331E-2</v>
      </c>
      <c r="K24" s="1168">
        <v>2.3666666666666662E-2</v>
      </c>
      <c r="M24" s="1168">
        <v>2.4366666666666661E-2</v>
      </c>
      <c r="O24" s="1168">
        <v>1.9958333333333328E-2</v>
      </c>
    </row>
    <row r="25" spans="4:15" x14ac:dyDescent="0.25">
      <c r="D25" s="1164"/>
      <c r="E25" s="1166">
        <f t="shared" si="11"/>
        <v>1.8249999999999995E-2</v>
      </c>
      <c r="G25" s="1168">
        <v>2.4999999999999994E-2</v>
      </c>
      <c r="I25" s="1168">
        <v>2.3249999999999996E-2</v>
      </c>
      <c r="K25" s="1168">
        <v>2.3999999999999997E-2</v>
      </c>
      <c r="M25" s="1168">
        <v>2.4999999999999994E-2</v>
      </c>
      <c r="O25" s="1168">
        <v>2.0249999999999997E-2</v>
      </c>
    </row>
    <row r="26" spans="4:15" x14ac:dyDescent="0.25">
      <c r="D26" s="1164"/>
      <c r="E26" s="1166">
        <f t="shared" si="11"/>
        <v>1.8541666666666661E-2</v>
      </c>
      <c r="G26" s="1168">
        <v>2.5633333333333327E-2</v>
      </c>
      <c r="I26" s="1168">
        <v>2.3541666666666662E-2</v>
      </c>
      <c r="K26" s="1168">
        <v>2.4333333333333328E-2</v>
      </c>
      <c r="M26" s="1168">
        <v>2.5633333333333327E-2</v>
      </c>
      <c r="O26" s="1168">
        <v>2.0541666666666659E-2</v>
      </c>
    </row>
    <row r="27" spans="4:15" x14ac:dyDescent="0.25">
      <c r="D27" s="1164" t="s">
        <v>933</v>
      </c>
      <c r="E27" s="1166">
        <f t="shared" si="11"/>
        <v>1.8833333333333327E-2</v>
      </c>
      <c r="G27" s="1168">
        <v>2.6166666666666661E-2</v>
      </c>
      <c r="I27" s="1168">
        <v>2.3833333333333328E-2</v>
      </c>
      <c r="K27" s="1168">
        <v>2.466666666666666E-2</v>
      </c>
      <c r="M27" s="1168">
        <v>2.6166666666666661E-2</v>
      </c>
      <c r="O27" s="1168">
        <v>2.0833333333333329E-2</v>
      </c>
    </row>
    <row r="28" spans="4:15" x14ac:dyDescent="0.25">
      <c r="D28" s="1164"/>
      <c r="E28" s="1166">
        <f t="shared" si="11"/>
        <v>1.9124999999999993E-2</v>
      </c>
      <c r="G28" s="1168">
        <v>2.6699999999999995E-2</v>
      </c>
      <c r="I28" s="1168">
        <v>2.4124999999999994E-2</v>
      </c>
      <c r="K28" s="1168">
        <v>2.4999999999999994E-2</v>
      </c>
      <c r="M28" s="1168">
        <v>2.6699999999999995E-2</v>
      </c>
      <c r="O28" s="1168">
        <v>2.1124999999999991E-2</v>
      </c>
    </row>
    <row r="29" spans="4:15" x14ac:dyDescent="0.25">
      <c r="D29" s="1164"/>
      <c r="E29" s="1166">
        <f t="shared" si="11"/>
        <v>1.9416666666666658E-2</v>
      </c>
      <c r="G29" s="1168">
        <v>2.7233333333333325E-2</v>
      </c>
      <c r="I29" s="1168">
        <v>2.4416666666666659E-2</v>
      </c>
      <c r="K29" s="1168">
        <v>2.5333333333333326E-2</v>
      </c>
      <c r="M29" s="1168">
        <v>2.7233333333333325E-2</v>
      </c>
      <c r="O29" s="1168">
        <v>2.141666666666666E-2</v>
      </c>
    </row>
    <row r="30" spans="4:15" x14ac:dyDescent="0.25">
      <c r="D30" s="1164"/>
      <c r="E30" s="1166">
        <f t="shared" si="11"/>
        <v>1.9708333333333324E-2</v>
      </c>
      <c r="G30" s="1168">
        <v>2.7666666666666659E-2</v>
      </c>
      <c r="I30" s="1168">
        <v>2.4708333333333325E-2</v>
      </c>
      <c r="K30" s="1168">
        <v>2.5666666666666657E-2</v>
      </c>
      <c r="M30" s="1168">
        <v>2.7666666666666659E-2</v>
      </c>
      <c r="O30" s="1168">
        <v>2.1708333333333323E-2</v>
      </c>
    </row>
    <row r="31" spans="4:15" x14ac:dyDescent="0.25">
      <c r="D31" s="1164" t="s">
        <v>934</v>
      </c>
      <c r="E31" s="1166">
        <f t="shared" si="11"/>
        <v>1.999999999999999E-2</v>
      </c>
      <c r="G31" s="1168">
        <v>2.799999999999999E-2</v>
      </c>
      <c r="I31" s="1168">
        <v>2.4999999999999991E-2</v>
      </c>
      <c r="K31" s="1168">
        <v>2.5999999999999992E-2</v>
      </c>
      <c r="M31" s="1168">
        <v>2.799999999999999E-2</v>
      </c>
      <c r="O31" s="1168">
        <v>2.1999999999999992E-2</v>
      </c>
    </row>
    <row r="32" spans="4:15" x14ac:dyDescent="0.25">
      <c r="D32" s="1164"/>
      <c r="E32" s="1166">
        <f>+E31+0.3%/12</f>
        <v>2.024999999999999E-2</v>
      </c>
      <c r="G32" s="1168">
        <v>2.8291666666666656E-2</v>
      </c>
      <c r="I32" s="1168">
        <v>2.5249999999999991E-2</v>
      </c>
      <c r="K32" s="1168">
        <v>2.6291666666666658E-2</v>
      </c>
      <c r="M32" s="1168">
        <v>2.8291666666666656E-2</v>
      </c>
      <c r="O32" s="1168">
        <v>2.2249999999999992E-2</v>
      </c>
    </row>
    <row r="33" spans="4:15" x14ac:dyDescent="0.25">
      <c r="D33" s="1164"/>
      <c r="E33" s="1166">
        <f t="shared" ref="E33:E39" si="12">+E32+0.3%/12</f>
        <v>2.049999999999999E-2</v>
      </c>
      <c r="G33" s="1168">
        <v>2.8483333333333326E-2</v>
      </c>
      <c r="I33" s="1168">
        <v>2.5499999999999991E-2</v>
      </c>
      <c r="K33" s="1168">
        <v>2.6583333333333323E-2</v>
      </c>
      <c r="M33" s="1168">
        <v>2.8483333333333326E-2</v>
      </c>
      <c r="O33" s="1168">
        <v>2.2499999999999992E-2</v>
      </c>
    </row>
    <row r="34" spans="4:15" x14ac:dyDescent="0.25">
      <c r="D34" s="1164"/>
      <c r="E34" s="1166">
        <f t="shared" si="12"/>
        <v>2.0749999999999991E-2</v>
      </c>
      <c r="G34" s="1168">
        <v>2.8774999999999992E-2</v>
      </c>
      <c r="I34" s="1168">
        <v>2.5749999999999992E-2</v>
      </c>
      <c r="K34" s="1168">
        <v>2.6874999999999993E-2</v>
      </c>
      <c r="M34" s="1168">
        <v>2.8774999999999992E-2</v>
      </c>
      <c r="O34" s="1168">
        <v>2.2749999999999992E-2</v>
      </c>
    </row>
    <row r="35" spans="4:15" x14ac:dyDescent="0.25">
      <c r="D35" s="1164" t="s">
        <v>935</v>
      </c>
      <c r="E35" s="1166">
        <f t="shared" si="12"/>
        <v>2.0999999999999991E-2</v>
      </c>
      <c r="G35" s="1168">
        <v>2.8966666666666658E-2</v>
      </c>
      <c r="I35" s="1168">
        <v>2.5999999999999992E-2</v>
      </c>
      <c r="K35" s="1168">
        <v>2.7166666666666658E-2</v>
      </c>
      <c r="M35" s="1168">
        <v>2.8966666666666658E-2</v>
      </c>
      <c r="O35" s="1168">
        <v>2.2999999999999993E-2</v>
      </c>
    </row>
    <row r="36" spans="4:15" x14ac:dyDescent="0.25">
      <c r="D36" s="1164"/>
      <c r="E36" s="1166">
        <f t="shared" si="12"/>
        <v>2.1249999999999991E-2</v>
      </c>
      <c r="G36" s="1168">
        <v>2.9258333333333324E-2</v>
      </c>
      <c r="I36" s="1168">
        <v>2.6249999999999992E-2</v>
      </c>
      <c r="K36" s="1168">
        <v>2.7458333333333324E-2</v>
      </c>
      <c r="M36" s="1168">
        <v>2.9258333333333324E-2</v>
      </c>
      <c r="O36" s="1168">
        <v>2.3249999999999993E-2</v>
      </c>
    </row>
    <row r="37" spans="4:15" x14ac:dyDescent="0.25">
      <c r="D37" s="1164"/>
      <c r="E37" s="1166">
        <f t="shared" si="12"/>
        <v>2.1499999999999991E-2</v>
      </c>
      <c r="G37" s="1168">
        <v>2.944999999999999E-2</v>
      </c>
      <c r="I37" s="1168">
        <v>2.6499999999999992E-2</v>
      </c>
      <c r="K37" s="1168">
        <v>2.7749999999999993E-2</v>
      </c>
      <c r="M37" s="1168">
        <v>2.944999999999999E-2</v>
      </c>
      <c r="O37" s="1168">
        <v>2.3499999999999993E-2</v>
      </c>
    </row>
    <row r="38" spans="4:15" x14ac:dyDescent="0.25">
      <c r="D38" s="1164"/>
      <c r="E38" s="1166">
        <f t="shared" si="12"/>
        <v>2.1749999999999992E-2</v>
      </c>
      <c r="G38" s="1168">
        <v>2.9641666666666656E-2</v>
      </c>
      <c r="I38" s="1168">
        <v>2.6749999999999993E-2</v>
      </c>
      <c r="K38" s="1168">
        <v>2.8041666666666659E-2</v>
      </c>
      <c r="M38" s="1168">
        <v>2.9641666666666656E-2</v>
      </c>
      <c r="O38" s="1168">
        <v>2.3749999999999993E-2</v>
      </c>
    </row>
    <row r="39" spans="4:15" x14ac:dyDescent="0.25">
      <c r="D39" s="1164" t="s">
        <v>936</v>
      </c>
      <c r="E39" s="1166">
        <f t="shared" si="12"/>
        <v>2.1999999999999992E-2</v>
      </c>
      <c r="G39" s="1168">
        <v>2.9833333333333323E-2</v>
      </c>
      <c r="I39" s="1168">
        <v>2.6999999999999993E-2</v>
      </c>
      <c r="K39" s="1168">
        <v>2.8333333333333325E-2</v>
      </c>
      <c r="M39" s="1168">
        <v>2.9833333333333323E-2</v>
      </c>
      <c r="O39" s="1168">
        <v>2.3999999999999994E-2</v>
      </c>
    </row>
    <row r="40" spans="4:15" x14ac:dyDescent="0.25">
      <c r="D40" s="1164"/>
      <c r="E40" s="1166">
        <f>+E39+0.25%/12</f>
        <v>2.2208333333333326E-2</v>
      </c>
      <c r="G40" s="1168">
        <v>2.9983333333333327E-2</v>
      </c>
      <c r="I40" s="1168">
        <v>2.7208333333333327E-2</v>
      </c>
      <c r="K40" s="1168">
        <v>2.8583333333333329E-2</v>
      </c>
      <c r="M40" s="1168">
        <v>2.9983333333333327E-2</v>
      </c>
      <c r="O40" s="1168">
        <v>2.4208333333333325E-2</v>
      </c>
    </row>
    <row r="41" spans="4:15" x14ac:dyDescent="0.25">
      <c r="D41" s="1164"/>
      <c r="E41" s="1166">
        <f t="shared" ref="E41:E47" si="13">+E40+0.15%/12</f>
        <v>2.2333333333333327E-2</v>
      </c>
      <c r="G41" s="1168">
        <v>3.0049999999999993E-2</v>
      </c>
      <c r="I41" s="1168">
        <v>2.7333333333333328E-2</v>
      </c>
      <c r="K41" s="1168">
        <v>2.8749999999999994E-2</v>
      </c>
      <c r="M41" s="1168">
        <v>3.0049999999999993E-2</v>
      </c>
      <c r="O41" s="1168">
        <v>2.4333333333333325E-2</v>
      </c>
    </row>
    <row r="42" spans="4:15" x14ac:dyDescent="0.25">
      <c r="D42" s="1164"/>
      <c r="E42" s="1166">
        <f t="shared" si="13"/>
        <v>2.2458333333333327E-2</v>
      </c>
      <c r="G42" s="1168">
        <v>3.011666666666666E-2</v>
      </c>
      <c r="I42" s="1168">
        <v>2.7458333333333328E-2</v>
      </c>
      <c r="K42" s="1168">
        <v>2.891666666666666E-2</v>
      </c>
      <c r="M42" s="1168">
        <v>3.011666666666666E-2</v>
      </c>
      <c r="O42" s="1168">
        <v>2.4458333333333325E-2</v>
      </c>
    </row>
    <row r="43" spans="4:15" x14ac:dyDescent="0.25">
      <c r="D43" s="1164" t="s">
        <v>937</v>
      </c>
      <c r="E43" s="1166">
        <f t="shared" si="13"/>
        <v>2.2583333333333327E-2</v>
      </c>
      <c r="G43" s="1168">
        <v>3.0183333333333326E-2</v>
      </c>
      <c r="I43" s="1168">
        <v>2.7583333333333328E-2</v>
      </c>
      <c r="K43" s="1168">
        <v>2.9083333333333329E-2</v>
      </c>
      <c r="M43" s="1168">
        <v>3.0183333333333326E-2</v>
      </c>
      <c r="O43" s="1168">
        <v>2.4583333333333325E-2</v>
      </c>
    </row>
    <row r="44" spans="4:15" x14ac:dyDescent="0.25">
      <c r="D44" s="1164"/>
      <c r="E44" s="1166">
        <f t="shared" si="13"/>
        <v>2.2708333333333327E-2</v>
      </c>
      <c r="G44" s="1168">
        <v>3.0249999999999992E-2</v>
      </c>
      <c r="I44" s="1168">
        <v>2.7708333333333328E-2</v>
      </c>
      <c r="K44" s="1168">
        <v>2.9249999999999995E-2</v>
      </c>
      <c r="M44" s="1168">
        <v>3.0249999999999992E-2</v>
      </c>
      <c r="O44" s="1168">
        <v>2.4708333333333325E-2</v>
      </c>
    </row>
    <row r="45" spans="4:15" x14ac:dyDescent="0.25">
      <c r="D45" s="1164"/>
      <c r="E45" s="1166">
        <f t="shared" si="13"/>
        <v>2.2833333333333327E-2</v>
      </c>
      <c r="G45" s="1168">
        <v>3.0316666666666658E-2</v>
      </c>
      <c r="I45" s="1168">
        <v>2.7833333333333328E-2</v>
      </c>
      <c r="K45" s="1168">
        <v>2.941666666666666E-2</v>
      </c>
      <c r="M45" s="1168">
        <v>3.0316666666666658E-2</v>
      </c>
      <c r="O45" s="1168">
        <v>2.4833333333333325E-2</v>
      </c>
    </row>
    <row r="46" spans="4:15" x14ac:dyDescent="0.25">
      <c r="D46" s="1164"/>
      <c r="E46" s="1166">
        <f t="shared" si="13"/>
        <v>2.2958333333333327E-2</v>
      </c>
      <c r="G46" s="1168">
        <v>3.0283333333333329E-2</v>
      </c>
      <c r="I46" s="1168">
        <v>2.7958333333333328E-2</v>
      </c>
      <c r="K46" s="1168">
        <v>2.958333333333333E-2</v>
      </c>
      <c r="M46" s="1168">
        <v>3.0283333333333329E-2</v>
      </c>
      <c r="O46" s="1168">
        <v>2.4958333333333325E-2</v>
      </c>
    </row>
    <row r="47" spans="4:15" x14ac:dyDescent="0.25">
      <c r="D47" s="1164" t="s">
        <v>938</v>
      </c>
      <c r="E47" s="1166">
        <f t="shared" si="13"/>
        <v>2.3083333333333327E-2</v>
      </c>
      <c r="G47" s="1168">
        <v>3.0349999999999995E-2</v>
      </c>
      <c r="I47" s="1168">
        <v>2.8083333333333328E-2</v>
      </c>
      <c r="K47" s="1168">
        <v>2.9749999999999995E-2</v>
      </c>
      <c r="M47" s="1168">
        <v>3.0349999999999995E-2</v>
      </c>
      <c r="O47" s="1168">
        <v>2.5083333333333326E-2</v>
      </c>
    </row>
    <row r="48" spans="4:15" x14ac:dyDescent="0.25">
      <c r="D48" s="1164"/>
      <c r="E48" s="1166">
        <f>+E47+0.2%/12</f>
        <v>2.3249999999999993E-2</v>
      </c>
      <c r="G48" s="1168">
        <v>3.0358333333333327E-2</v>
      </c>
      <c r="I48" s="1168">
        <v>2.8249999999999994E-2</v>
      </c>
      <c r="K48" s="1168">
        <v>2.9958333333333326E-2</v>
      </c>
      <c r="M48" s="1168">
        <v>3.0358333333333327E-2</v>
      </c>
      <c r="O48" s="1168">
        <v>2.5249999999999995E-2</v>
      </c>
    </row>
    <row r="49" spans="4:15" x14ac:dyDescent="0.25">
      <c r="D49" s="1164"/>
      <c r="E49" s="1166">
        <f t="shared" ref="E49:E63" si="14">+E48+0.1%/12</f>
        <v>2.3333333333333327E-2</v>
      </c>
      <c r="G49" s="1168">
        <v>3.0383333333333328E-2</v>
      </c>
      <c r="I49" s="1168">
        <v>2.8333333333333328E-2</v>
      </c>
      <c r="K49" s="1168">
        <v>3.008333333333333E-2</v>
      </c>
      <c r="M49" s="1168">
        <v>3.0383333333333328E-2</v>
      </c>
      <c r="O49" s="1168">
        <v>2.5333333333333326E-2</v>
      </c>
    </row>
    <row r="50" spans="4:15" x14ac:dyDescent="0.25">
      <c r="D50" s="1164"/>
      <c r="E50" s="1166">
        <f t="shared" si="14"/>
        <v>2.3416666666666662E-2</v>
      </c>
      <c r="G50" s="1168">
        <v>3.0508333333333328E-2</v>
      </c>
      <c r="I50" s="1168">
        <v>2.8416666666666663E-2</v>
      </c>
      <c r="K50" s="1168">
        <v>3.020833333333333E-2</v>
      </c>
      <c r="M50" s="1168">
        <v>3.0508333333333328E-2</v>
      </c>
      <c r="O50" s="1168">
        <v>2.5416666666666664E-2</v>
      </c>
    </row>
    <row r="51" spans="4:15" x14ac:dyDescent="0.25">
      <c r="D51" s="1164" t="s">
        <v>939</v>
      </c>
      <c r="E51" s="1166">
        <f t="shared" si="14"/>
        <v>2.3499999999999997E-2</v>
      </c>
      <c r="G51" s="1168">
        <v>3.0533333333333329E-2</v>
      </c>
      <c r="I51" s="1168">
        <v>2.8499999999999998E-2</v>
      </c>
      <c r="K51" s="1168">
        <v>3.033333333333333E-2</v>
      </c>
      <c r="M51" s="1168">
        <v>3.0533333333333329E-2</v>
      </c>
      <c r="O51" s="1168">
        <v>2.5499999999999995E-2</v>
      </c>
    </row>
    <row r="52" spans="4:15" x14ac:dyDescent="0.25">
      <c r="D52" s="1164"/>
      <c r="E52" s="1166">
        <f t="shared" si="14"/>
        <v>2.3583333333333331E-2</v>
      </c>
      <c r="G52" s="1168">
        <v>3.0658333333333329E-2</v>
      </c>
      <c r="I52" s="1168">
        <v>2.8583333333333332E-2</v>
      </c>
      <c r="K52" s="1168">
        <v>3.0458333333333334E-2</v>
      </c>
      <c r="M52" s="1168">
        <v>3.0658333333333329E-2</v>
      </c>
      <c r="O52" s="1168">
        <v>2.5583333333333333E-2</v>
      </c>
    </row>
    <row r="53" spans="4:15" x14ac:dyDescent="0.25">
      <c r="D53" s="1164"/>
      <c r="E53" s="1166">
        <f t="shared" si="14"/>
        <v>2.3666666666666666E-2</v>
      </c>
      <c r="G53" s="1168">
        <v>3.0683333333333333E-2</v>
      </c>
      <c r="I53" s="1168">
        <v>2.8666666666666667E-2</v>
      </c>
      <c r="K53" s="1168">
        <v>3.0583333333333334E-2</v>
      </c>
      <c r="M53" s="1168">
        <v>3.0683333333333333E-2</v>
      </c>
      <c r="O53" s="1168">
        <v>2.5666666666666664E-2</v>
      </c>
    </row>
    <row r="54" spans="4:15" x14ac:dyDescent="0.25">
      <c r="D54" s="1164"/>
      <c r="E54" s="1166">
        <f t="shared" si="14"/>
        <v>2.375E-2</v>
      </c>
      <c r="G54" s="1168">
        <v>3.0808333333333333E-2</v>
      </c>
      <c r="I54" s="1168">
        <v>2.8750000000000001E-2</v>
      </c>
      <c r="K54" s="1168">
        <v>3.0708333333333334E-2</v>
      </c>
      <c r="M54" s="1168">
        <v>3.0808333333333333E-2</v>
      </c>
      <c r="O54" s="1168">
        <v>2.5750000000000002E-2</v>
      </c>
    </row>
    <row r="55" spans="4:15" x14ac:dyDescent="0.25">
      <c r="D55" s="1164" t="s">
        <v>940</v>
      </c>
      <c r="E55" s="1166">
        <f>+E54+0.2%/12</f>
        <v>2.3916666666666666E-2</v>
      </c>
      <c r="G55" s="1168">
        <v>3.0916666666666665E-2</v>
      </c>
      <c r="I55" s="1168">
        <v>2.8916666666666667E-2</v>
      </c>
      <c r="K55" s="1168">
        <v>3.0916666666666669E-2</v>
      </c>
      <c r="M55" s="1168">
        <v>3.0916666666666665E-2</v>
      </c>
      <c r="O55" s="1168">
        <v>2.5916666666666664E-2</v>
      </c>
    </row>
    <row r="56" spans="4:15" x14ac:dyDescent="0.25">
      <c r="D56" s="1164"/>
      <c r="E56" s="1166">
        <f>+E55+0.15%/12</f>
        <v>2.4041666666666666E-2</v>
      </c>
      <c r="G56" s="1168">
        <v>3.1083333333333331E-2</v>
      </c>
      <c r="I56" s="1168">
        <v>2.9041666666666667E-2</v>
      </c>
      <c r="K56" s="1168">
        <v>3.1083333333333334E-2</v>
      </c>
      <c r="M56" s="1168">
        <v>3.1083333333333331E-2</v>
      </c>
      <c r="O56" s="1168">
        <v>2.6041666666666664E-2</v>
      </c>
    </row>
    <row r="57" spans="4:15" x14ac:dyDescent="0.25">
      <c r="D57" s="1164"/>
      <c r="E57" s="1166">
        <f t="shared" si="14"/>
        <v>2.4125000000000001E-2</v>
      </c>
      <c r="G57" s="1168">
        <v>3.1108333333333335E-2</v>
      </c>
      <c r="I57" s="1168">
        <v>2.9125000000000002E-2</v>
      </c>
      <c r="K57" s="1168">
        <v>3.1208333333333334E-2</v>
      </c>
      <c r="M57" s="1168">
        <v>3.1108333333333335E-2</v>
      </c>
      <c r="O57" s="1168">
        <v>2.6125000000000002E-2</v>
      </c>
    </row>
    <row r="58" spans="4:15" x14ac:dyDescent="0.25">
      <c r="D58" s="1164"/>
      <c r="E58" s="1166">
        <f t="shared" si="14"/>
        <v>2.4208333333333335E-2</v>
      </c>
      <c r="G58" s="1168">
        <v>3.1233333333333335E-2</v>
      </c>
      <c r="I58" s="1168">
        <v>2.9208333333333336E-2</v>
      </c>
      <c r="K58" s="1168">
        <v>3.1333333333333338E-2</v>
      </c>
      <c r="M58" s="1168">
        <v>3.1233333333333335E-2</v>
      </c>
      <c r="O58" s="1168">
        <v>2.6208333333333333E-2</v>
      </c>
    </row>
    <row r="59" spans="4:15" x14ac:dyDescent="0.25">
      <c r="D59" s="1164" t="s">
        <v>941</v>
      </c>
      <c r="E59" s="1166">
        <f t="shared" si="14"/>
        <v>2.429166666666667E-2</v>
      </c>
      <c r="G59" s="1168">
        <v>3.1358333333333335E-2</v>
      </c>
      <c r="I59" s="1168">
        <v>2.9291666666666671E-2</v>
      </c>
      <c r="K59" s="1168">
        <v>3.1458333333333338E-2</v>
      </c>
      <c r="M59" s="1168">
        <v>3.1358333333333335E-2</v>
      </c>
      <c r="O59" s="1168">
        <v>2.6291666666666672E-2</v>
      </c>
    </row>
    <row r="60" spans="4:15" x14ac:dyDescent="0.25">
      <c r="D60" s="1164"/>
      <c r="E60" s="1166">
        <f t="shared" si="14"/>
        <v>2.4375000000000004E-2</v>
      </c>
      <c r="G60" s="1168">
        <v>3.1383333333333339E-2</v>
      </c>
      <c r="I60" s="1168">
        <v>2.9375000000000005E-2</v>
      </c>
      <c r="K60" s="1168">
        <v>3.1583333333333338E-2</v>
      </c>
      <c r="M60" s="1168">
        <v>3.1383333333333339E-2</v>
      </c>
      <c r="O60" s="1168">
        <v>2.6375000000000003E-2</v>
      </c>
    </row>
    <row r="61" spans="4:15" x14ac:dyDescent="0.25">
      <c r="D61" s="1164"/>
      <c r="E61" s="1166">
        <f t="shared" si="14"/>
        <v>2.4458333333333339E-2</v>
      </c>
      <c r="G61" s="1168">
        <v>3.150833333333334E-2</v>
      </c>
      <c r="I61" s="1168">
        <v>2.945833333333334E-2</v>
      </c>
      <c r="K61" s="1168">
        <v>3.1708333333333338E-2</v>
      </c>
      <c r="M61" s="1168">
        <v>3.150833333333334E-2</v>
      </c>
      <c r="O61" s="1168">
        <v>2.6458333333333341E-2</v>
      </c>
    </row>
    <row r="62" spans="4:15" x14ac:dyDescent="0.25">
      <c r="D62" s="1164"/>
      <c r="E62" s="1166">
        <f t="shared" si="14"/>
        <v>2.4541666666666673E-2</v>
      </c>
      <c r="G62" s="1168">
        <v>3.1533333333333344E-2</v>
      </c>
      <c r="I62" s="1168">
        <v>2.9541666666666674E-2</v>
      </c>
      <c r="K62" s="1168">
        <v>3.1833333333333338E-2</v>
      </c>
      <c r="M62" s="1168">
        <v>3.1533333333333344E-2</v>
      </c>
      <c r="O62" s="1168">
        <v>2.6541666666666672E-2</v>
      </c>
    </row>
    <row r="63" spans="4:15" x14ac:dyDescent="0.25">
      <c r="D63" s="1164" t="s">
        <v>942</v>
      </c>
      <c r="E63" s="1166">
        <f t="shared" si="14"/>
        <v>2.4625000000000008E-2</v>
      </c>
      <c r="G63" s="1168">
        <v>3.1658333333333344E-2</v>
      </c>
      <c r="I63" s="1168">
        <v>2.9625000000000009E-2</v>
      </c>
      <c r="K63" s="1168">
        <v>3.1958333333333346E-2</v>
      </c>
      <c r="M63" s="1168">
        <v>3.1658333333333344E-2</v>
      </c>
      <c r="O63" s="1168">
        <v>2.662500000000001E-2</v>
      </c>
    </row>
    <row r="66" spans="4:56" ht="15.75" thickBot="1" x14ac:dyDescent="0.3">
      <c r="N66" t="s">
        <v>788</v>
      </c>
    </row>
    <row r="67" spans="4:56" ht="15.75" thickBot="1" x14ac:dyDescent="0.3">
      <c r="N67" t="s">
        <v>943</v>
      </c>
      <c r="O67" s="153">
        <v>2E-3</v>
      </c>
      <c r="AI67" s="1200"/>
    </row>
    <row r="68" spans="4:56" x14ac:dyDescent="0.25">
      <c r="N68" t="s">
        <v>944</v>
      </c>
      <c r="O68" s="153">
        <v>3.0000000000000001E-3</v>
      </c>
    </row>
    <row r="69" spans="4:56" ht="20.25" x14ac:dyDescent="0.3">
      <c r="D69" s="164" t="s">
        <v>1167</v>
      </c>
      <c r="O69" s="1167"/>
    </row>
    <row r="71" spans="4:56" ht="15.75" thickBot="1" x14ac:dyDescent="0.3"/>
    <row r="72" spans="4:56" x14ac:dyDescent="0.25">
      <c r="D72" s="1194" t="s">
        <v>952</v>
      </c>
      <c r="E72" s="1195"/>
      <c r="F72" s="1195"/>
      <c r="G72" s="1196"/>
      <c r="K72" s="1194" t="s">
        <v>953</v>
      </c>
      <c r="L72" s="1195"/>
      <c r="M72" s="1195"/>
      <c r="N72" s="1196"/>
      <c r="R72" s="1194" t="s">
        <v>954</v>
      </c>
      <c r="S72" s="1195"/>
      <c r="T72" s="1195"/>
      <c r="U72" s="1196"/>
      <c r="Y72" s="1194" t="s">
        <v>955</v>
      </c>
      <c r="Z72" s="1195"/>
      <c r="AA72" s="1195"/>
      <c r="AB72" s="1196"/>
      <c r="AF72" s="1194" t="s">
        <v>956</v>
      </c>
      <c r="AG72" s="1195"/>
      <c r="AH72" s="1195"/>
      <c r="AI72" s="1196"/>
      <c r="AM72" s="1194" t="s">
        <v>957</v>
      </c>
      <c r="AN72" s="1195"/>
      <c r="AO72" s="1195"/>
      <c r="AP72" s="1196"/>
      <c r="AT72" s="1194" t="s">
        <v>958</v>
      </c>
      <c r="AU72" s="1195"/>
      <c r="AV72" s="1195"/>
      <c r="AW72" s="1196"/>
      <c r="BA72" s="1194" t="s">
        <v>959</v>
      </c>
      <c r="BB72" s="1195"/>
      <c r="BC72" s="1195"/>
      <c r="BD72" s="1196"/>
    </row>
    <row r="73" spans="4:56" ht="15.75" thickBot="1" x14ac:dyDescent="0.3">
      <c r="D73" s="1197"/>
      <c r="E73" s="1198"/>
      <c r="F73" s="1198"/>
      <c r="G73" s="1199"/>
      <c r="K73" s="1197"/>
      <c r="L73" s="1198"/>
      <c r="M73" s="1198"/>
      <c r="N73" s="1199"/>
      <c r="R73" s="1197"/>
      <c r="S73" s="1198"/>
      <c r="T73" s="1198"/>
      <c r="U73" s="1199"/>
      <c r="Y73" s="1197"/>
      <c r="Z73" s="1198"/>
      <c r="AA73" s="1198"/>
      <c r="AB73" s="1199"/>
      <c r="AF73" s="1197"/>
      <c r="AG73" s="1198"/>
      <c r="AH73" s="1198"/>
      <c r="AI73" s="1199"/>
      <c r="AM73" s="1197"/>
      <c r="AN73" s="1198"/>
      <c r="AO73" s="1198"/>
      <c r="AP73" s="1199"/>
      <c r="AT73" s="1197"/>
      <c r="AU73" s="1198"/>
      <c r="AV73" s="1198"/>
      <c r="AW73" s="1199"/>
      <c r="BA73" s="1197"/>
      <c r="BB73" s="1198"/>
      <c r="BC73" s="1198"/>
      <c r="BD73" s="1199"/>
    </row>
    <row r="74" spans="4:56" ht="25.5" x14ac:dyDescent="0.25">
      <c r="D74" s="1169" t="s">
        <v>101</v>
      </c>
      <c r="E74" s="1170" t="s">
        <v>949</v>
      </c>
      <c r="F74" s="1170" t="s">
        <v>950</v>
      </c>
      <c r="G74" s="1171" t="s">
        <v>951</v>
      </c>
      <c r="K74" s="1169" t="s">
        <v>101</v>
      </c>
      <c r="L74" s="1170" t="s">
        <v>949</v>
      </c>
      <c r="M74" s="1170" t="s">
        <v>950</v>
      </c>
      <c r="N74" s="1171" t="s">
        <v>951</v>
      </c>
      <c r="R74" s="1169" t="s">
        <v>101</v>
      </c>
      <c r="S74" s="1170" t="s">
        <v>949</v>
      </c>
      <c r="T74" s="1170" t="s">
        <v>950</v>
      </c>
      <c r="U74" s="1171" t="s">
        <v>951</v>
      </c>
      <c r="Y74" s="1169" t="s">
        <v>101</v>
      </c>
      <c r="Z74" s="1170" t="s">
        <v>949</v>
      </c>
      <c r="AA74" s="1170" t="s">
        <v>950</v>
      </c>
      <c r="AB74" s="1171" t="s">
        <v>951</v>
      </c>
      <c r="AF74" s="1169" t="s">
        <v>101</v>
      </c>
      <c r="AG74" s="1170" t="s">
        <v>949</v>
      </c>
      <c r="AH74" s="1170" t="s">
        <v>950</v>
      </c>
      <c r="AI74" s="1171" t="s">
        <v>951</v>
      </c>
      <c r="AM74" s="1169" t="s">
        <v>101</v>
      </c>
      <c r="AN74" s="1170" t="s">
        <v>949</v>
      </c>
      <c r="AO74" s="1170" t="s">
        <v>950</v>
      </c>
      <c r="AP74" s="1171" t="s">
        <v>951</v>
      </c>
      <c r="AT74" s="1169" t="s">
        <v>101</v>
      </c>
      <c r="AU74" s="1170" t="s">
        <v>949</v>
      </c>
      <c r="AV74" s="1170" t="s">
        <v>950</v>
      </c>
      <c r="AW74" s="1171" t="s">
        <v>951</v>
      </c>
      <c r="BA74" s="1169" t="s">
        <v>101</v>
      </c>
      <c r="BB74" s="1170" t="s">
        <v>949</v>
      </c>
      <c r="BC74" s="1170" t="s">
        <v>950</v>
      </c>
      <c r="BD74" s="1171" t="s">
        <v>951</v>
      </c>
    </row>
    <row r="75" spans="4:56" x14ac:dyDescent="0.25">
      <c r="D75" s="1172"/>
      <c r="E75" s="1173"/>
      <c r="F75" s="1173"/>
      <c r="G75" s="1174"/>
      <c r="K75" s="1172"/>
      <c r="L75" s="1173"/>
      <c r="M75" s="1173"/>
      <c r="N75" s="1174"/>
      <c r="R75" s="1172"/>
      <c r="S75" s="1173"/>
      <c r="T75" s="1173"/>
      <c r="U75" s="1174"/>
      <c r="Y75" s="1172"/>
      <c r="Z75" s="1173"/>
      <c r="AA75" s="1173"/>
      <c r="AB75" s="1174"/>
      <c r="AF75" s="1172"/>
      <c r="AG75" s="1173"/>
      <c r="AH75" s="1173"/>
      <c r="AI75" s="1174"/>
      <c r="AM75" s="1172"/>
      <c r="AN75" s="1173"/>
      <c r="AO75" s="1173"/>
      <c r="AP75" s="1174"/>
      <c r="AT75" s="1172"/>
      <c r="AU75" s="1173"/>
      <c r="AV75" s="1173"/>
      <c r="AW75" s="1174"/>
      <c r="BA75" s="1172"/>
      <c r="BB75" s="1173"/>
      <c r="BC75" s="1173"/>
      <c r="BD75" s="1174"/>
    </row>
    <row r="76" spans="4:56" ht="15.75" thickBot="1" x14ac:dyDescent="0.3">
      <c r="D76" s="1175"/>
      <c r="E76" s="1015"/>
      <c r="F76" s="1176"/>
      <c r="G76" s="1177" t="s">
        <v>0</v>
      </c>
      <c r="K76" s="1175"/>
      <c r="L76" s="1015"/>
      <c r="M76" s="1176"/>
      <c r="N76" s="1177" t="s">
        <v>0</v>
      </c>
      <c r="R76" s="1175"/>
      <c r="S76" s="1015"/>
      <c r="T76" s="1176"/>
      <c r="U76" s="1177" t="s">
        <v>0</v>
      </c>
      <c r="Y76" s="1175"/>
      <c r="Z76" s="1015"/>
      <c r="AA76" s="1176"/>
      <c r="AB76" s="1177" t="s">
        <v>0</v>
      </c>
      <c r="AF76" s="1175"/>
      <c r="AG76" s="1015"/>
      <c r="AH76" s="1176"/>
      <c r="AI76" s="1177" t="s">
        <v>0</v>
      </c>
      <c r="AM76" s="1175"/>
      <c r="AN76" s="1015"/>
      <c r="AO76" s="1176"/>
      <c r="AP76" s="1177" t="s">
        <v>0</v>
      </c>
      <c r="AT76" s="1175"/>
      <c r="AU76" s="1015"/>
      <c r="AV76" s="1176"/>
      <c r="AW76" s="1177" t="s">
        <v>0</v>
      </c>
      <c r="BA76" s="1175"/>
      <c r="BB76" s="1015"/>
      <c r="BC76" s="1176"/>
      <c r="BD76" s="1177" t="s">
        <v>0</v>
      </c>
    </row>
    <row r="77" spans="4:56" x14ac:dyDescent="0.25">
      <c r="D77" s="1178">
        <v>1</v>
      </c>
      <c r="E77" s="1179">
        <v>6</v>
      </c>
      <c r="F77" s="1188">
        <f>+$E$7</f>
        <v>1.2500000000000001E-2</v>
      </c>
      <c r="G77" s="1181">
        <f t="shared" ref="G77:G86" si="15">+E77/(1+F77)^D77</f>
        <v>5.9259259259259265</v>
      </c>
      <c r="K77" s="1178">
        <v>1</v>
      </c>
      <c r="L77" s="1179">
        <v>4.5</v>
      </c>
      <c r="M77" s="1188">
        <f>+$E$7</f>
        <v>1.2500000000000001E-2</v>
      </c>
      <c r="N77" s="1181">
        <f t="shared" ref="N77:N81" si="16">+L77/(1+M77)^K77</f>
        <v>4.4444444444444446</v>
      </c>
      <c r="R77" s="1178">
        <v>1</v>
      </c>
      <c r="S77" s="1179">
        <v>4</v>
      </c>
      <c r="T77" s="1188">
        <f>+$E$7</f>
        <v>1.2500000000000001E-2</v>
      </c>
      <c r="U77" s="1181">
        <f t="shared" ref="U77:U91" si="17">+S77/(1+T77)^R77</f>
        <v>3.9506172839506175</v>
      </c>
      <c r="Y77" s="1178">
        <v>1</v>
      </c>
      <c r="Z77" s="1179">
        <v>3</v>
      </c>
      <c r="AA77" s="1188">
        <f>+$E$7</f>
        <v>1.2500000000000001E-2</v>
      </c>
      <c r="AB77" s="1181">
        <f t="shared" ref="AB77:AB79" si="18">+Z77/(1+AA77)^Y77</f>
        <v>2.9629629629629632</v>
      </c>
      <c r="AF77" s="1178">
        <v>1</v>
      </c>
      <c r="AG77" s="1179">
        <v>5</v>
      </c>
      <c r="AH77" s="1188">
        <f>+$E$7</f>
        <v>1.2500000000000001E-2</v>
      </c>
      <c r="AI77" s="1181">
        <f t="shared" ref="AI77:AI83" si="19">+AG77/(1+AH77)^AF77</f>
        <v>4.9382716049382722</v>
      </c>
      <c r="AM77" s="1178">
        <v>1</v>
      </c>
      <c r="AN77" s="1179">
        <v>5.5</v>
      </c>
      <c r="AO77" s="1188">
        <f>+$E$7</f>
        <v>1.2500000000000001E-2</v>
      </c>
      <c r="AP77" s="1181">
        <f t="shared" ref="AP77:AP88" si="20">+AN77/(1+AO77)^AM77</f>
        <v>5.4320987654320989</v>
      </c>
      <c r="AT77" s="1178">
        <v>1</v>
      </c>
      <c r="AU77" s="1179">
        <v>3</v>
      </c>
      <c r="AV77" s="1188">
        <f>+$E$7</f>
        <v>1.2500000000000001E-2</v>
      </c>
      <c r="AW77" s="1181">
        <f t="shared" ref="AW77:AW90" si="21">+AU77/(1+AV77)^AT77</f>
        <v>2.9629629629629632</v>
      </c>
      <c r="BA77" s="1178">
        <v>1</v>
      </c>
      <c r="BB77" s="1179">
        <v>6.5</v>
      </c>
      <c r="BC77" s="1188">
        <f>+$O$7</f>
        <v>1.4500000000000001E-2</v>
      </c>
      <c r="BD77" s="1181">
        <f t="shared" ref="BD77:BD83" si="22">+BB77/(1+BC77)^BA77</f>
        <v>6.4070970921636281</v>
      </c>
    </row>
    <row r="78" spans="4:56" x14ac:dyDescent="0.25">
      <c r="D78" s="1182">
        <v>2</v>
      </c>
      <c r="E78" s="1183">
        <v>6</v>
      </c>
      <c r="F78" s="1189">
        <f>+$E$11</f>
        <v>1.3833333333333333E-2</v>
      </c>
      <c r="G78" s="1185">
        <f t="shared" si="15"/>
        <v>5.8373820487367887</v>
      </c>
      <c r="K78" s="1182">
        <v>2</v>
      </c>
      <c r="L78" s="1183">
        <v>4.5</v>
      </c>
      <c r="M78" s="1189">
        <f>+$E$11</f>
        <v>1.3833333333333333E-2</v>
      </c>
      <c r="N78" s="1185">
        <f t="shared" si="16"/>
        <v>4.3780365365525915</v>
      </c>
      <c r="R78" s="1182">
        <v>2</v>
      </c>
      <c r="S78" s="1183">
        <v>4</v>
      </c>
      <c r="T78" s="1189">
        <f>+$E$11</f>
        <v>1.3833333333333333E-2</v>
      </c>
      <c r="U78" s="1185">
        <f t="shared" si="17"/>
        <v>3.8915880324911929</v>
      </c>
      <c r="Y78" s="1182">
        <v>2</v>
      </c>
      <c r="Z78" s="1183">
        <v>3</v>
      </c>
      <c r="AA78" s="1189">
        <f>+$E$11</f>
        <v>1.3833333333333333E-2</v>
      </c>
      <c r="AB78" s="1185">
        <f t="shared" si="18"/>
        <v>2.9186910243683943</v>
      </c>
      <c r="AF78" s="1182">
        <v>2</v>
      </c>
      <c r="AG78" s="1183">
        <v>5</v>
      </c>
      <c r="AH78" s="1189">
        <f>+$E$11</f>
        <v>1.3833333333333333E-2</v>
      </c>
      <c r="AI78" s="1185">
        <f t="shared" si="19"/>
        <v>4.8644850406139906</v>
      </c>
      <c r="AM78" s="1182">
        <v>2</v>
      </c>
      <c r="AN78" s="1183">
        <v>5.5</v>
      </c>
      <c r="AO78" s="1189">
        <f>+$E$11</f>
        <v>1.3833333333333333E-2</v>
      </c>
      <c r="AP78" s="1185">
        <f t="shared" si="20"/>
        <v>5.3509335446753896</v>
      </c>
      <c r="AT78" s="1182">
        <v>2</v>
      </c>
      <c r="AU78" s="1183">
        <v>3</v>
      </c>
      <c r="AV78" s="1189">
        <f>+$E$11</f>
        <v>1.3833333333333333E-2</v>
      </c>
      <c r="AW78" s="1185">
        <f t="shared" si="21"/>
        <v>2.9186910243683943</v>
      </c>
      <c r="BA78" s="1182">
        <v>2</v>
      </c>
      <c r="BB78" s="1183">
        <v>6.5</v>
      </c>
      <c r="BC78" s="1189">
        <f>+$O$11</f>
        <v>1.5833333333333331E-2</v>
      </c>
      <c r="BD78" s="1185">
        <f t="shared" si="22"/>
        <v>6.2989540102331079</v>
      </c>
    </row>
    <row r="79" spans="4:56" x14ac:dyDescent="0.25">
      <c r="D79" s="1182">
        <v>3</v>
      </c>
      <c r="E79" s="1183">
        <v>6</v>
      </c>
      <c r="F79" s="1189">
        <f>+$E$15</f>
        <v>1.5166666666666665E-2</v>
      </c>
      <c r="G79" s="1185">
        <f t="shared" si="15"/>
        <v>5.7350763377616349</v>
      </c>
      <c r="K79" s="1182">
        <v>3</v>
      </c>
      <c r="L79" s="1183">
        <v>4.5</v>
      </c>
      <c r="M79" s="1189">
        <f>+$E$15</f>
        <v>1.5166666666666665E-2</v>
      </c>
      <c r="N79" s="1185">
        <f t="shared" si="16"/>
        <v>4.3013072533212258</v>
      </c>
      <c r="R79" s="1182">
        <v>3</v>
      </c>
      <c r="S79" s="1183">
        <v>4</v>
      </c>
      <c r="T79" s="1189">
        <f>+$E$15</f>
        <v>1.5166666666666665E-2</v>
      </c>
      <c r="U79" s="1185">
        <f t="shared" si="17"/>
        <v>3.8233842251744234</v>
      </c>
      <c r="Y79" s="1182">
        <v>3</v>
      </c>
      <c r="Z79" s="1183">
        <v>103</v>
      </c>
      <c r="AA79" s="1189">
        <f>+$E$15</f>
        <v>1.5166666666666665E-2</v>
      </c>
      <c r="AB79" s="1185">
        <f t="shared" si="18"/>
        <v>98.452143798241394</v>
      </c>
      <c r="AF79" s="1182">
        <v>3</v>
      </c>
      <c r="AG79" s="1183">
        <v>5</v>
      </c>
      <c r="AH79" s="1189">
        <f>+$E$15</f>
        <v>1.5166666666666665E-2</v>
      </c>
      <c r="AI79" s="1185">
        <f t="shared" si="19"/>
        <v>4.7792302814680294</v>
      </c>
      <c r="AM79" s="1182">
        <v>3</v>
      </c>
      <c r="AN79" s="1183">
        <v>5.5</v>
      </c>
      <c r="AO79" s="1189">
        <f>+$E$15</f>
        <v>1.5166666666666665E-2</v>
      </c>
      <c r="AP79" s="1185">
        <f t="shared" si="20"/>
        <v>5.2571533096148322</v>
      </c>
      <c r="AT79" s="1182">
        <v>3</v>
      </c>
      <c r="AU79" s="1183">
        <v>3</v>
      </c>
      <c r="AV79" s="1189">
        <f>+$E$15</f>
        <v>1.5166666666666665E-2</v>
      </c>
      <c r="AW79" s="1185">
        <f t="shared" si="21"/>
        <v>2.8675381688808175</v>
      </c>
      <c r="BA79" s="1182">
        <v>3</v>
      </c>
      <c r="BB79" s="1183">
        <v>6.5</v>
      </c>
      <c r="BC79" s="1189">
        <f>+$O$15</f>
        <v>1.7166666666666663E-2</v>
      </c>
      <c r="BD79" s="1185">
        <f t="shared" si="22"/>
        <v>6.1764225218767015</v>
      </c>
    </row>
    <row r="80" spans="4:56" x14ac:dyDescent="0.25">
      <c r="D80" s="1182">
        <v>4</v>
      </c>
      <c r="E80" s="1183">
        <v>6</v>
      </c>
      <c r="F80" s="1189">
        <f>+$E$19</f>
        <v>1.6500000000000001E-2</v>
      </c>
      <c r="G80" s="1185">
        <f t="shared" si="15"/>
        <v>5.6198111092274017</v>
      </c>
      <c r="K80" s="1182">
        <v>4</v>
      </c>
      <c r="L80" s="1183">
        <v>4.5</v>
      </c>
      <c r="M80" s="1189">
        <f>+$E$19</f>
        <v>1.6500000000000001E-2</v>
      </c>
      <c r="N80" s="1185">
        <f t="shared" si="16"/>
        <v>4.214858331920551</v>
      </c>
      <c r="R80" s="1182">
        <v>4</v>
      </c>
      <c r="S80" s="1183">
        <v>4</v>
      </c>
      <c r="T80" s="1189">
        <f>+$E$19</f>
        <v>1.6500000000000001E-2</v>
      </c>
      <c r="U80" s="1185">
        <f t="shared" si="17"/>
        <v>3.7465407394849342</v>
      </c>
      <c r="Y80" s="1182">
        <v>4</v>
      </c>
      <c r="Z80" s="1183" t="s">
        <v>0</v>
      </c>
      <c r="AA80" s="1184" t="s">
        <v>0</v>
      </c>
      <c r="AB80" s="1185" t="s">
        <v>0</v>
      </c>
      <c r="AF80" s="1182">
        <v>4</v>
      </c>
      <c r="AG80" s="1183">
        <v>5</v>
      </c>
      <c r="AH80" s="1189">
        <f>+$E$19</f>
        <v>1.6500000000000001E-2</v>
      </c>
      <c r="AI80" s="1185">
        <f t="shared" si="19"/>
        <v>4.6831759243561679</v>
      </c>
      <c r="AM80" s="1182">
        <v>4</v>
      </c>
      <c r="AN80" s="1183">
        <v>5.5</v>
      </c>
      <c r="AO80" s="1189">
        <f>+$E$19</f>
        <v>1.6500000000000001E-2</v>
      </c>
      <c r="AP80" s="1185">
        <f t="shared" si="20"/>
        <v>5.1514935167917848</v>
      </c>
      <c r="AT80" s="1182">
        <v>4</v>
      </c>
      <c r="AU80" s="1183">
        <v>3</v>
      </c>
      <c r="AV80" s="1189">
        <f>+$E$19</f>
        <v>1.6500000000000001E-2</v>
      </c>
      <c r="AW80" s="1185">
        <f t="shared" si="21"/>
        <v>2.8099055546137008</v>
      </c>
      <c r="BA80" s="1182">
        <v>4</v>
      </c>
      <c r="BB80" s="1183">
        <v>6.5</v>
      </c>
      <c r="BC80" s="1189">
        <f>+$O$19</f>
        <v>1.8500000000000003E-2</v>
      </c>
      <c r="BD80" s="1185">
        <f t="shared" si="22"/>
        <v>6.0404490195139307</v>
      </c>
    </row>
    <row r="81" spans="4:58" x14ac:dyDescent="0.25">
      <c r="D81" s="1182">
        <v>5</v>
      </c>
      <c r="E81" s="1183">
        <v>6</v>
      </c>
      <c r="F81" s="1189">
        <f>+$E$23</f>
        <v>1.7666666666666664E-2</v>
      </c>
      <c r="G81" s="1185">
        <f t="shared" si="15"/>
        <v>5.4969717176030466</v>
      </c>
      <c r="K81" s="1182">
        <v>5</v>
      </c>
      <c r="L81" s="1183">
        <v>104.5</v>
      </c>
      <c r="M81" s="1189">
        <f>+$E$23</f>
        <v>1.7666666666666664E-2</v>
      </c>
      <c r="N81" s="1185">
        <f t="shared" si="16"/>
        <v>95.738924081586404</v>
      </c>
      <c r="R81" s="1182">
        <v>5</v>
      </c>
      <c r="S81" s="1183">
        <v>4</v>
      </c>
      <c r="T81" s="1189">
        <f>+$E$23</f>
        <v>1.7666666666666664E-2</v>
      </c>
      <c r="U81" s="1185">
        <f t="shared" si="17"/>
        <v>3.6646478117353647</v>
      </c>
      <c r="Y81" s="1182">
        <v>5</v>
      </c>
      <c r="Z81" s="1183" t="s">
        <v>0</v>
      </c>
      <c r="AA81" s="1184" t="s">
        <v>0</v>
      </c>
      <c r="AB81" s="1185" t="s">
        <v>0</v>
      </c>
      <c r="AF81" s="1182">
        <v>5</v>
      </c>
      <c r="AG81" s="1183">
        <v>5</v>
      </c>
      <c r="AH81" s="1189">
        <f>+$E$23</f>
        <v>1.7666666666666664E-2</v>
      </c>
      <c r="AI81" s="1185">
        <f t="shared" si="19"/>
        <v>4.5808097646692056</v>
      </c>
      <c r="AM81" s="1182">
        <v>5</v>
      </c>
      <c r="AN81" s="1183">
        <v>5.5</v>
      </c>
      <c r="AO81" s="1189">
        <f>+$E$23</f>
        <v>1.7666666666666664E-2</v>
      </c>
      <c r="AP81" s="1185">
        <f t="shared" si="20"/>
        <v>5.0388907411361261</v>
      </c>
      <c r="AT81" s="1182">
        <v>5</v>
      </c>
      <c r="AU81" s="1183">
        <v>3</v>
      </c>
      <c r="AV81" s="1189">
        <f>+$E$23</f>
        <v>1.7666666666666664E-2</v>
      </c>
      <c r="AW81" s="1185">
        <f t="shared" si="21"/>
        <v>2.7484858588015233</v>
      </c>
      <c r="BA81" s="1182">
        <v>5</v>
      </c>
      <c r="BB81" s="1183">
        <v>6.5</v>
      </c>
      <c r="BC81" s="1189">
        <f>+$O$23</f>
        <v>1.9666666666666666E-2</v>
      </c>
      <c r="BD81" s="1185">
        <f t="shared" si="22"/>
        <v>5.8968793921328873</v>
      </c>
    </row>
    <row r="82" spans="4:58" x14ac:dyDescent="0.25">
      <c r="D82" s="1182">
        <v>6</v>
      </c>
      <c r="E82" s="1183">
        <v>6</v>
      </c>
      <c r="F82" s="1189">
        <f>+$E$27</f>
        <v>1.8833333333333327E-2</v>
      </c>
      <c r="G82" s="1185">
        <f t="shared" si="15"/>
        <v>5.3645386418246215</v>
      </c>
      <c r="K82" s="1182">
        <v>6</v>
      </c>
      <c r="L82" s="1183" t="s">
        <v>0</v>
      </c>
      <c r="M82" s="1184" t="s">
        <v>0</v>
      </c>
      <c r="N82" s="1185" t="s">
        <v>0</v>
      </c>
      <c r="R82" s="1182">
        <v>6</v>
      </c>
      <c r="S82" s="1183">
        <v>4</v>
      </c>
      <c r="T82" s="1189">
        <f>+$E$27</f>
        <v>1.8833333333333327E-2</v>
      </c>
      <c r="U82" s="1185">
        <f t="shared" si="17"/>
        <v>3.5763590945497472</v>
      </c>
      <c r="Y82" s="1182">
        <v>6</v>
      </c>
      <c r="Z82" s="1183" t="s">
        <v>0</v>
      </c>
      <c r="AA82" s="1184" t="s">
        <v>0</v>
      </c>
      <c r="AB82" s="1185" t="s">
        <v>0</v>
      </c>
      <c r="AF82" s="1182">
        <v>6</v>
      </c>
      <c r="AG82" s="1183">
        <v>5</v>
      </c>
      <c r="AH82" s="1189">
        <f>+$E$27</f>
        <v>1.8833333333333327E-2</v>
      </c>
      <c r="AI82" s="1185">
        <f t="shared" si="19"/>
        <v>4.4704488681871846</v>
      </c>
      <c r="AM82" s="1182">
        <v>6</v>
      </c>
      <c r="AN82" s="1183">
        <v>5.5</v>
      </c>
      <c r="AO82" s="1189">
        <f>+$E$27</f>
        <v>1.8833333333333327E-2</v>
      </c>
      <c r="AP82" s="1185">
        <f t="shared" si="20"/>
        <v>4.9174937550059026</v>
      </c>
      <c r="AT82" s="1182">
        <v>6</v>
      </c>
      <c r="AU82" s="1183">
        <v>3</v>
      </c>
      <c r="AV82" s="1189">
        <f>+$E$27</f>
        <v>1.8833333333333327E-2</v>
      </c>
      <c r="AW82" s="1185">
        <f t="shared" si="21"/>
        <v>2.6822693209123107</v>
      </c>
      <c r="BA82" s="1182">
        <v>6</v>
      </c>
      <c r="BB82" s="1183">
        <v>6.5</v>
      </c>
      <c r="BC82" s="1189">
        <f>+$O$27</f>
        <v>2.0833333333333329E-2</v>
      </c>
      <c r="BD82" s="1185">
        <f t="shared" si="22"/>
        <v>5.7436015062426016</v>
      </c>
    </row>
    <row r="83" spans="4:58" x14ac:dyDescent="0.25">
      <c r="D83" s="1182">
        <v>7</v>
      </c>
      <c r="E83" s="1183">
        <v>6</v>
      </c>
      <c r="F83" s="1189">
        <f>+$E$31</f>
        <v>1.999999999999999E-2</v>
      </c>
      <c r="G83" s="1185">
        <f t="shared" si="15"/>
        <v>5.2233610716834837</v>
      </c>
      <c r="K83" s="1182">
        <v>7</v>
      </c>
      <c r="L83" s="1183" t="s">
        <v>0</v>
      </c>
      <c r="M83" s="1184" t="s">
        <v>0</v>
      </c>
      <c r="N83" s="1185" t="s">
        <v>0</v>
      </c>
      <c r="R83" s="1182">
        <v>7</v>
      </c>
      <c r="S83" s="1183">
        <v>4</v>
      </c>
      <c r="T83" s="1189">
        <f>+$E$31</f>
        <v>1.999999999999999E-2</v>
      </c>
      <c r="U83" s="1185">
        <f t="shared" si="17"/>
        <v>3.4822407144556555</v>
      </c>
      <c r="Y83" s="1182">
        <v>7</v>
      </c>
      <c r="Z83" s="1183" t="s">
        <v>99</v>
      </c>
      <c r="AA83" s="1184" t="s">
        <v>0</v>
      </c>
      <c r="AB83" s="1185" t="s">
        <v>99</v>
      </c>
      <c r="AF83" s="1182">
        <v>7</v>
      </c>
      <c r="AG83" s="1183">
        <v>105</v>
      </c>
      <c r="AH83" s="1189">
        <f>+$E$31</f>
        <v>1.999999999999999E-2</v>
      </c>
      <c r="AI83" s="1185">
        <f t="shared" si="19"/>
        <v>91.408818754460967</v>
      </c>
      <c r="AM83" s="1182">
        <v>7</v>
      </c>
      <c r="AN83" s="1183">
        <v>5.5</v>
      </c>
      <c r="AO83" s="1189">
        <f>+$E$31</f>
        <v>1.999999999999999E-2</v>
      </c>
      <c r="AP83" s="1185">
        <f t="shared" si="20"/>
        <v>4.7880809823765267</v>
      </c>
      <c r="AT83" s="1182">
        <v>7</v>
      </c>
      <c r="AU83" s="1183">
        <v>3</v>
      </c>
      <c r="AV83" s="1189">
        <f>+$E$31</f>
        <v>1.999999999999999E-2</v>
      </c>
      <c r="AW83" s="1185">
        <f t="shared" si="21"/>
        <v>2.6116805358417419</v>
      </c>
      <c r="BA83" s="1182">
        <v>7</v>
      </c>
      <c r="BB83" s="1183">
        <v>106.5</v>
      </c>
      <c r="BC83" s="1189">
        <f>+$O$31</f>
        <v>2.1999999999999992E-2</v>
      </c>
      <c r="BD83" s="1185">
        <f t="shared" si="22"/>
        <v>91.452027271622427</v>
      </c>
    </row>
    <row r="84" spans="4:58" x14ac:dyDescent="0.25">
      <c r="D84" s="1182">
        <v>8</v>
      </c>
      <c r="E84" s="1183">
        <v>6</v>
      </c>
      <c r="F84" s="1189">
        <f>+$E$35</f>
        <v>2.0999999999999991E-2</v>
      </c>
      <c r="G84" s="1185">
        <f t="shared" si="15"/>
        <v>5.0809545920997223</v>
      </c>
      <c r="K84" s="1182">
        <v>8</v>
      </c>
      <c r="L84" s="1183" t="s">
        <v>0</v>
      </c>
      <c r="M84" s="1184" t="s">
        <v>0</v>
      </c>
      <c r="N84" s="1185" t="s">
        <v>0</v>
      </c>
      <c r="R84" s="1182">
        <v>8</v>
      </c>
      <c r="S84" s="1183">
        <v>4</v>
      </c>
      <c r="T84" s="1189">
        <f>+$E$35</f>
        <v>2.0999999999999991E-2</v>
      </c>
      <c r="U84" s="1185">
        <f t="shared" si="17"/>
        <v>3.3873030613998147</v>
      </c>
      <c r="Y84" s="1182">
        <v>8</v>
      </c>
      <c r="Z84" s="1183" t="s">
        <v>0</v>
      </c>
      <c r="AA84" s="1184" t="s">
        <v>0</v>
      </c>
      <c r="AB84" s="1185" t="s">
        <v>0</v>
      </c>
      <c r="AF84" s="1182">
        <v>8</v>
      </c>
      <c r="AG84" s="1183" t="s">
        <v>0</v>
      </c>
      <c r="AH84" s="1189" t="s">
        <v>0</v>
      </c>
      <c r="AI84" s="1185" t="s">
        <v>0</v>
      </c>
      <c r="AM84" s="1182">
        <v>8</v>
      </c>
      <c r="AN84" s="1183">
        <v>5.5</v>
      </c>
      <c r="AO84" s="1189">
        <f>+$E$35</f>
        <v>2.0999999999999991E-2</v>
      </c>
      <c r="AP84" s="1185">
        <f t="shared" si="20"/>
        <v>4.6575417094247458</v>
      </c>
      <c r="AT84" s="1182">
        <v>8</v>
      </c>
      <c r="AU84" s="1183">
        <v>3</v>
      </c>
      <c r="AV84" s="1189">
        <f>+$E$35</f>
        <v>2.0999999999999991E-2</v>
      </c>
      <c r="AW84" s="1185">
        <f t="shared" si="21"/>
        <v>2.5404772960498612</v>
      </c>
      <c r="BA84" s="1182">
        <v>8</v>
      </c>
      <c r="BB84" s="1183" t="s">
        <v>0</v>
      </c>
      <c r="BC84" s="1184" t="s">
        <v>0</v>
      </c>
      <c r="BD84" s="1185" t="s">
        <v>0</v>
      </c>
    </row>
    <row r="85" spans="4:58" x14ac:dyDescent="0.25">
      <c r="D85" s="1182">
        <v>9</v>
      </c>
      <c r="E85" s="1183">
        <v>6</v>
      </c>
      <c r="F85" s="1189">
        <f>+$E$39</f>
        <v>2.1999999999999992E-2</v>
      </c>
      <c r="G85" s="1185">
        <f t="shared" si="15"/>
        <v>4.9327963746137886</v>
      </c>
      <c r="K85" s="1182">
        <v>9</v>
      </c>
      <c r="L85" s="1183" t="s">
        <v>98</v>
      </c>
      <c r="M85" s="1184" t="s">
        <v>0</v>
      </c>
      <c r="N85" s="1185" t="s">
        <v>0</v>
      </c>
      <c r="R85" s="1182">
        <v>9</v>
      </c>
      <c r="S85" s="1183">
        <v>4</v>
      </c>
      <c r="T85" s="1189">
        <f>+$E$39</f>
        <v>2.1999999999999992E-2</v>
      </c>
      <c r="U85" s="1185">
        <f t="shared" si="17"/>
        <v>3.2885309164091923</v>
      </c>
      <c r="Y85" s="1182">
        <v>9</v>
      </c>
      <c r="Z85" s="1183" t="s">
        <v>0</v>
      </c>
      <c r="AA85" s="1184" t="s">
        <v>0</v>
      </c>
      <c r="AB85" s="1185" t="s">
        <v>0</v>
      </c>
      <c r="AF85" s="1182">
        <v>9</v>
      </c>
      <c r="AG85" s="1183" t="s">
        <v>0</v>
      </c>
      <c r="AH85" s="1189" t="s">
        <v>0</v>
      </c>
      <c r="AI85" s="1185" t="s">
        <v>0</v>
      </c>
      <c r="AM85" s="1182">
        <v>9</v>
      </c>
      <c r="AN85" s="1183">
        <v>5.5</v>
      </c>
      <c r="AO85" s="1189">
        <f>+$E$39</f>
        <v>2.1999999999999992E-2</v>
      </c>
      <c r="AP85" s="1185">
        <f t="shared" si="20"/>
        <v>4.5217300100626394</v>
      </c>
      <c r="AT85" s="1182">
        <v>9</v>
      </c>
      <c r="AU85" s="1183">
        <v>3</v>
      </c>
      <c r="AV85" s="1189">
        <f>+$E$39</f>
        <v>2.1999999999999992E-2</v>
      </c>
      <c r="AW85" s="1185">
        <f t="shared" si="21"/>
        <v>2.4663981873068943</v>
      </c>
      <c r="BA85" s="1182">
        <v>9</v>
      </c>
      <c r="BB85" s="1183" t="s">
        <v>0</v>
      </c>
      <c r="BC85" s="1184" t="s">
        <v>0</v>
      </c>
      <c r="BD85" s="1185" t="s">
        <v>0</v>
      </c>
    </row>
    <row r="86" spans="4:58" ht="15.75" thickBot="1" x14ac:dyDescent="0.3">
      <c r="D86" s="1175">
        <v>10</v>
      </c>
      <c r="E86" s="1176">
        <v>106</v>
      </c>
      <c r="F86" s="1190">
        <f>+$E$43</f>
        <v>2.2583333333333327E-2</v>
      </c>
      <c r="G86" s="1187">
        <f t="shared" si="15"/>
        <v>84.784949272206163</v>
      </c>
      <c r="K86" s="1175">
        <v>10</v>
      </c>
      <c r="L86" s="1176" t="s">
        <v>0</v>
      </c>
      <c r="M86" s="1186" t="s">
        <v>0</v>
      </c>
      <c r="N86" s="1187" t="s">
        <v>0</v>
      </c>
      <c r="R86" s="1175">
        <v>10</v>
      </c>
      <c r="S86" s="1176">
        <v>4</v>
      </c>
      <c r="T86" s="1190">
        <f>+$E$43</f>
        <v>2.2583333333333327E-2</v>
      </c>
      <c r="U86" s="1187">
        <f t="shared" si="17"/>
        <v>3.1994320480077798</v>
      </c>
      <c r="Y86" s="1175">
        <v>10</v>
      </c>
      <c r="Z86" s="1176" t="s">
        <v>0</v>
      </c>
      <c r="AA86" s="1186" t="s">
        <v>0</v>
      </c>
      <c r="AB86" s="1187" t="s">
        <v>0</v>
      </c>
      <c r="AF86" s="1175">
        <v>10</v>
      </c>
      <c r="AG86" s="1176" t="s">
        <v>0</v>
      </c>
      <c r="AH86" s="1190" t="s">
        <v>0</v>
      </c>
      <c r="AI86" s="1187" t="s">
        <v>0</v>
      </c>
      <c r="AM86" s="1175">
        <v>10</v>
      </c>
      <c r="AN86" s="1176">
        <v>5.5</v>
      </c>
      <c r="AO86" s="1190">
        <f>+$E$43</f>
        <v>2.2583333333333327E-2</v>
      </c>
      <c r="AP86" s="1187">
        <f t="shared" si="20"/>
        <v>4.3992190660106978</v>
      </c>
      <c r="AT86" s="1175">
        <v>10</v>
      </c>
      <c r="AU86" s="1176">
        <v>3</v>
      </c>
      <c r="AV86" s="1190">
        <f>+$E$43</f>
        <v>2.2583333333333327E-2</v>
      </c>
      <c r="AW86" s="1187">
        <f t="shared" si="21"/>
        <v>2.3995740360058351</v>
      </c>
      <c r="BA86" s="1175">
        <v>10</v>
      </c>
      <c r="BB86" s="1176" t="s">
        <v>0</v>
      </c>
      <c r="BC86" s="1186" t="s">
        <v>0</v>
      </c>
      <c r="BD86" s="1187" t="s">
        <v>99</v>
      </c>
    </row>
    <row r="87" spans="4:58" x14ac:dyDescent="0.25">
      <c r="D87" s="1178">
        <v>11</v>
      </c>
      <c r="E87" s="1179"/>
      <c r="F87" s="1180" t="s">
        <v>0</v>
      </c>
      <c r="G87" s="1181"/>
      <c r="K87" s="1182">
        <v>11</v>
      </c>
      <c r="L87" s="1183"/>
      <c r="M87" s="1184" t="s">
        <v>0</v>
      </c>
      <c r="N87" s="1185"/>
      <c r="R87" s="1182">
        <v>11</v>
      </c>
      <c r="S87" s="1183">
        <v>4</v>
      </c>
      <c r="T87" s="1189">
        <f>+$E$47</f>
        <v>2.3083333333333327E-2</v>
      </c>
      <c r="U87" s="1185">
        <f t="shared" si="17"/>
        <v>3.1119949501181825</v>
      </c>
      <c r="Y87" s="1182">
        <v>11</v>
      </c>
      <c r="Z87" s="1183" t="s">
        <v>0</v>
      </c>
      <c r="AA87" s="1184" t="s">
        <v>0</v>
      </c>
      <c r="AB87" s="1185" t="s">
        <v>0</v>
      </c>
      <c r="AF87" s="1182">
        <v>11</v>
      </c>
      <c r="AG87" s="1183" t="s">
        <v>0</v>
      </c>
      <c r="AH87" s="1189" t="s">
        <v>99</v>
      </c>
      <c r="AI87" s="1185" t="s">
        <v>0</v>
      </c>
      <c r="AM87" s="1182">
        <v>11</v>
      </c>
      <c r="AN87" s="1183">
        <v>5.5</v>
      </c>
      <c r="AO87" s="1189">
        <f>+$E$47</f>
        <v>2.3083333333333327E-2</v>
      </c>
      <c r="AP87" s="1185">
        <f t="shared" si="20"/>
        <v>4.2789930564125012</v>
      </c>
      <c r="AT87" s="1182">
        <v>11</v>
      </c>
      <c r="AU87" s="1183">
        <v>3</v>
      </c>
      <c r="AV87" s="1189">
        <f>+$E$47</f>
        <v>2.3083333333333327E-2</v>
      </c>
      <c r="AW87" s="1185">
        <f t="shared" si="21"/>
        <v>2.3339962125886369</v>
      </c>
      <c r="BA87" s="1182">
        <v>11</v>
      </c>
      <c r="BB87" s="1183" t="s">
        <v>99</v>
      </c>
      <c r="BC87" s="1184" t="s">
        <v>99</v>
      </c>
      <c r="BD87" s="1185" t="s">
        <v>0</v>
      </c>
    </row>
    <row r="88" spans="4:58" x14ac:dyDescent="0.25">
      <c r="D88" s="1182">
        <v>12</v>
      </c>
      <c r="E88" s="1183"/>
      <c r="F88" s="1184" t="s">
        <v>0</v>
      </c>
      <c r="G88" s="1185"/>
      <c r="K88" s="1182">
        <v>12</v>
      </c>
      <c r="L88" s="1183"/>
      <c r="M88" s="1184" t="s">
        <v>0</v>
      </c>
      <c r="N88" s="1185"/>
      <c r="R88" s="1182">
        <v>12</v>
      </c>
      <c r="S88" s="1183">
        <v>4</v>
      </c>
      <c r="T88" s="1189">
        <f>+$E$51</f>
        <v>2.3499999999999997E-2</v>
      </c>
      <c r="U88" s="1185">
        <f t="shared" si="17"/>
        <v>3.0269540433748774</v>
      </c>
      <c r="Y88" s="1182">
        <v>12</v>
      </c>
      <c r="Z88" s="1183" t="s">
        <v>0</v>
      </c>
      <c r="AA88" s="1184" t="s">
        <v>0</v>
      </c>
      <c r="AB88" s="1185" t="s">
        <v>0</v>
      </c>
      <c r="AF88" s="1182">
        <v>12</v>
      </c>
      <c r="AG88" s="1183" t="s">
        <v>0</v>
      </c>
      <c r="AH88" s="1189" t="s">
        <v>0</v>
      </c>
      <c r="AI88" s="1185" t="s">
        <v>0</v>
      </c>
      <c r="AM88" s="1182">
        <v>12</v>
      </c>
      <c r="AN88" s="1183">
        <v>105.5</v>
      </c>
      <c r="AO88" s="1189">
        <f>+$E$51</f>
        <v>2.3499999999999997E-2</v>
      </c>
      <c r="AP88" s="1185">
        <f t="shared" si="20"/>
        <v>79.835912894012395</v>
      </c>
      <c r="AT88" s="1182">
        <v>12</v>
      </c>
      <c r="AU88" s="1183">
        <v>3</v>
      </c>
      <c r="AV88" s="1189">
        <f>+$E$51</f>
        <v>2.3499999999999997E-2</v>
      </c>
      <c r="AW88" s="1185">
        <f t="shared" si="21"/>
        <v>2.2702155325311582</v>
      </c>
      <c r="BA88" s="1182">
        <v>12</v>
      </c>
      <c r="BB88" s="1183" t="s">
        <v>0</v>
      </c>
      <c r="BC88" s="1184" t="s">
        <v>0</v>
      </c>
      <c r="BD88" s="1185" t="s">
        <v>0</v>
      </c>
    </row>
    <row r="89" spans="4:58" x14ac:dyDescent="0.25">
      <c r="D89" s="1182">
        <v>13</v>
      </c>
      <c r="E89" s="1183"/>
      <c r="F89" s="1184" t="s">
        <v>99</v>
      </c>
      <c r="G89" s="1185"/>
      <c r="K89" s="1182">
        <v>13</v>
      </c>
      <c r="L89" s="1183"/>
      <c r="M89" s="1184" t="s">
        <v>0</v>
      </c>
      <c r="N89" s="1185"/>
      <c r="R89" s="1182">
        <v>13</v>
      </c>
      <c r="S89" s="1183">
        <v>4</v>
      </c>
      <c r="T89" s="1189">
        <f>+$E$55</f>
        <v>2.3916666666666666E-2</v>
      </c>
      <c r="U89" s="1185">
        <f t="shared" si="17"/>
        <v>2.9418466630550206</v>
      </c>
      <c r="Y89" s="1182">
        <v>13</v>
      </c>
      <c r="Z89" s="1183" t="s">
        <v>0</v>
      </c>
      <c r="AA89" s="1184" t="s">
        <v>0</v>
      </c>
      <c r="AB89" s="1185" t="s">
        <v>0</v>
      </c>
      <c r="AF89" s="1182">
        <v>13</v>
      </c>
      <c r="AG89" s="1183" t="s">
        <v>0</v>
      </c>
      <c r="AH89" s="1189" t="s">
        <v>0</v>
      </c>
      <c r="AI89" s="1185" t="s">
        <v>0</v>
      </c>
      <c r="AM89" s="1182">
        <v>13</v>
      </c>
      <c r="AN89" s="1183" t="s">
        <v>0</v>
      </c>
      <c r="AO89" s="1184" t="s">
        <v>0</v>
      </c>
      <c r="AP89" s="1185" t="s">
        <v>0</v>
      </c>
      <c r="AT89" s="1182">
        <v>13</v>
      </c>
      <c r="AU89" s="1183">
        <v>3</v>
      </c>
      <c r="AV89" s="1189">
        <f>+$E$55</f>
        <v>2.3916666666666666E-2</v>
      </c>
      <c r="AW89" s="1185">
        <f t="shared" si="21"/>
        <v>2.2063849972912655</v>
      </c>
      <c r="BA89" s="1182">
        <v>13</v>
      </c>
      <c r="BB89" s="1183" t="s">
        <v>0</v>
      </c>
      <c r="BC89" s="1184" t="s">
        <v>0</v>
      </c>
      <c r="BD89" s="1185" t="s">
        <v>99</v>
      </c>
    </row>
    <row r="90" spans="4:58" x14ac:dyDescent="0.25">
      <c r="D90" s="1182">
        <v>14</v>
      </c>
      <c r="E90" s="1183"/>
      <c r="F90" s="1184" t="s">
        <v>0</v>
      </c>
      <c r="G90" s="1185"/>
      <c r="K90" s="1182">
        <v>14</v>
      </c>
      <c r="L90" s="1183"/>
      <c r="M90" s="1184" t="s">
        <v>0</v>
      </c>
      <c r="N90" s="1185"/>
      <c r="R90" s="1182">
        <v>14</v>
      </c>
      <c r="S90" s="1183">
        <v>4</v>
      </c>
      <c r="T90" s="1189">
        <f>+$E$59</f>
        <v>2.429166666666667E-2</v>
      </c>
      <c r="U90" s="1185">
        <f t="shared" si="17"/>
        <v>2.8584397272741668</v>
      </c>
      <c r="Y90" s="1182">
        <v>14</v>
      </c>
      <c r="Z90" s="1183" t="s">
        <v>0</v>
      </c>
      <c r="AA90" s="1184" t="s">
        <v>0</v>
      </c>
      <c r="AB90" s="1185" t="s">
        <v>99</v>
      </c>
      <c r="AF90" s="1182">
        <v>14</v>
      </c>
      <c r="AG90" s="1183" t="s">
        <v>0</v>
      </c>
      <c r="AH90" s="1189" t="s">
        <v>0</v>
      </c>
      <c r="AI90" s="1185" t="s">
        <v>0</v>
      </c>
      <c r="AM90" s="1182">
        <v>14</v>
      </c>
      <c r="AN90" s="1183" t="s">
        <v>0</v>
      </c>
      <c r="AO90" s="1184" t="s">
        <v>0</v>
      </c>
      <c r="AP90" s="1185" t="s">
        <v>99</v>
      </c>
      <c r="AT90" s="1182">
        <v>14</v>
      </c>
      <c r="AU90" s="1183">
        <v>103</v>
      </c>
      <c r="AV90" s="1189">
        <f>+$E$59</f>
        <v>2.429166666666667E-2</v>
      </c>
      <c r="AW90" s="1185">
        <f t="shared" si="21"/>
        <v>73.604822977309794</v>
      </c>
      <c r="BA90" s="1182">
        <v>14</v>
      </c>
      <c r="BB90" s="1183" t="s">
        <v>0</v>
      </c>
      <c r="BC90" s="1184" t="s">
        <v>0</v>
      </c>
      <c r="BD90" s="1185" t="s">
        <v>0</v>
      </c>
    </row>
    <row r="91" spans="4:58" x14ac:dyDescent="0.25">
      <c r="D91" s="1182">
        <v>15</v>
      </c>
      <c r="E91" s="1183"/>
      <c r="F91" s="1184" t="s">
        <v>0</v>
      </c>
      <c r="G91" s="1185"/>
      <c r="K91" s="1182">
        <v>15</v>
      </c>
      <c r="L91" s="1183"/>
      <c r="M91" s="1184" t="s">
        <v>0</v>
      </c>
      <c r="N91" s="1185"/>
      <c r="R91" s="1182">
        <v>15</v>
      </c>
      <c r="S91" s="1183">
        <v>104</v>
      </c>
      <c r="T91" s="1189">
        <f>+$E$63</f>
        <v>2.4625000000000008E-2</v>
      </c>
      <c r="U91" s="1185">
        <f t="shared" si="17"/>
        <v>72.203644269768319</v>
      </c>
      <c r="Y91" s="1182">
        <v>15</v>
      </c>
      <c r="Z91" s="1183" t="s">
        <v>0</v>
      </c>
      <c r="AA91" s="1184" t="s">
        <v>0</v>
      </c>
      <c r="AB91" s="1185" t="s">
        <v>0</v>
      </c>
      <c r="AF91" s="1182">
        <v>15</v>
      </c>
      <c r="AG91" s="1183" t="s">
        <v>0</v>
      </c>
      <c r="AH91" s="1189" t="s">
        <v>0</v>
      </c>
      <c r="AI91" s="1185" t="s">
        <v>0</v>
      </c>
      <c r="AM91" s="1182">
        <v>15</v>
      </c>
      <c r="AN91" s="1183" t="s">
        <v>0</v>
      </c>
      <c r="AO91" s="1184" t="s">
        <v>0</v>
      </c>
      <c r="AP91" s="1185" t="s">
        <v>0</v>
      </c>
      <c r="AT91" s="1182">
        <v>15</v>
      </c>
      <c r="AU91" s="1183" t="s">
        <v>0</v>
      </c>
      <c r="AV91" s="1184" t="s">
        <v>0</v>
      </c>
      <c r="AW91" s="1185" t="s">
        <v>0</v>
      </c>
      <c r="BA91" s="1182">
        <v>15</v>
      </c>
      <c r="BB91" s="1183" t="s">
        <v>0</v>
      </c>
      <c r="BC91" s="1184" t="s">
        <v>0</v>
      </c>
      <c r="BD91" s="1185" t="s">
        <v>0</v>
      </c>
    </row>
    <row r="92" spans="4:58" ht="15.75" thickBot="1" x14ac:dyDescent="0.3">
      <c r="D92" s="1182"/>
      <c r="E92" s="1183"/>
      <c r="F92" s="1184"/>
      <c r="G92" s="1185"/>
      <c r="K92" s="1182"/>
      <c r="L92" s="1183"/>
      <c r="M92" s="1184"/>
      <c r="N92" s="1185"/>
      <c r="R92" s="1182"/>
      <c r="S92" s="1183"/>
      <c r="T92" s="1184"/>
      <c r="U92" s="1185"/>
      <c r="Y92" s="1182"/>
      <c r="Z92" s="1183"/>
      <c r="AA92" s="1184"/>
      <c r="AB92" s="1185"/>
      <c r="AF92" s="1182"/>
      <c r="AG92" s="1183"/>
      <c r="AH92" s="1184"/>
      <c r="AI92" s="1185"/>
      <c r="AM92" s="1182"/>
      <c r="AN92" s="1183"/>
      <c r="AO92" s="1184"/>
      <c r="AP92" s="1185"/>
      <c r="AT92" s="1182"/>
      <c r="AU92" s="1183"/>
      <c r="AV92" s="1184"/>
      <c r="AW92" s="1185"/>
      <c r="BA92" s="1182"/>
      <c r="BB92" s="1183"/>
      <c r="BC92" s="1184"/>
      <c r="BD92" s="1185"/>
    </row>
    <row r="93" spans="4:58" ht="15.75" thickBot="1" x14ac:dyDescent="0.3">
      <c r="D93" s="1175"/>
      <c r="E93" s="1191" t="s">
        <v>0</v>
      </c>
      <c r="F93" s="1192" t="s">
        <v>16</v>
      </c>
      <c r="G93" s="1193">
        <f>SUM(G77:G86)</f>
        <v>134.00176709168258</v>
      </c>
      <c r="H93" s="1338" t="s">
        <v>198</v>
      </c>
      <c r="I93" s="1339">
        <v>7.9345487340569623</v>
      </c>
      <c r="K93" s="1175"/>
      <c r="L93" s="1191" t="s">
        <v>0</v>
      </c>
      <c r="M93" s="1192" t="s">
        <v>16</v>
      </c>
      <c r="N93" s="1193">
        <f>SUM(N77:N86)</f>
        <v>113.07757064782521</v>
      </c>
      <c r="O93" s="1338" t="s">
        <v>198</v>
      </c>
      <c r="P93" s="1340">
        <v>4.5341182836581346</v>
      </c>
      <c r="R93" s="1175"/>
      <c r="S93" s="1191" t="s">
        <v>0</v>
      </c>
      <c r="T93" s="1192" t="s">
        <v>16</v>
      </c>
      <c r="U93" s="1193">
        <f>SUM(U77:U91)</f>
        <v>120.15352358124929</v>
      </c>
      <c r="V93" s="1338" t="s">
        <v>198</v>
      </c>
      <c r="W93" s="1340">
        <v>11.566459250441525</v>
      </c>
      <c r="Y93" s="1175"/>
      <c r="Z93" s="1191" t="s">
        <v>0</v>
      </c>
      <c r="AA93" s="1192" t="s">
        <v>16</v>
      </c>
      <c r="AB93" s="1193">
        <f>SUM(AB77:AB91)</f>
        <v>104.33379778557276</v>
      </c>
      <c r="AC93" s="1338" t="s">
        <v>198</v>
      </c>
      <c r="AD93" s="1340">
        <v>2.8718197962068235</v>
      </c>
      <c r="AF93" s="1175"/>
      <c r="AG93" s="1191" t="s">
        <v>0</v>
      </c>
      <c r="AH93" s="1192" t="s">
        <v>16</v>
      </c>
      <c r="AI93" s="1193">
        <f>SUM(AI77:AI91)</f>
        <v>119.72524023869381</v>
      </c>
      <c r="AJ93" s="1338" t="s">
        <v>198</v>
      </c>
      <c r="AK93" s="1340">
        <v>6.0402636244638757</v>
      </c>
      <c r="AM93" s="1175"/>
      <c r="AN93" s="1191" t="s">
        <v>0</v>
      </c>
      <c r="AO93" s="1192" t="s">
        <v>16</v>
      </c>
      <c r="AP93" s="1193">
        <f>SUM(AP77:AP91)</f>
        <v>133.62954135095566</v>
      </c>
      <c r="AQ93" s="1338" t="s">
        <v>198</v>
      </c>
      <c r="AR93" s="1340">
        <v>9.276882895941716</v>
      </c>
      <c r="AT93" s="1175"/>
      <c r="AU93" s="1191" t="s">
        <v>0</v>
      </c>
      <c r="AV93" s="1192" t="s">
        <v>16</v>
      </c>
      <c r="AW93" s="1193">
        <f>SUM(AW77:AW91)</f>
        <v>107.42340266546489</v>
      </c>
      <c r="AX93" s="1338" t="s">
        <v>198</v>
      </c>
      <c r="AY93" s="1340">
        <v>11.415327588452504</v>
      </c>
      <c r="BA93" s="1175"/>
      <c r="BB93" s="1191" t="s">
        <v>0</v>
      </c>
      <c r="BC93" s="1192" t="s">
        <v>16</v>
      </c>
      <c r="BD93" s="1193">
        <f>SUM(BD77:BD91)</f>
        <v>128.01543081378529</v>
      </c>
      <c r="BE93" s="1338" t="s">
        <v>198</v>
      </c>
      <c r="BF93" s="1340">
        <v>5.8564137369181859</v>
      </c>
    </row>
    <row r="95" spans="4:58" ht="20.25" x14ac:dyDescent="0.3">
      <c r="D95" s="164" t="s">
        <v>968</v>
      </c>
    </row>
    <row r="96" spans="4:58" ht="15.75" thickBot="1" x14ac:dyDescent="0.3"/>
    <row r="97" spans="4:56" ht="25.5" x14ac:dyDescent="0.25">
      <c r="D97" s="1169" t="s">
        <v>101</v>
      </c>
      <c r="E97" s="1170" t="s">
        <v>949</v>
      </c>
      <c r="F97" s="1170" t="s">
        <v>950</v>
      </c>
      <c r="G97" s="1171" t="s">
        <v>951</v>
      </c>
      <c r="K97" s="1169" t="s">
        <v>101</v>
      </c>
      <c r="L97" s="1170" t="s">
        <v>949</v>
      </c>
      <c r="M97" s="1170" t="s">
        <v>950</v>
      </c>
      <c r="N97" s="1171" t="s">
        <v>951</v>
      </c>
      <c r="R97" s="1169" t="s">
        <v>101</v>
      </c>
      <c r="S97" s="1170" t="s">
        <v>949</v>
      </c>
      <c r="T97" s="1170" t="s">
        <v>950</v>
      </c>
      <c r="U97" s="1171" t="s">
        <v>951</v>
      </c>
      <c r="Y97" s="1169" t="s">
        <v>101</v>
      </c>
      <c r="Z97" s="1170" t="s">
        <v>949</v>
      </c>
      <c r="AA97" s="1170" t="s">
        <v>950</v>
      </c>
      <c r="AB97" s="1171" t="s">
        <v>951</v>
      </c>
      <c r="AF97" s="1169" t="s">
        <v>101</v>
      </c>
      <c r="AG97" s="1170" t="s">
        <v>949</v>
      </c>
      <c r="AH97" s="1170" t="s">
        <v>950</v>
      </c>
      <c r="AI97" s="1171" t="s">
        <v>951</v>
      </c>
      <c r="AM97" s="1169" t="s">
        <v>101</v>
      </c>
      <c r="AN97" s="1170" t="s">
        <v>949</v>
      </c>
      <c r="AO97" s="1170" t="s">
        <v>950</v>
      </c>
      <c r="AP97" s="1171" t="s">
        <v>951</v>
      </c>
      <c r="AT97" s="1169" t="s">
        <v>101</v>
      </c>
      <c r="AU97" s="1170" t="s">
        <v>949</v>
      </c>
      <c r="AV97" s="1170" t="s">
        <v>950</v>
      </c>
      <c r="AW97" s="1171" t="s">
        <v>951</v>
      </c>
      <c r="BA97" s="1169" t="s">
        <v>101</v>
      </c>
      <c r="BB97" s="1170" t="s">
        <v>949</v>
      </c>
      <c r="BC97" s="1170" t="s">
        <v>950</v>
      </c>
      <c r="BD97" s="1171" t="s">
        <v>951</v>
      </c>
    </row>
    <row r="98" spans="4:56" x14ac:dyDescent="0.25">
      <c r="D98" s="1172"/>
      <c r="E98" s="1173"/>
      <c r="F98" s="1173"/>
      <c r="G98" s="1174"/>
      <c r="K98" s="1172"/>
      <c r="L98" s="1173"/>
      <c r="M98" s="1173"/>
      <c r="N98" s="1174"/>
      <c r="R98" s="1172"/>
      <c r="S98" s="1173"/>
      <c r="T98" s="1173"/>
      <c r="U98" s="1174"/>
      <c r="Y98" s="1172"/>
      <c r="Z98" s="1173"/>
      <c r="AA98" s="1173"/>
      <c r="AB98" s="1174"/>
      <c r="AF98" s="1172"/>
      <c r="AG98" s="1173"/>
      <c r="AH98" s="1173"/>
      <c r="AI98" s="1174"/>
      <c r="AM98" s="1172"/>
      <c r="AN98" s="1173"/>
      <c r="AO98" s="1173"/>
      <c r="AP98" s="1174"/>
      <c r="AT98" s="1172"/>
      <c r="AU98" s="1173"/>
      <c r="AV98" s="1173"/>
      <c r="AW98" s="1174"/>
      <c r="BA98" s="1172"/>
      <c r="BB98" s="1173"/>
      <c r="BC98" s="1173"/>
      <c r="BD98" s="1174"/>
    </row>
    <row r="99" spans="4:56" ht="15.75" thickBot="1" x14ac:dyDescent="0.3">
      <c r="D99" s="1175"/>
      <c r="E99" s="1015"/>
      <c r="F99" s="1183"/>
      <c r="G99" s="1177" t="s">
        <v>0</v>
      </c>
      <c r="K99" s="1175"/>
      <c r="L99" s="1015"/>
      <c r="M99" s="1176"/>
      <c r="N99" s="1177" t="s">
        <v>0</v>
      </c>
      <c r="R99" s="1175"/>
      <c r="S99" s="1015"/>
      <c r="T99" s="1176"/>
      <c r="U99" s="1177" t="s">
        <v>0</v>
      </c>
      <c r="Y99" s="1175"/>
      <c r="Z99" s="1015"/>
      <c r="AA99" s="1176"/>
      <c r="AB99" s="1177" t="s">
        <v>0</v>
      </c>
      <c r="AF99" s="1175"/>
      <c r="AG99" s="1015"/>
      <c r="AH99" s="1176"/>
      <c r="AI99" s="1177" t="s">
        <v>0</v>
      </c>
      <c r="AM99" s="1175"/>
      <c r="AN99" s="1015"/>
      <c r="AO99" s="1176"/>
      <c r="AP99" s="1177" t="s">
        <v>0</v>
      </c>
      <c r="AT99" s="1175"/>
      <c r="AU99" s="1015"/>
      <c r="AV99" s="1176"/>
      <c r="AW99" s="1177" t="s">
        <v>0</v>
      </c>
      <c r="BA99" s="1175"/>
      <c r="BB99" s="1015"/>
      <c r="BC99" s="1176"/>
      <c r="BD99" s="1177" t="s">
        <v>0</v>
      </c>
    </row>
    <row r="100" spans="4:56" x14ac:dyDescent="0.25">
      <c r="D100" s="1178">
        <v>0.75</v>
      </c>
      <c r="E100" s="1179">
        <v>6</v>
      </c>
      <c r="F100" s="1188">
        <f>+$E$6</f>
        <v>1.2500000000000001E-2</v>
      </c>
      <c r="G100" s="1201">
        <f t="shared" ref="G100:G109" si="23">+E100/(1+F100)^D100</f>
        <v>5.9443582664570851</v>
      </c>
      <c r="K100" s="1178">
        <v>0.75</v>
      </c>
      <c r="L100" s="1179">
        <v>4.5</v>
      </c>
      <c r="M100" s="1188">
        <f>+$E$6</f>
        <v>1.2500000000000001E-2</v>
      </c>
      <c r="N100" s="1181">
        <f t="shared" ref="N100:N104" si="24">+L100/(1+M100)^K100</f>
        <v>4.4582686998428143</v>
      </c>
      <c r="R100" s="1178">
        <v>0.75</v>
      </c>
      <c r="S100" s="1179">
        <v>4</v>
      </c>
      <c r="T100" s="1188">
        <f>+$E$6</f>
        <v>1.2500000000000001E-2</v>
      </c>
      <c r="U100" s="1181">
        <f t="shared" ref="U100:U114" si="25">+S100/(1+T100)^R100</f>
        <v>3.9629055109713902</v>
      </c>
      <c r="Y100" s="1178">
        <v>0.75</v>
      </c>
      <c r="Z100" s="1179">
        <v>3</v>
      </c>
      <c r="AA100" s="1188">
        <f>+$E$6</f>
        <v>1.2500000000000001E-2</v>
      </c>
      <c r="AB100" s="1181">
        <f t="shared" ref="AB100:AB102" si="26">+Z100/(1+AA100)^Y100</f>
        <v>2.9721791332285425</v>
      </c>
      <c r="AF100" s="1178">
        <v>0.75</v>
      </c>
      <c r="AG100" s="1179">
        <v>5</v>
      </c>
      <c r="AH100" s="1188">
        <f>+$E$6</f>
        <v>1.2500000000000001E-2</v>
      </c>
      <c r="AI100" s="1181">
        <f t="shared" ref="AI100:AI106" si="27">+AG100/(1+AH100)^AF100</f>
        <v>4.9536318887142379</v>
      </c>
      <c r="AM100" s="1178">
        <v>0.75</v>
      </c>
      <c r="AN100" s="1179">
        <v>5.5</v>
      </c>
      <c r="AO100" s="1188">
        <f>+$E$6</f>
        <v>1.2500000000000001E-2</v>
      </c>
      <c r="AP100" s="1181">
        <f t="shared" ref="AP100:AP111" si="28">+AN100/(1+AO100)^AM100</f>
        <v>5.4489950775856615</v>
      </c>
      <c r="AT100" s="1178">
        <v>0.75</v>
      </c>
      <c r="AU100" s="1179">
        <v>3</v>
      </c>
      <c r="AV100" s="1188">
        <f>+$E$6</f>
        <v>1.2500000000000001E-2</v>
      </c>
      <c r="AW100" s="1181">
        <f t="shared" ref="AW100:AW113" si="29">+AU100/(1+AV100)^AT100</f>
        <v>2.9721791332285425</v>
      </c>
      <c r="BA100" s="1178">
        <v>0.75</v>
      </c>
      <c r="BB100" s="1179">
        <v>6.5</v>
      </c>
      <c r="BC100" s="1188">
        <f>+$O$6</f>
        <v>1.4500000000000001E-2</v>
      </c>
      <c r="BD100" s="1181">
        <f t="shared" ref="BD100:BD106" si="30">+BB100/(1+BC100)^BA100</f>
        <v>6.4301975869002215</v>
      </c>
    </row>
    <row r="101" spans="4:56" x14ac:dyDescent="0.25">
      <c r="D101" s="1182">
        <v>1.75</v>
      </c>
      <c r="E101" s="1183">
        <v>6</v>
      </c>
      <c r="F101" s="1189">
        <f>+$E$10</f>
        <v>1.35E-2</v>
      </c>
      <c r="G101" s="1202">
        <f t="shared" si="23"/>
        <v>5.8608375332301135</v>
      </c>
      <c r="K101" s="1182">
        <v>1.75</v>
      </c>
      <c r="L101" s="1183">
        <v>4.5</v>
      </c>
      <c r="M101" s="1189">
        <f>+$E$10</f>
        <v>1.35E-2</v>
      </c>
      <c r="N101" s="1185">
        <f t="shared" si="24"/>
        <v>4.3956281499225858</v>
      </c>
      <c r="R101" s="1182">
        <v>1.75</v>
      </c>
      <c r="S101" s="1183">
        <v>4</v>
      </c>
      <c r="T101" s="1189">
        <f>+$E$10</f>
        <v>1.35E-2</v>
      </c>
      <c r="U101" s="1185">
        <f t="shared" si="25"/>
        <v>3.9072250221534093</v>
      </c>
      <c r="Y101" s="1182">
        <v>1.75</v>
      </c>
      <c r="Z101" s="1183">
        <v>3</v>
      </c>
      <c r="AA101" s="1189">
        <f>+$E$10</f>
        <v>1.35E-2</v>
      </c>
      <c r="AB101" s="1185">
        <f t="shared" si="26"/>
        <v>2.9304187666150567</v>
      </c>
      <c r="AF101" s="1182">
        <v>1.75</v>
      </c>
      <c r="AG101" s="1183">
        <v>5</v>
      </c>
      <c r="AH101" s="1189">
        <f>+$E$10</f>
        <v>1.35E-2</v>
      </c>
      <c r="AI101" s="1185">
        <f t="shared" si="27"/>
        <v>4.8840312776917614</v>
      </c>
      <c r="AM101" s="1182">
        <v>1.75</v>
      </c>
      <c r="AN101" s="1183">
        <v>5.5</v>
      </c>
      <c r="AO101" s="1189">
        <f>+$E$10</f>
        <v>1.35E-2</v>
      </c>
      <c r="AP101" s="1185">
        <f t="shared" si="28"/>
        <v>5.3724344054609379</v>
      </c>
      <c r="AT101" s="1182">
        <v>1.75</v>
      </c>
      <c r="AU101" s="1183">
        <v>3</v>
      </c>
      <c r="AV101" s="1189">
        <f>+$E$10</f>
        <v>1.35E-2</v>
      </c>
      <c r="AW101" s="1185">
        <f t="shared" si="29"/>
        <v>2.9304187666150567</v>
      </c>
      <c r="BA101" s="1182">
        <v>1.75</v>
      </c>
      <c r="BB101" s="1183">
        <v>6.5</v>
      </c>
      <c r="BC101" s="1189">
        <f>+$O$10</f>
        <v>1.55E-2</v>
      </c>
      <c r="BD101" s="1185">
        <f t="shared" si="30"/>
        <v>6.3273736720745051</v>
      </c>
    </row>
    <row r="102" spans="4:56" x14ac:dyDescent="0.25">
      <c r="D102" s="1182">
        <v>2.75</v>
      </c>
      <c r="E102" s="1183">
        <v>6</v>
      </c>
      <c r="F102" s="1189">
        <f>+$E$14</f>
        <v>1.4833333333333332E-2</v>
      </c>
      <c r="G102" s="1202">
        <f t="shared" si="23"/>
        <v>5.7619005788163546</v>
      </c>
      <c r="K102" s="1182">
        <v>2.75</v>
      </c>
      <c r="L102" s="1183">
        <v>4.5</v>
      </c>
      <c r="M102" s="1189">
        <f>+$E$14</f>
        <v>1.4833333333333332E-2</v>
      </c>
      <c r="N102" s="1185">
        <f t="shared" si="24"/>
        <v>4.3214254341122658</v>
      </c>
      <c r="R102" s="1182">
        <v>2.75</v>
      </c>
      <c r="S102" s="1183">
        <v>4</v>
      </c>
      <c r="T102" s="1189">
        <f>+$E$14</f>
        <v>1.4833333333333332E-2</v>
      </c>
      <c r="U102" s="1185">
        <f t="shared" si="25"/>
        <v>3.8412670525442367</v>
      </c>
      <c r="Y102" s="1182">
        <v>2.75</v>
      </c>
      <c r="Z102" s="1183">
        <v>103</v>
      </c>
      <c r="AA102" s="1189">
        <f>+$E$14</f>
        <v>1.4833333333333332E-2</v>
      </c>
      <c r="AB102" s="1185">
        <f t="shared" si="26"/>
        <v>98.91262660301409</v>
      </c>
      <c r="AF102" s="1182">
        <v>2.75</v>
      </c>
      <c r="AG102" s="1183">
        <v>5</v>
      </c>
      <c r="AH102" s="1189">
        <f>+$E$14</f>
        <v>1.4833333333333332E-2</v>
      </c>
      <c r="AI102" s="1185">
        <f t="shared" si="27"/>
        <v>4.8015838156802957</v>
      </c>
      <c r="AM102" s="1182">
        <v>2.75</v>
      </c>
      <c r="AN102" s="1183">
        <v>5.5</v>
      </c>
      <c r="AO102" s="1189">
        <f>+$E$14</f>
        <v>1.4833333333333332E-2</v>
      </c>
      <c r="AP102" s="1185">
        <f t="shared" si="28"/>
        <v>5.2817421972483256</v>
      </c>
      <c r="AT102" s="1182">
        <v>2.75</v>
      </c>
      <c r="AU102" s="1183">
        <v>3</v>
      </c>
      <c r="AV102" s="1189">
        <f>+$E$14</f>
        <v>1.4833333333333332E-2</v>
      </c>
      <c r="AW102" s="1185">
        <f t="shared" si="29"/>
        <v>2.8809502894081773</v>
      </c>
      <c r="BA102" s="1182">
        <v>2.75</v>
      </c>
      <c r="BB102" s="1183">
        <v>6.5</v>
      </c>
      <c r="BC102" s="1189">
        <f>+$O$14</f>
        <v>1.6833333333333332E-2</v>
      </c>
      <c r="BD102" s="1185">
        <f t="shared" si="30"/>
        <v>6.2083540581163543</v>
      </c>
    </row>
    <row r="103" spans="4:56" x14ac:dyDescent="0.25">
      <c r="D103" s="1182">
        <v>3.75</v>
      </c>
      <c r="E103" s="1183">
        <v>6</v>
      </c>
      <c r="F103" s="1189">
        <f>+$E$18</f>
        <v>1.6166666666666666E-2</v>
      </c>
      <c r="G103" s="1202">
        <f t="shared" si="23"/>
        <v>5.6497952347360307</v>
      </c>
      <c r="K103" s="1182">
        <v>3.75</v>
      </c>
      <c r="L103" s="1183">
        <v>4.5</v>
      </c>
      <c r="M103" s="1189">
        <f>+$E$18</f>
        <v>1.6166666666666666E-2</v>
      </c>
      <c r="N103" s="1185">
        <f t="shared" si="24"/>
        <v>4.2373464260520226</v>
      </c>
      <c r="R103" s="1182">
        <v>3.75</v>
      </c>
      <c r="S103" s="1183">
        <v>4</v>
      </c>
      <c r="T103" s="1189">
        <f>+$E$18</f>
        <v>1.6166666666666666E-2</v>
      </c>
      <c r="U103" s="1185">
        <f t="shared" si="25"/>
        <v>3.766530156490687</v>
      </c>
      <c r="Y103" s="1182">
        <v>3.75</v>
      </c>
      <c r="Z103" s="1183" t="s">
        <v>0</v>
      </c>
      <c r="AA103" s="1184" t="s">
        <v>0</v>
      </c>
      <c r="AB103" s="1185" t="s">
        <v>0</v>
      </c>
      <c r="AF103" s="1182">
        <v>3.75</v>
      </c>
      <c r="AG103" s="1183">
        <v>5</v>
      </c>
      <c r="AH103" s="1189">
        <f>+$E$18</f>
        <v>1.6166666666666666E-2</v>
      </c>
      <c r="AI103" s="1185">
        <f t="shared" si="27"/>
        <v>4.7081626956133587</v>
      </c>
      <c r="AM103" s="1182">
        <v>3.75</v>
      </c>
      <c r="AN103" s="1183">
        <v>5.5</v>
      </c>
      <c r="AO103" s="1189">
        <f>+$E$18</f>
        <v>1.6166666666666666E-2</v>
      </c>
      <c r="AP103" s="1185">
        <f t="shared" si="28"/>
        <v>5.1789789651746947</v>
      </c>
      <c r="AT103" s="1182">
        <v>3.75</v>
      </c>
      <c r="AU103" s="1183">
        <v>3</v>
      </c>
      <c r="AV103" s="1189">
        <f>+$E$18</f>
        <v>1.6166666666666666E-2</v>
      </c>
      <c r="AW103" s="1185">
        <f t="shared" si="29"/>
        <v>2.8248976173680154</v>
      </c>
      <c r="BA103" s="1182">
        <v>3.75</v>
      </c>
      <c r="BB103" s="1183">
        <v>6.5</v>
      </c>
      <c r="BC103" s="1189">
        <f>+$O$18</f>
        <v>1.8166666666666664E-2</v>
      </c>
      <c r="BD103" s="1185">
        <f t="shared" si="30"/>
        <v>6.0756476053769006</v>
      </c>
    </row>
    <row r="104" spans="4:56" x14ac:dyDescent="0.25">
      <c r="D104" s="1182">
        <v>4.75</v>
      </c>
      <c r="E104" s="1183">
        <v>6</v>
      </c>
      <c r="F104" s="1189">
        <f>+$E$22</f>
        <v>1.7374999999999998E-2</v>
      </c>
      <c r="G104" s="1202">
        <f t="shared" si="23"/>
        <v>5.5286132252190177</v>
      </c>
      <c r="K104" s="1182">
        <v>4.75</v>
      </c>
      <c r="L104" s="1183">
        <v>104.5</v>
      </c>
      <c r="M104" s="1189">
        <f>+$E$22</f>
        <v>1.7374999999999998E-2</v>
      </c>
      <c r="N104" s="1185">
        <f t="shared" si="24"/>
        <v>96.290013672564555</v>
      </c>
      <c r="R104" s="1182">
        <v>4.75</v>
      </c>
      <c r="S104" s="1183">
        <v>4</v>
      </c>
      <c r="T104" s="1189">
        <f>+$E$22</f>
        <v>1.7374999999999998E-2</v>
      </c>
      <c r="U104" s="1185">
        <f t="shared" si="25"/>
        <v>3.6857421501460115</v>
      </c>
      <c r="Y104" s="1182">
        <v>4.75</v>
      </c>
      <c r="Z104" s="1183" t="s">
        <v>0</v>
      </c>
      <c r="AA104" s="1184" t="s">
        <v>0</v>
      </c>
      <c r="AB104" s="1185" t="s">
        <v>0</v>
      </c>
      <c r="AF104" s="1182">
        <v>4.75</v>
      </c>
      <c r="AG104" s="1183">
        <v>5</v>
      </c>
      <c r="AH104" s="1189">
        <f>+$E$22</f>
        <v>1.7374999999999998E-2</v>
      </c>
      <c r="AI104" s="1185">
        <f t="shared" si="27"/>
        <v>4.6071776876825146</v>
      </c>
      <c r="AM104" s="1182">
        <v>4.75</v>
      </c>
      <c r="AN104" s="1183">
        <v>5.5</v>
      </c>
      <c r="AO104" s="1189">
        <f>+$E$22</f>
        <v>1.7374999999999998E-2</v>
      </c>
      <c r="AP104" s="1185">
        <f t="shared" si="28"/>
        <v>5.0678954564507661</v>
      </c>
      <c r="AT104" s="1182">
        <v>4.75</v>
      </c>
      <c r="AU104" s="1183">
        <v>3</v>
      </c>
      <c r="AV104" s="1189">
        <f>+$E$22</f>
        <v>1.7374999999999998E-2</v>
      </c>
      <c r="AW104" s="1185">
        <f t="shared" si="29"/>
        <v>2.7643066126095088</v>
      </c>
      <c r="BA104" s="1182">
        <v>4.75</v>
      </c>
      <c r="BB104" s="1183">
        <v>6.5</v>
      </c>
      <c r="BC104" s="1189">
        <f>+$O$22</f>
        <v>1.9374999999999996E-2</v>
      </c>
      <c r="BD104" s="1185">
        <f t="shared" si="30"/>
        <v>5.9337187746174758</v>
      </c>
    </row>
    <row r="105" spans="4:56" x14ac:dyDescent="0.25">
      <c r="D105" s="1182">
        <v>5.75</v>
      </c>
      <c r="E105" s="1183">
        <v>6</v>
      </c>
      <c r="F105" s="1189">
        <f>+$E$26</f>
        <v>1.8541666666666661E-2</v>
      </c>
      <c r="G105" s="1202">
        <f t="shared" si="23"/>
        <v>5.3985005633209973</v>
      </c>
      <c r="K105" s="1182">
        <v>5.75</v>
      </c>
      <c r="L105" s="1183" t="s">
        <v>0</v>
      </c>
      <c r="M105" s="1184" t="s">
        <v>0</v>
      </c>
      <c r="N105" s="1185" t="s">
        <v>0</v>
      </c>
      <c r="R105" s="1182">
        <v>5.75</v>
      </c>
      <c r="S105" s="1183">
        <v>4</v>
      </c>
      <c r="T105" s="1189">
        <f>+$E$26</f>
        <v>1.8541666666666661E-2</v>
      </c>
      <c r="U105" s="1185">
        <f t="shared" si="25"/>
        <v>3.5990003755473312</v>
      </c>
      <c r="Y105" s="1182">
        <v>5.75</v>
      </c>
      <c r="Z105" s="1183" t="s">
        <v>0</v>
      </c>
      <c r="AA105" s="1184" t="s">
        <v>0</v>
      </c>
      <c r="AB105" s="1185" t="s">
        <v>0</v>
      </c>
      <c r="AF105" s="1182">
        <v>5.75</v>
      </c>
      <c r="AG105" s="1183">
        <v>5</v>
      </c>
      <c r="AH105" s="1189">
        <f>+$E$26</f>
        <v>1.8541666666666661E-2</v>
      </c>
      <c r="AI105" s="1185">
        <f t="shared" si="27"/>
        <v>4.4987504694341638</v>
      </c>
      <c r="AM105" s="1182">
        <v>5.75</v>
      </c>
      <c r="AN105" s="1183">
        <v>5.5</v>
      </c>
      <c r="AO105" s="1189">
        <f>+$E$26</f>
        <v>1.8541666666666661E-2</v>
      </c>
      <c r="AP105" s="1185">
        <f t="shared" si="28"/>
        <v>4.9486255163775805</v>
      </c>
      <c r="AT105" s="1182">
        <v>5.75</v>
      </c>
      <c r="AU105" s="1183">
        <v>3</v>
      </c>
      <c r="AV105" s="1189">
        <f>+$E$26</f>
        <v>1.8541666666666661E-2</v>
      </c>
      <c r="AW105" s="1185">
        <f t="shared" si="29"/>
        <v>2.6992502816604986</v>
      </c>
      <c r="BA105" s="1182">
        <v>5.75</v>
      </c>
      <c r="BB105" s="1183">
        <v>6.5</v>
      </c>
      <c r="BC105" s="1189">
        <f>+$O$26</f>
        <v>2.0541666666666659E-2</v>
      </c>
      <c r="BD105" s="1185">
        <f t="shared" si="30"/>
        <v>5.7827790253318181</v>
      </c>
    </row>
    <row r="106" spans="4:56" x14ac:dyDescent="0.25">
      <c r="D106" s="1182">
        <v>6.75</v>
      </c>
      <c r="E106" s="1183">
        <v>6</v>
      </c>
      <c r="F106" s="1189">
        <f>+$E$30</f>
        <v>1.9708333333333324E-2</v>
      </c>
      <c r="G106" s="1202">
        <f t="shared" si="23"/>
        <v>5.2594273818151551</v>
      </c>
      <c r="K106" s="1182">
        <v>6.75</v>
      </c>
      <c r="L106" s="1183" t="s">
        <v>0</v>
      </c>
      <c r="M106" s="1184" t="s">
        <v>0</v>
      </c>
      <c r="N106" s="1185" t="s">
        <v>0</v>
      </c>
      <c r="R106" s="1182">
        <v>6.75</v>
      </c>
      <c r="S106" s="1183">
        <v>4</v>
      </c>
      <c r="T106" s="1189">
        <f>+$E$30</f>
        <v>1.9708333333333324E-2</v>
      </c>
      <c r="U106" s="1185">
        <f t="shared" si="25"/>
        <v>3.5062849212101033</v>
      </c>
      <c r="Y106" s="1182">
        <v>6.75</v>
      </c>
      <c r="Z106" s="1183" t="s">
        <v>0</v>
      </c>
      <c r="AA106" s="1184" t="s">
        <v>0</v>
      </c>
      <c r="AB106" s="1185" t="s">
        <v>0</v>
      </c>
      <c r="AF106" s="1182">
        <v>6.75</v>
      </c>
      <c r="AG106" s="1183">
        <v>105</v>
      </c>
      <c r="AH106" s="1189">
        <f>+$E$30</f>
        <v>1.9708333333333324E-2</v>
      </c>
      <c r="AI106" s="1185">
        <f t="shared" si="27"/>
        <v>92.039979181765219</v>
      </c>
      <c r="AM106" s="1182">
        <v>6.75</v>
      </c>
      <c r="AN106" s="1183">
        <v>5.5</v>
      </c>
      <c r="AO106" s="1189">
        <f>+$E$30</f>
        <v>1.9708333333333324E-2</v>
      </c>
      <c r="AP106" s="1185">
        <f t="shared" si="28"/>
        <v>4.8211417666638923</v>
      </c>
      <c r="AT106" s="1182">
        <v>6.75</v>
      </c>
      <c r="AU106" s="1183">
        <v>3</v>
      </c>
      <c r="AV106" s="1189">
        <f>+$E$30</f>
        <v>1.9708333333333324E-2</v>
      </c>
      <c r="AW106" s="1185">
        <f t="shared" si="29"/>
        <v>2.6297136909075776</v>
      </c>
      <c r="BA106" s="1182">
        <v>6.75</v>
      </c>
      <c r="BB106" s="1183">
        <v>106.5</v>
      </c>
      <c r="BC106" s="1189">
        <f>+$O$30</f>
        <v>2.1708333333333323E-2</v>
      </c>
      <c r="BD106" s="1185">
        <f t="shared" si="30"/>
        <v>92.128243770215661</v>
      </c>
    </row>
    <row r="107" spans="4:56" x14ac:dyDescent="0.25">
      <c r="D107" s="1182">
        <v>7.75</v>
      </c>
      <c r="E107" s="1183">
        <v>6</v>
      </c>
      <c r="F107" s="1189">
        <f>+$E$34</f>
        <v>2.0749999999999991E-2</v>
      </c>
      <c r="G107" s="1202">
        <f t="shared" si="23"/>
        <v>5.1171245619304626</v>
      </c>
      <c r="K107" s="1182">
        <v>7.75</v>
      </c>
      <c r="L107" s="1183" t="s">
        <v>0</v>
      </c>
      <c r="M107" s="1184" t="s">
        <v>0</v>
      </c>
      <c r="N107" s="1185" t="s">
        <v>0</v>
      </c>
      <c r="R107" s="1182">
        <v>7.75</v>
      </c>
      <c r="S107" s="1183">
        <v>4</v>
      </c>
      <c r="T107" s="1189">
        <f>+$E$34</f>
        <v>2.0749999999999991E-2</v>
      </c>
      <c r="U107" s="1185">
        <f t="shared" si="25"/>
        <v>3.4114163746203086</v>
      </c>
      <c r="Y107" s="1182">
        <v>7.75</v>
      </c>
      <c r="Z107" s="1183" t="s">
        <v>0</v>
      </c>
      <c r="AA107" s="1184" t="s">
        <v>0</v>
      </c>
      <c r="AB107" s="1185" t="s">
        <v>99</v>
      </c>
      <c r="AF107" s="1182">
        <v>7.75</v>
      </c>
      <c r="AG107" s="1183" t="s">
        <v>0</v>
      </c>
      <c r="AH107" s="1184" t="s">
        <v>0</v>
      </c>
      <c r="AI107" s="1185" t="s">
        <v>0</v>
      </c>
      <c r="AM107" s="1182">
        <v>7.75</v>
      </c>
      <c r="AN107" s="1183">
        <v>5.5</v>
      </c>
      <c r="AO107" s="1189">
        <f>+$E$34</f>
        <v>2.0749999999999991E-2</v>
      </c>
      <c r="AP107" s="1185">
        <f t="shared" si="28"/>
        <v>4.690697515102924</v>
      </c>
      <c r="AT107" s="1182">
        <v>7.75</v>
      </c>
      <c r="AU107" s="1183">
        <v>3</v>
      </c>
      <c r="AV107" s="1189">
        <f>+$E$34</f>
        <v>2.0749999999999991E-2</v>
      </c>
      <c r="AW107" s="1185">
        <f t="shared" si="29"/>
        <v>2.5585622809652313</v>
      </c>
      <c r="BA107" s="1182">
        <v>7.75</v>
      </c>
      <c r="BB107" s="1183" t="s">
        <v>0</v>
      </c>
      <c r="BC107" s="1184" t="s">
        <v>0</v>
      </c>
      <c r="BD107" s="1185" t="s">
        <v>0</v>
      </c>
    </row>
    <row r="108" spans="4:56" x14ac:dyDescent="0.25">
      <c r="D108" s="1182">
        <v>8.75</v>
      </c>
      <c r="E108" s="1183">
        <v>6</v>
      </c>
      <c r="F108" s="1189">
        <f>+$E$38</f>
        <v>2.1749999999999992E-2</v>
      </c>
      <c r="G108" s="1202">
        <f t="shared" si="23"/>
        <v>4.970334237897851</v>
      </c>
      <c r="K108" s="1182">
        <v>8.75</v>
      </c>
      <c r="L108" s="1183" t="s">
        <v>0</v>
      </c>
      <c r="M108" s="1184" t="s">
        <v>0</v>
      </c>
      <c r="N108" s="1185" t="s">
        <v>0</v>
      </c>
      <c r="R108" s="1182">
        <v>8.75</v>
      </c>
      <c r="S108" s="1183">
        <v>4</v>
      </c>
      <c r="T108" s="1189">
        <f>+$E$38</f>
        <v>2.1749999999999992E-2</v>
      </c>
      <c r="U108" s="1185">
        <f t="shared" si="25"/>
        <v>3.3135561585985673</v>
      </c>
      <c r="Y108" s="1182">
        <v>8.75</v>
      </c>
      <c r="Z108" s="1183" t="s">
        <v>0</v>
      </c>
      <c r="AA108" s="1184" t="s">
        <v>98</v>
      </c>
      <c r="AB108" s="1185" t="s">
        <v>0</v>
      </c>
      <c r="AF108" s="1182">
        <v>8.75</v>
      </c>
      <c r="AG108" s="1183" t="s">
        <v>0</v>
      </c>
      <c r="AH108" s="1184" t="s">
        <v>0</v>
      </c>
      <c r="AI108" s="1185" t="s">
        <v>0</v>
      </c>
      <c r="AM108" s="1182">
        <v>8.75</v>
      </c>
      <c r="AN108" s="1183">
        <v>5.5</v>
      </c>
      <c r="AO108" s="1189">
        <f>+$E$38</f>
        <v>2.1749999999999992E-2</v>
      </c>
      <c r="AP108" s="1185">
        <f t="shared" si="28"/>
        <v>4.5561397180730303</v>
      </c>
      <c r="AT108" s="1182">
        <v>8.75</v>
      </c>
      <c r="AU108" s="1183">
        <v>3</v>
      </c>
      <c r="AV108" s="1189">
        <f>+$E$38</f>
        <v>2.1749999999999992E-2</v>
      </c>
      <c r="AW108" s="1185">
        <f t="shared" si="29"/>
        <v>2.4851671189489255</v>
      </c>
      <c r="BA108" s="1182">
        <v>8.75</v>
      </c>
      <c r="BB108" s="1183" t="s">
        <v>0</v>
      </c>
      <c r="BC108" s="1184" t="s">
        <v>0</v>
      </c>
      <c r="BD108" s="1185" t="s">
        <v>0</v>
      </c>
    </row>
    <row r="109" spans="4:56" ht="15.75" thickBot="1" x14ac:dyDescent="0.3">
      <c r="D109" s="1182">
        <v>9.75</v>
      </c>
      <c r="E109" s="1183">
        <v>106</v>
      </c>
      <c r="F109" s="1189">
        <f>+$E$42</f>
        <v>2.2458333333333327E-2</v>
      </c>
      <c r="G109" s="1202">
        <f t="shared" si="23"/>
        <v>85.361311874878481</v>
      </c>
      <c r="K109" s="1175">
        <v>9.75</v>
      </c>
      <c r="L109" s="1176" t="s">
        <v>0</v>
      </c>
      <c r="M109" s="1186" t="s">
        <v>0</v>
      </c>
      <c r="N109" s="1187" t="s">
        <v>0</v>
      </c>
      <c r="R109" s="1182">
        <v>9.75</v>
      </c>
      <c r="S109" s="1183">
        <v>4</v>
      </c>
      <c r="T109" s="1189">
        <f>+$E$42</f>
        <v>2.2458333333333327E-2</v>
      </c>
      <c r="U109" s="1185">
        <f t="shared" si="25"/>
        <v>3.2211815801840937</v>
      </c>
      <c r="Y109" s="1175">
        <v>9.75</v>
      </c>
      <c r="Z109" s="1176" t="s">
        <v>0</v>
      </c>
      <c r="AA109" s="1186" t="s">
        <v>99</v>
      </c>
      <c r="AB109" s="1187" t="s">
        <v>0</v>
      </c>
      <c r="AF109" s="1175">
        <v>9.75</v>
      </c>
      <c r="AG109" s="1176" t="s">
        <v>0</v>
      </c>
      <c r="AH109" s="1186" t="s">
        <v>0</v>
      </c>
      <c r="AI109" s="1187" t="s">
        <v>0</v>
      </c>
      <c r="AM109" s="1175">
        <v>9.75</v>
      </c>
      <c r="AN109" s="1176">
        <v>5.5</v>
      </c>
      <c r="AO109" s="1189">
        <f>+$E$42</f>
        <v>2.2458333333333327E-2</v>
      </c>
      <c r="AP109" s="1187">
        <f t="shared" si="28"/>
        <v>4.4291246727531286</v>
      </c>
      <c r="AT109" s="1175">
        <v>9.75</v>
      </c>
      <c r="AU109" s="1176">
        <v>3</v>
      </c>
      <c r="AV109" s="1189">
        <f>+$E$42</f>
        <v>2.2458333333333327E-2</v>
      </c>
      <c r="AW109" s="1187">
        <f t="shared" si="29"/>
        <v>2.4158861851380702</v>
      </c>
      <c r="BA109" s="1175">
        <v>9.75</v>
      </c>
      <c r="BB109" s="1176" t="s">
        <v>0</v>
      </c>
      <c r="BC109" s="1186" t="s">
        <v>0</v>
      </c>
      <c r="BD109" s="1187" t="s">
        <v>99</v>
      </c>
    </row>
    <row r="110" spans="4:56" x14ac:dyDescent="0.25">
      <c r="D110" s="1178">
        <v>10.75</v>
      </c>
      <c r="E110" s="1179"/>
      <c r="F110" s="1180" t="s">
        <v>0</v>
      </c>
      <c r="G110" s="1181"/>
      <c r="K110" s="1178">
        <v>10.75</v>
      </c>
      <c r="L110" s="1179"/>
      <c r="M110" s="1180" t="s">
        <v>0</v>
      </c>
      <c r="N110" s="1181"/>
      <c r="R110" s="1178">
        <v>10.75</v>
      </c>
      <c r="S110" s="1179">
        <v>4</v>
      </c>
      <c r="T110" s="1188">
        <f>+$E$46</f>
        <v>2.2958333333333327E-2</v>
      </c>
      <c r="U110" s="1181">
        <f t="shared" si="25"/>
        <v>3.1339140900420355</v>
      </c>
      <c r="Y110" s="1178">
        <v>10.75</v>
      </c>
      <c r="Z110" s="1179" t="s">
        <v>0</v>
      </c>
      <c r="AA110" s="1180" t="s">
        <v>0</v>
      </c>
      <c r="AB110" s="1181" t="s">
        <v>0</v>
      </c>
      <c r="AF110" s="1178">
        <v>10.75</v>
      </c>
      <c r="AG110" s="1179" t="s">
        <v>0</v>
      </c>
      <c r="AH110" s="1180" t="s">
        <v>0</v>
      </c>
      <c r="AI110" s="1181" t="s">
        <v>0</v>
      </c>
      <c r="AM110" s="1178">
        <v>10.75</v>
      </c>
      <c r="AN110" s="1179">
        <v>5.5</v>
      </c>
      <c r="AO110" s="1188">
        <f>+$E$46</f>
        <v>2.2958333333333327E-2</v>
      </c>
      <c r="AP110" s="1181">
        <f t="shared" si="28"/>
        <v>4.3091318738077984</v>
      </c>
      <c r="AT110" s="1178">
        <v>10.75</v>
      </c>
      <c r="AU110" s="1179">
        <v>3</v>
      </c>
      <c r="AV110" s="1188">
        <f>+$E$46</f>
        <v>2.2958333333333327E-2</v>
      </c>
      <c r="AW110" s="1181">
        <f t="shared" si="29"/>
        <v>2.3504355675315267</v>
      </c>
      <c r="BA110" s="1178">
        <v>10.75</v>
      </c>
      <c r="BB110" s="1179" t="s">
        <v>99</v>
      </c>
      <c r="BC110" s="1180" t="s">
        <v>0</v>
      </c>
      <c r="BD110" s="1181" t="s">
        <v>0</v>
      </c>
    </row>
    <row r="111" spans="4:56" x14ac:dyDescent="0.25">
      <c r="D111" s="1182">
        <v>11.75</v>
      </c>
      <c r="E111" s="1183"/>
      <c r="F111" s="1184" t="s">
        <v>0</v>
      </c>
      <c r="G111" s="1185"/>
      <c r="K111" s="1182">
        <v>11.75</v>
      </c>
      <c r="L111" s="1183"/>
      <c r="M111" s="1184" t="s">
        <v>0</v>
      </c>
      <c r="N111" s="1185"/>
      <c r="R111" s="1182">
        <v>11.75</v>
      </c>
      <c r="S111" s="1183">
        <v>4</v>
      </c>
      <c r="T111" s="1189">
        <f>+$E$50</f>
        <v>2.3416666666666662E-2</v>
      </c>
      <c r="U111" s="1185">
        <f t="shared" si="25"/>
        <v>3.0474970145903195</v>
      </c>
      <c r="Y111" s="1182">
        <v>11.75</v>
      </c>
      <c r="Z111" s="1183" t="s">
        <v>99</v>
      </c>
      <c r="AA111" s="1184" t="s">
        <v>0</v>
      </c>
      <c r="AB111" s="1185" t="s">
        <v>0</v>
      </c>
      <c r="AF111" s="1182">
        <v>11.75</v>
      </c>
      <c r="AG111" s="1183" t="s">
        <v>0</v>
      </c>
      <c r="AH111" s="1184" t="s">
        <v>0</v>
      </c>
      <c r="AI111" s="1185" t="s">
        <v>0</v>
      </c>
      <c r="AM111" s="1182">
        <v>11.75</v>
      </c>
      <c r="AN111" s="1183">
        <v>105.5</v>
      </c>
      <c r="AO111" s="1189">
        <f>+$E$50</f>
        <v>2.3416666666666662E-2</v>
      </c>
      <c r="AP111" s="1185">
        <f t="shared" si="28"/>
        <v>80.377733759819677</v>
      </c>
      <c r="AT111" s="1182">
        <v>11.75</v>
      </c>
      <c r="AU111" s="1183">
        <v>3</v>
      </c>
      <c r="AV111" s="1189">
        <f>+$E$50</f>
        <v>2.3416666666666662E-2</v>
      </c>
      <c r="AW111" s="1185">
        <f t="shared" si="29"/>
        <v>2.2856227609427395</v>
      </c>
      <c r="BA111" s="1182">
        <v>11.75</v>
      </c>
      <c r="BB111" s="1183" t="s">
        <v>0</v>
      </c>
      <c r="BC111" s="1184" t="s">
        <v>0</v>
      </c>
      <c r="BD111" s="1185" t="s">
        <v>0</v>
      </c>
    </row>
    <row r="112" spans="4:56" x14ac:dyDescent="0.25">
      <c r="D112" s="1182">
        <v>12.75</v>
      </c>
      <c r="E112" s="1183"/>
      <c r="F112" s="1184" t="s">
        <v>0</v>
      </c>
      <c r="G112" s="1185"/>
      <c r="K112" s="1182">
        <v>12.75</v>
      </c>
      <c r="L112" s="1183"/>
      <c r="M112" s="1184" t="s">
        <v>0</v>
      </c>
      <c r="N112" s="1185"/>
      <c r="R112" s="1182">
        <v>12.75</v>
      </c>
      <c r="S112" s="1183">
        <v>4</v>
      </c>
      <c r="T112" s="1189">
        <f>+$E$54</f>
        <v>2.375E-2</v>
      </c>
      <c r="U112" s="1185">
        <f t="shared" si="25"/>
        <v>2.9654293254527726</v>
      </c>
      <c r="Y112" s="1182">
        <v>12.75</v>
      </c>
      <c r="Z112" s="1183" t="s">
        <v>0</v>
      </c>
      <c r="AA112" s="1184" t="s">
        <v>0</v>
      </c>
      <c r="AB112" s="1185" t="s">
        <v>0</v>
      </c>
      <c r="AF112" s="1182">
        <v>12.75</v>
      </c>
      <c r="AG112" s="1183" t="s">
        <v>0</v>
      </c>
      <c r="AH112" s="1184" t="s">
        <v>0</v>
      </c>
      <c r="AI112" s="1185" t="s">
        <v>0</v>
      </c>
      <c r="AM112" s="1182">
        <v>12.75</v>
      </c>
      <c r="AN112" s="1183" t="s">
        <v>0</v>
      </c>
      <c r="AO112" s="1184" t="s">
        <v>0</v>
      </c>
      <c r="AP112" s="1185" t="s">
        <v>0</v>
      </c>
      <c r="AT112" s="1182">
        <v>12.75</v>
      </c>
      <c r="AU112" s="1183">
        <v>3</v>
      </c>
      <c r="AV112" s="1189">
        <f>+$E$54</f>
        <v>2.375E-2</v>
      </c>
      <c r="AW112" s="1185">
        <f t="shared" si="29"/>
        <v>2.2240719940895795</v>
      </c>
      <c r="BA112" s="1182">
        <v>12.75</v>
      </c>
      <c r="BB112" s="1183" t="s">
        <v>0</v>
      </c>
      <c r="BC112" s="1184" t="s">
        <v>99</v>
      </c>
      <c r="BD112" s="1185" t="s">
        <v>0</v>
      </c>
    </row>
    <row r="113" spans="4:58" x14ac:dyDescent="0.25">
      <c r="D113" s="1182">
        <v>13.75</v>
      </c>
      <c r="E113" s="1183"/>
      <c r="F113" s="1184" t="s">
        <v>0</v>
      </c>
      <c r="G113" s="1185"/>
      <c r="K113" s="1182">
        <v>13.75</v>
      </c>
      <c r="L113" s="1183"/>
      <c r="M113" s="1184" t="s">
        <v>0</v>
      </c>
      <c r="N113" s="1185"/>
      <c r="R113" s="1182">
        <v>13.75</v>
      </c>
      <c r="S113" s="1183">
        <v>4</v>
      </c>
      <c r="T113" s="1189">
        <f>+$E$58</f>
        <v>2.4208333333333335E-2</v>
      </c>
      <c r="U113" s="1185">
        <f t="shared" si="25"/>
        <v>2.8788616626880987</v>
      </c>
      <c r="Y113" s="1182">
        <v>13.75</v>
      </c>
      <c r="Z113" s="1183" t="s">
        <v>99</v>
      </c>
      <c r="AA113" s="1184" t="s">
        <v>0</v>
      </c>
      <c r="AB113" s="1185" t="s">
        <v>0</v>
      </c>
      <c r="AF113" s="1182">
        <v>13.75</v>
      </c>
      <c r="AG113" s="1183" t="s">
        <v>0</v>
      </c>
      <c r="AH113" s="1184" t="s">
        <v>0</v>
      </c>
      <c r="AI113" s="1185" t="s">
        <v>0</v>
      </c>
      <c r="AM113" s="1182">
        <v>13.75</v>
      </c>
      <c r="AN113" s="1183" t="s">
        <v>0</v>
      </c>
      <c r="AO113" s="1184" t="s">
        <v>0</v>
      </c>
      <c r="AP113" s="1185" t="s">
        <v>0</v>
      </c>
      <c r="AT113" s="1182">
        <v>13.75</v>
      </c>
      <c r="AU113" s="1183">
        <v>103</v>
      </c>
      <c r="AV113" s="1189">
        <f>+$E$58</f>
        <v>2.4208333333333335E-2</v>
      </c>
      <c r="AW113" s="1185">
        <f t="shared" si="29"/>
        <v>74.130687814218547</v>
      </c>
      <c r="BA113" s="1182">
        <v>13.75</v>
      </c>
      <c r="BB113" s="1183" t="s">
        <v>0</v>
      </c>
      <c r="BC113" s="1184" t="s">
        <v>0</v>
      </c>
      <c r="BD113" s="1185" t="s">
        <v>0</v>
      </c>
    </row>
    <row r="114" spans="4:58" ht="15.75" thickBot="1" x14ac:dyDescent="0.3">
      <c r="D114" s="1182">
        <v>14.75</v>
      </c>
      <c r="E114" s="1183"/>
      <c r="F114" s="1184" t="s">
        <v>99</v>
      </c>
      <c r="G114" s="1185"/>
      <c r="K114" s="1182">
        <v>14.75</v>
      </c>
      <c r="L114" s="1183"/>
      <c r="M114" s="1184" t="s">
        <v>99</v>
      </c>
      <c r="N114" s="1185"/>
      <c r="R114" s="1182">
        <v>14.75</v>
      </c>
      <c r="S114" s="1183">
        <v>104</v>
      </c>
      <c r="T114" s="1189">
        <f>+$E$62</f>
        <v>2.4541666666666673E-2</v>
      </c>
      <c r="U114" s="1185">
        <f t="shared" si="25"/>
        <v>72.731302807574636</v>
      </c>
      <c r="Y114" s="1182">
        <v>14.75</v>
      </c>
      <c r="Z114" s="1183" t="s">
        <v>0</v>
      </c>
      <c r="AA114" s="1184" t="s">
        <v>0</v>
      </c>
      <c r="AB114" s="1185" t="s">
        <v>0</v>
      </c>
      <c r="AF114" s="1182">
        <v>14.75</v>
      </c>
      <c r="AG114" s="1183" t="s">
        <v>0</v>
      </c>
      <c r="AH114" s="1184" t="s">
        <v>0</v>
      </c>
      <c r="AI114" s="1185" t="s">
        <v>0</v>
      </c>
      <c r="AM114" s="1182">
        <v>14.75</v>
      </c>
      <c r="AN114" s="1183" t="s">
        <v>0</v>
      </c>
      <c r="AO114" s="1184" t="s">
        <v>0</v>
      </c>
      <c r="AP114" s="1185" t="s">
        <v>0</v>
      </c>
      <c r="AT114" s="1182">
        <v>14.75</v>
      </c>
      <c r="AU114" s="1183" t="s">
        <v>0</v>
      </c>
      <c r="AV114" s="1189" t="s">
        <v>0</v>
      </c>
      <c r="AW114" s="1185" t="s">
        <v>0</v>
      </c>
      <c r="BA114" s="1182">
        <v>14.75</v>
      </c>
      <c r="BB114" s="1183" t="s">
        <v>0</v>
      </c>
      <c r="BC114" s="1184" t="s">
        <v>0</v>
      </c>
      <c r="BD114" s="1185" t="s">
        <v>0</v>
      </c>
    </row>
    <row r="115" spans="4:58" ht="15.75" thickBot="1" x14ac:dyDescent="0.3">
      <c r="D115" s="1182"/>
      <c r="E115" s="1183"/>
      <c r="F115" s="1184"/>
      <c r="G115" s="1185"/>
      <c r="H115" s="1412" t="s">
        <v>1191</v>
      </c>
      <c r="I115" s="1413"/>
      <c r="K115" s="1182"/>
      <c r="L115" s="1183"/>
      <c r="M115" s="1184" t="s">
        <v>0</v>
      </c>
      <c r="N115" s="1185"/>
      <c r="R115" s="1182"/>
      <c r="S115" s="1183"/>
      <c r="T115" s="1184" t="s">
        <v>0</v>
      </c>
      <c r="U115" s="1185"/>
      <c r="Y115" s="1182"/>
      <c r="Z115" s="1183"/>
      <c r="AA115" s="1184"/>
      <c r="AB115" s="1185"/>
      <c r="AF115" s="1182"/>
      <c r="AG115" s="1183"/>
      <c r="AH115" s="1184"/>
      <c r="AI115" s="1185"/>
      <c r="AM115" s="1182"/>
      <c r="AN115" s="1183"/>
      <c r="AO115" s="1184"/>
      <c r="AP115" s="1185"/>
      <c r="AT115" s="1182"/>
      <c r="AU115" s="1183"/>
      <c r="AV115" s="1184"/>
      <c r="AW115" s="1185"/>
      <c r="BA115" s="1182"/>
      <c r="BB115" s="1183"/>
      <c r="BC115" s="1184"/>
      <c r="BD115" s="1185"/>
    </row>
    <row r="116" spans="4:58" ht="15.75" thickBot="1" x14ac:dyDescent="0.3">
      <c r="D116" s="1175"/>
      <c r="E116" s="1191" t="s">
        <v>0</v>
      </c>
      <c r="F116" s="1192" t="s">
        <v>16</v>
      </c>
      <c r="G116" s="1193">
        <f>SUM(G100:G114)</f>
        <v>134.85220345830155</v>
      </c>
      <c r="H116" s="1410" t="s">
        <v>1176</v>
      </c>
      <c r="I116" s="1411">
        <f>+G116/G$93-1</f>
        <v>6.346456357080088E-3</v>
      </c>
      <c r="K116" s="1175"/>
      <c r="L116" s="1191" t="s">
        <v>0</v>
      </c>
      <c r="M116" s="1192" t="s">
        <v>16</v>
      </c>
      <c r="N116" s="1193">
        <f>SUM(N100:N114)</f>
        <v>113.70268238249425</v>
      </c>
      <c r="O116" s="1410" t="s">
        <v>1176</v>
      </c>
      <c r="P116" s="1411">
        <f>+N116/N93-1</f>
        <v>5.5281673552742827E-3</v>
      </c>
      <c r="R116" s="1175"/>
      <c r="S116" s="1191" t="s">
        <v>0</v>
      </c>
      <c r="T116" s="1192" t="s">
        <v>16</v>
      </c>
      <c r="U116" s="1193">
        <f>SUM(U100:U114)</f>
        <v>120.972114202814</v>
      </c>
      <c r="V116" s="1410" t="s">
        <v>1176</v>
      </c>
      <c r="W116" s="1411">
        <f>+U116/U93-1</f>
        <v>6.8128723749925069E-3</v>
      </c>
      <c r="Y116" s="1175"/>
      <c r="Z116" s="1191" t="s">
        <v>0</v>
      </c>
      <c r="AA116" s="1192" t="s">
        <v>16</v>
      </c>
      <c r="AB116" s="1193">
        <f>SUM(AB100:AB114)</f>
        <v>104.81522450285769</v>
      </c>
      <c r="AC116" s="1410" t="s">
        <v>1176</v>
      </c>
      <c r="AD116" s="1411">
        <f>+AB116/AB93-1</f>
        <v>4.6142930431265494E-3</v>
      </c>
      <c r="AF116" s="1175"/>
      <c r="AG116" s="1191" t="s">
        <v>0</v>
      </c>
      <c r="AH116" s="1192" t="s">
        <v>16</v>
      </c>
      <c r="AI116" s="1193">
        <f>SUM(AI100:AI114)</f>
        <v>120.49331701658156</v>
      </c>
      <c r="AJ116" s="1410" t="s">
        <v>1176</v>
      </c>
      <c r="AK116" s="1411">
        <f>+AI116/AI93-1</f>
        <v>6.4153287674046933E-3</v>
      </c>
      <c r="AM116" s="1175"/>
      <c r="AN116" s="1191" t="s">
        <v>0</v>
      </c>
      <c r="AO116" s="1192" t="s">
        <v>16</v>
      </c>
      <c r="AP116" s="1193">
        <f>SUM(AP100:AP114)</f>
        <v>134.48264092451842</v>
      </c>
      <c r="AQ116" s="1410" t="s">
        <v>1176</v>
      </c>
      <c r="AR116" s="1411">
        <f>+AP116/AP93-1</f>
        <v>6.3840642191701491E-3</v>
      </c>
      <c r="AT116" s="1175"/>
      <c r="AU116" s="1191" t="s">
        <v>0</v>
      </c>
      <c r="AV116" s="1192" t="s">
        <v>16</v>
      </c>
      <c r="AW116" s="1193">
        <f>SUM(AW100:AW114)</f>
        <v>108.15215011363199</v>
      </c>
      <c r="AX116" s="1410" t="s">
        <v>1176</v>
      </c>
      <c r="AY116" s="1411">
        <f>+AW116/AW93-1</f>
        <v>6.7838797700026099E-3</v>
      </c>
      <c r="BA116" s="1175"/>
      <c r="BB116" s="1191" t="s">
        <v>0</v>
      </c>
      <c r="BC116" s="1192" t="s">
        <v>16</v>
      </c>
      <c r="BD116" s="1193">
        <f>SUM(BD100:BD114)</f>
        <v>128.88631449263295</v>
      </c>
      <c r="BE116" s="1410" t="s">
        <v>1176</v>
      </c>
      <c r="BF116" s="1411">
        <f>+BD116/BD93-1</f>
        <v>6.8029586223434801E-3</v>
      </c>
    </row>
    <row r="118" spans="4:58" ht="20.25" x14ac:dyDescent="0.3">
      <c r="D118" s="164" t="s">
        <v>966</v>
      </c>
    </row>
    <row r="119" spans="4:58" ht="15.75" thickBot="1" x14ac:dyDescent="0.3"/>
    <row r="120" spans="4:58" ht="25.5" x14ac:dyDescent="0.25">
      <c r="D120" s="1169" t="s">
        <v>101</v>
      </c>
      <c r="E120" s="1170" t="s">
        <v>949</v>
      </c>
      <c r="F120" s="1170" t="s">
        <v>950</v>
      </c>
      <c r="G120" s="1171" t="s">
        <v>951</v>
      </c>
      <c r="K120" s="1169" t="s">
        <v>101</v>
      </c>
      <c r="L120" s="1170" t="s">
        <v>949</v>
      </c>
      <c r="M120" s="1170" t="s">
        <v>950</v>
      </c>
      <c r="N120" s="1171" t="s">
        <v>951</v>
      </c>
      <c r="R120" s="1169" t="s">
        <v>101</v>
      </c>
      <c r="S120" s="1170" t="s">
        <v>949</v>
      </c>
      <c r="T120" s="1170" t="s">
        <v>950</v>
      </c>
      <c r="U120" s="1171" t="s">
        <v>951</v>
      </c>
      <c r="Y120" s="1169" t="s">
        <v>101</v>
      </c>
      <c r="Z120" s="1170" t="s">
        <v>949</v>
      </c>
      <c r="AA120" s="1170" t="s">
        <v>950</v>
      </c>
      <c r="AB120" s="1171" t="s">
        <v>951</v>
      </c>
      <c r="AF120" s="1169" t="s">
        <v>101</v>
      </c>
      <c r="AG120" s="1170" t="s">
        <v>949</v>
      </c>
      <c r="AH120" s="1170" t="s">
        <v>950</v>
      </c>
      <c r="AI120" s="1171" t="s">
        <v>951</v>
      </c>
      <c r="AM120" s="1169" t="s">
        <v>101</v>
      </c>
      <c r="AN120" s="1170" t="s">
        <v>949</v>
      </c>
      <c r="AO120" s="1170" t="s">
        <v>950</v>
      </c>
      <c r="AP120" s="1171" t="s">
        <v>951</v>
      </c>
      <c r="AT120" s="1169" t="s">
        <v>101</v>
      </c>
      <c r="AU120" s="1170" t="s">
        <v>949</v>
      </c>
      <c r="AV120" s="1170" t="s">
        <v>950</v>
      </c>
      <c r="AW120" s="1171" t="s">
        <v>951</v>
      </c>
      <c r="BA120" s="1169" t="s">
        <v>101</v>
      </c>
      <c r="BB120" s="1170" t="s">
        <v>949</v>
      </c>
      <c r="BC120" s="1170" t="s">
        <v>950</v>
      </c>
      <c r="BD120" s="1171" t="s">
        <v>951</v>
      </c>
    </row>
    <row r="121" spans="4:58" x14ac:dyDescent="0.25">
      <c r="D121" s="1172"/>
      <c r="E121" s="1173"/>
      <c r="F121" s="1173"/>
      <c r="G121" s="1174"/>
      <c r="K121" s="1172"/>
      <c r="L121" s="1173"/>
      <c r="M121" s="1173"/>
      <c r="N121" s="1174"/>
      <c r="R121" s="1172"/>
      <c r="S121" s="1173"/>
      <c r="T121" s="1173"/>
      <c r="U121" s="1174"/>
      <c r="Y121" s="1172"/>
      <c r="Z121" s="1173"/>
      <c r="AA121" s="1173"/>
      <c r="AB121" s="1174"/>
      <c r="AF121" s="1172"/>
      <c r="AG121" s="1173"/>
      <c r="AH121" s="1173"/>
      <c r="AI121" s="1174"/>
      <c r="AM121" s="1172"/>
      <c r="AN121" s="1173"/>
      <c r="AO121" s="1173"/>
      <c r="AP121" s="1174"/>
      <c r="AT121" s="1172"/>
      <c r="AU121" s="1173"/>
      <c r="AV121" s="1173"/>
      <c r="AW121" s="1174"/>
      <c r="BA121" s="1172"/>
      <c r="BB121" s="1173"/>
      <c r="BC121" s="1173"/>
      <c r="BD121" s="1174"/>
    </row>
    <row r="122" spans="4:58" ht="15.75" thickBot="1" x14ac:dyDescent="0.3">
      <c r="D122" s="1175"/>
      <c r="E122" s="1015"/>
      <c r="F122" s="1183"/>
      <c r="G122" s="1177" t="s">
        <v>0</v>
      </c>
      <c r="K122" s="1175"/>
      <c r="L122" s="1015"/>
      <c r="M122" s="1176"/>
      <c r="N122" s="1177" t="s">
        <v>0</v>
      </c>
      <c r="R122" s="1175"/>
      <c r="S122" s="1015"/>
      <c r="T122" s="1176"/>
      <c r="U122" s="1177" t="s">
        <v>0</v>
      </c>
      <c r="Y122" s="1175"/>
      <c r="Z122" s="1015"/>
      <c r="AA122" s="1176"/>
      <c r="AB122" s="1177" t="s">
        <v>0</v>
      </c>
      <c r="AF122" s="1175"/>
      <c r="AG122" s="1015"/>
      <c r="AH122" s="1176"/>
      <c r="AI122" s="1177" t="s">
        <v>0</v>
      </c>
      <c r="AM122" s="1175"/>
      <c r="AN122" s="1015"/>
      <c r="AO122" s="1176"/>
      <c r="AP122" s="1177" t="s">
        <v>0</v>
      </c>
      <c r="AT122" s="1175"/>
      <c r="AU122" s="1015"/>
      <c r="AV122" s="1176"/>
      <c r="AW122" s="1177" t="s">
        <v>0</v>
      </c>
      <c r="BA122" s="1175"/>
      <c r="BB122" s="1015"/>
      <c r="BC122" s="1176"/>
      <c r="BD122" s="1177" t="s">
        <v>0</v>
      </c>
    </row>
    <row r="123" spans="4:58" x14ac:dyDescent="0.25">
      <c r="D123" s="1178">
        <v>0.75</v>
      </c>
      <c r="E123" s="1179">
        <v>6</v>
      </c>
      <c r="F123" s="1188">
        <f>+$I$6</f>
        <v>1.7500000000000002E-2</v>
      </c>
      <c r="G123" s="1201">
        <f t="shared" ref="G123:G132" si="31">+E123/(1+F123)^D123</f>
        <v>5.9224368275541304</v>
      </c>
      <c r="K123" s="1178">
        <v>0.75</v>
      </c>
      <c r="L123" s="1179">
        <v>4.5</v>
      </c>
      <c r="M123" s="1188">
        <f>+$I$6</f>
        <v>1.7500000000000002E-2</v>
      </c>
      <c r="N123" s="1181">
        <f t="shared" ref="N123:N127" si="32">+L123/(1+M123)^K123</f>
        <v>4.441827620665598</v>
      </c>
      <c r="R123" s="1178">
        <v>0.75</v>
      </c>
      <c r="S123" s="1179">
        <v>4</v>
      </c>
      <c r="T123" s="1188">
        <f>+$I$6</f>
        <v>1.7500000000000002E-2</v>
      </c>
      <c r="U123" s="1181">
        <f t="shared" ref="U123:U137" si="33">+S123/(1+T123)^R123</f>
        <v>3.9482912183694201</v>
      </c>
      <c r="Y123" s="1178">
        <v>0.75</v>
      </c>
      <c r="Z123" s="1179">
        <v>3</v>
      </c>
      <c r="AA123" s="1188">
        <f>+$I$6</f>
        <v>1.7500000000000002E-2</v>
      </c>
      <c r="AB123" s="1181">
        <f t="shared" ref="AB123:AB125" si="34">+Z123/(1+AA123)^Y123</f>
        <v>2.9612184137770652</v>
      </c>
      <c r="AF123" s="1178">
        <v>0.75</v>
      </c>
      <c r="AG123" s="1179">
        <v>5</v>
      </c>
      <c r="AH123" s="1188">
        <f>+$I$6</f>
        <v>1.7500000000000002E-2</v>
      </c>
      <c r="AI123" s="1181">
        <f t="shared" ref="AI123:AI129" si="35">+AG123/(1+AH123)^AF123</f>
        <v>4.9353640229617755</v>
      </c>
      <c r="AM123" s="1178">
        <v>0.75</v>
      </c>
      <c r="AN123" s="1179">
        <v>5.5</v>
      </c>
      <c r="AO123" s="1188">
        <f>+$I$6</f>
        <v>1.7500000000000002E-2</v>
      </c>
      <c r="AP123" s="1181">
        <f t="shared" ref="AP123:AP134" si="36">+AN123/(1+AO123)^AM123</f>
        <v>5.4289004252579529</v>
      </c>
      <c r="AT123" s="1178">
        <v>0.75</v>
      </c>
      <c r="AU123" s="1179">
        <v>3</v>
      </c>
      <c r="AV123" s="1188">
        <f>+$I$6</f>
        <v>1.7500000000000002E-2</v>
      </c>
      <c r="AW123" s="1181">
        <f t="shared" ref="AW123:AW136" si="37">+AU123/(1+AV123)^AT123</f>
        <v>2.9612184137770652</v>
      </c>
      <c r="BA123" s="1178">
        <v>0.75</v>
      </c>
      <c r="BB123" s="1179">
        <v>6.5</v>
      </c>
      <c r="BC123" s="1188">
        <f>+$I$6+$O$67</f>
        <v>1.9500000000000003E-2</v>
      </c>
      <c r="BD123" s="1181">
        <f t="shared" ref="BD123:BD129" si="38">+BB123/(1+BC123)^BA123</f>
        <v>6.4065310309817756</v>
      </c>
    </row>
    <row r="124" spans="4:58" x14ac:dyDescent="0.25">
      <c r="D124" s="1182">
        <v>1.75</v>
      </c>
      <c r="E124" s="1183">
        <v>6</v>
      </c>
      <c r="F124" s="1189">
        <f>+$I$10</f>
        <v>1.8499999999999999E-2</v>
      </c>
      <c r="G124" s="1202">
        <f t="shared" si="31"/>
        <v>5.8105794262952024</v>
      </c>
      <c r="K124" s="1182">
        <v>1.75</v>
      </c>
      <c r="L124" s="1183">
        <v>4.5</v>
      </c>
      <c r="M124" s="1189">
        <f>+$I$10</f>
        <v>1.8499999999999999E-2</v>
      </c>
      <c r="N124" s="1185">
        <f t="shared" si="32"/>
        <v>4.3579345697214018</v>
      </c>
      <c r="R124" s="1182">
        <v>1.75</v>
      </c>
      <c r="S124" s="1183">
        <v>4</v>
      </c>
      <c r="T124" s="1189">
        <f>+$I$10</f>
        <v>1.8499999999999999E-2</v>
      </c>
      <c r="U124" s="1185">
        <f t="shared" si="33"/>
        <v>3.8737196175301349</v>
      </c>
      <c r="Y124" s="1182">
        <v>1.75</v>
      </c>
      <c r="Z124" s="1183">
        <v>3</v>
      </c>
      <c r="AA124" s="1189">
        <f>+$I$10</f>
        <v>1.8499999999999999E-2</v>
      </c>
      <c r="AB124" s="1185">
        <f t="shared" si="34"/>
        <v>2.9052897131476012</v>
      </c>
      <c r="AF124" s="1182">
        <v>1.75</v>
      </c>
      <c r="AG124" s="1183">
        <v>5</v>
      </c>
      <c r="AH124" s="1189">
        <f>+$I$10</f>
        <v>1.8499999999999999E-2</v>
      </c>
      <c r="AI124" s="1185">
        <f t="shared" si="35"/>
        <v>4.8421495219126687</v>
      </c>
      <c r="AM124" s="1182">
        <v>1.75</v>
      </c>
      <c r="AN124" s="1183">
        <v>5.5</v>
      </c>
      <c r="AO124" s="1189">
        <f>+$I$10</f>
        <v>1.8499999999999999E-2</v>
      </c>
      <c r="AP124" s="1185">
        <f t="shared" si="36"/>
        <v>5.3263644741039355</v>
      </c>
      <c r="AT124" s="1182">
        <v>1.75</v>
      </c>
      <c r="AU124" s="1183">
        <v>3</v>
      </c>
      <c r="AV124" s="1189">
        <f>+$I$10</f>
        <v>1.8499999999999999E-2</v>
      </c>
      <c r="AW124" s="1185">
        <f t="shared" si="37"/>
        <v>2.9052897131476012</v>
      </c>
      <c r="BA124" s="1182">
        <v>1.75</v>
      </c>
      <c r="BB124" s="1183">
        <v>6.5</v>
      </c>
      <c r="BC124" s="1189">
        <f>+$I$10+$O$67</f>
        <v>2.0499999999999997E-2</v>
      </c>
      <c r="BD124" s="1185">
        <f t="shared" si="38"/>
        <v>6.2732210460245632</v>
      </c>
    </row>
    <row r="125" spans="4:58" x14ac:dyDescent="0.25">
      <c r="D125" s="1182">
        <v>2.75</v>
      </c>
      <c r="E125" s="1183">
        <v>6</v>
      </c>
      <c r="F125" s="1189">
        <f>+$I$14</f>
        <v>1.9833333333333331E-2</v>
      </c>
      <c r="G125" s="1202">
        <f t="shared" si="31"/>
        <v>5.6845480609286776</v>
      </c>
      <c r="K125" s="1182">
        <v>2.75</v>
      </c>
      <c r="L125" s="1183">
        <v>4.5</v>
      </c>
      <c r="M125" s="1189">
        <f>+$I$14</f>
        <v>1.9833333333333331E-2</v>
      </c>
      <c r="N125" s="1185">
        <f t="shared" si="32"/>
        <v>4.2634110456965084</v>
      </c>
      <c r="R125" s="1182">
        <v>2.75</v>
      </c>
      <c r="S125" s="1183">
        <v>4</v>
      </c>
      <c r="T125" s="1189">
        <f>+$I$14</f>
        <v>1.9833333333333331E-2</v>
      </c>
      <c r="U125" s="1185">
        <f t="shared" si="33"/>
        <v>3.7896987072857851</v>
      </c>
      <c r="Y125" s="1182">
        <v>2.75</v>
      </c>
      <c r="Z125" s="1183">
        <v>103</v>
      </c>
      <c r="AA125" s="1189">
        <f>+$I$14</f>
        <v>1.9833333333333331E-2</v>
      </c>
      <c r="AB125" s="1185">
        <f t="shared" si="34"/>
        <v>97.58474171260896</v>
      </c>
      <c r="AF125" s="1182">
        <v>2.75</v>
      </c>
      <c r="AG125" s="1183">
        <v>5</v>
      </c>
      <c r="AH125" s="1189">
        <f>+$I$14</f>
        <v>1.9833333333333331E-2</v>
      </c>
      <c r="AI125" s="1185">
        <f t="shared" si="35"/>
        <v>4.7371233841072318</v>
      </c>
      <c r="AM125" s="1182">
        <v>2.75</v>
      </c>
      <c r="AN125" s="1183">
        <v>5.5</v>
      </c>
      <c r="AO125" s="1189">
        <f>+$I$14</f>
        <v>1.9833333333333331E-2</v>
      </c>
      <c r="AP125" s="1185">
        <f t="shared" si="36"/>
        <v>5.2108357225179542</v>
      </c>
      <c r="AT125" s="1182">
        <v>2.75</v>
      </c>
      <c r="AU125" s="1183">
        <v>3</v>
      </c>
      <c r="AV125" s="1189">
        <f>+$I$14</f>
        <v>1.9833333333333331E-2</v>
      </c>
      <c r="AW125" s="1185">
        <f t="shared" si="37"/>
        <v>2.8422740304643388</v>
      </c>
      <c r="BA125" s="1182">
        <v>2.75</v>
      </c>
      <c r="BB125" s="1183">
        <v>6.5</v>
      </c>
      <c r="BC125" s="1189">
        <f>+$I$14+$O$67</f>
        <v>2.183333333333333E-2</v>
      </c>
      <c r="BD125" s="1185">
        <f t="shared" si="38"/>
        <v>6.1251704102918429</v>
      </c>
    </row>
    <row r="126" spans="4:58" x14ac:dyDescent="0.25">
      <c r="D126" s="1182">
        <v>3.75</v>
      </c>
      <c r="E126" s="1183">
        <v>6</v>
      </c>
      <c r="F126" s="1189">
        <f>+$I$18</f>
        <v>2.1166666666666667E-2</v>
      </c>
      <c r="G126" s="1202">
        <f t="shared" si="31"/>
        <v>5.5467537809130052</v>
      </c>
      <c r="K126" s="1182">
        <v>3.75</v>
      </c>
      <c r="L126" s="1183">
        <v>4.5</v>
      </c>
      <c r="M126" s="1189">
        <f>+$I$18</f>
        <v>2.1166666666666667E-2</v>
      </c>
      <c r="N126" s="1185">
        <f t="shared" si="32"/>
        <v>4.1600653356847541</v>
      </c>
      <c r="R126" s="1182">
        <v>3.75</v>
      </c>
      <c r="S126" s="1183">
        <v>4</v>
      </c>
      <c r="T126" s="1189">
        <f>+$I$18</f>
        <v>2.1166666666666667E-2</v>
      </c>
      <c r="U126" s="1185">
        <f t="shared" si="33"/>
        <v>3.6978358539420033</v>
      </c>
      <c r="Y126" s="1182">
        <v>3.75</v>
      </c>
      <c r="Z126" s="1183" t="s">
        <v>0</v>
      </c>
      <c r="AA126" s="1184" t="s">
        <v>0</v>
      </c>
      <c r="AB126" s="1185" t="s">
        <v>0</v>
      </c>
      <c r="AF126" s="1182">
        <v>3.75</v>
      </c>
      <c r="AG126" s="1183">
        <v>5</v>
      </c>
      <c r="AH126" s="1189">
        <f>+$I$18</f>
        <v>2.1166666666666667E-2</v>
      </c>
      <c r="AI126" s="1185">
        <f t="shared" si="35"/>
        <v>4.6222948174275045</v>
      </c>
      <c r="AM126" s="1182">
        <v>3.75</v>
      </c>
      <c r="AN126" s="1183">
        <v>5.5</v>
      </c>
      <c r="AO126" s="1189">
        <f>+$I$18</f>
        <v>2.1166666666666667E-2</v>
      </c>
      <c r="AP126" s="1185">
        <f t="shared" si="36"/>
        <v>5.0845242991702548</v>
      </c>
      <c r="AT126" s="1182">
        <v>3.75</v>
      </c>
      <c r="AU126" s="1183">
        <v>3</v>
      </c>
      <c r="AV126" s="1189">
        <f>+$I$18</f>
        <v>2.1166666666666667E-2</v>
      </c>
      <c r="AW126" s="1185">
        <f t="shared" si="37"/>
        <v>2.7733768904565026</v>
      </c>
      <c r="BA126" s="1182">
        <v>3.75</v>
      </c>
      <c r="BB126" s="1183">
        <v>6.5</v>
      </c>
      <c r="BC126" s="1189">
        <f>+$I$18+$O$67</f>
        <v>2.3166666666666669E-2</v>
      </c>
      <c r="BD126" s="1185">
        <f t="shared" si="38"/>
        <v>5.9650545608329173</v>
      </c>
    </row>
    <row r="127" spans="4:58" x14ac:dyDescent="0.25">
      <c r="D127" s="1182">
        <v>4.75</v>
      </c>
      <c r="E127" s="1183">
        <v>6</v>
      </c>
      <c r="F127" s="1189">
        <f>+$I$22</f>
        <v>2.2374999999999999E-2</v>
      </c>
      <c r="G127" s="1202">
        <f t="shared" si="31"/>
        <v>5.4013547237843795</v>
      </c>
      <c r="K127" s="1182">
        <v>4.75</v>
      </c>
      <c r="L127" s="1183">
        <v>104.5</v>
      </c>
      <c r="M127" s="1189">
        <f>+$I$22</f>
        <v>2.2374999999999999E-2</v>
      </c>
      <c r="N127" s="1185">
        <f t="shared" si="32"/>
        <v>94.073594772577934</v>
      </c>
      <c r="R127" s="1182">
        <v>4.75</v>
      </c>
      <c r="S127" s="1183">
        <v>4</v>
      </c>
      <c r="T127" s="1189">
        <f>+$I$22</f>
        <v>2.2374999999999999E-2</v>
      </c>
      <c r="U127" s="1185">
        <f t="shared" si="33"/>
        <v>3.6009031491895862</v>
      </c>
      <c r="Y127" s="1182">
        <v>4.75</v>
      </c>
      <c r="Z127" s="1183" t="s">
        <v>0</v>
      </c>
      <c r="AA127" s="1184" t="s">
        <v>0</v>
      </c>
      <c r="AB127" s="1185" t="s">
        <v>0</v>
      </c>
      <c r="AF127" s="1182">
        <v>4.75</v>
      </c>
      <c r="AG127" s="1183">
        <v>5</v>
      </c>
      <c r="AH127" s="1189">
        <f>+$I$22</f>
        <v>2.2374999999999999E-2</v>
      </c>
      <c r="AI127" s="1185">
        <f t="shared" si="35"/>
        <v>4.5011289364869826</v>
      </c>
      <c r="AM127" s="1182">
        <v>4.75</v>
      </c>
      <c r="AN127" s="1183">
        <v>5.5</v>
      </c>
      <c r="AO127" s="1189">
        <f>+$I$22</f>
        <v>2.2374999999999999E-2</v>
      </c>
      <c r="AP127" s="1185">
        <f t="shared" si="36"/>
        <v>4.9512418301356806</v>
      </c>
      <c r="AT127" s="1182">
        <v>4.75</v>
      </c>
      <c r="AU127" s="1183">
        <v>3</v>
      </c>
      <c r="AV127" s="1189">
        <f>+$I$22</f>
        <v>2.2374999999999999E-2</v>
      </c>
      <c r="AW127" s="1185">
        <f t="shared" si="37"/>
        <v>2.7006773618921898</v>
      </c>
      <c r="BA127" s="1182">
        <v>4.75</v>
      </c>
      <c r="BB127" s="1183">
        <v>6.5</v>
      </c>
      <c r="BC127" s="1189">
        <f>+$I$22+$O$67</f>
        <v>2.4375000000000001E-2</v>
      </c>
      <c r="BD127" s="1185">
        <f t="shared" si="38"/>
        <v>5.7973997145716964</v>
      </c>
    </row>
    <row r="128" spans="4:58" x14ac:dyDescent="0.25">
      <c r="D128" s="1182">
        <v>5.75</v>
      </c>
      <c r="E128" s="1183">
        <v>6</v>
      </c>
      <c r="F128" s="1189">
        <f>+$I$26</f>
        <v>2.3541666666666662E-2</v>
      </c>
      <c r="G128" s="1202">
        <f t="shared" si="31"/>
        <v>5.248612029989939</v>
      </c>
      <c r="K128" s="1182">
        <v>5.75</v>
      </c>
      <c r="L128" s="1183" t="s">
        <v>0</v>
      </c>
      <c r="M128" s="1184" t="s">
        <v>0</v>
      </c>
      <c r="N128" s="1185" t="s">
        <v>0</v>
      </c>
      <c r="R128" s="1182">
        <v>5.75</v>
      </c>
      <c r="S128" s="1183">
        <v>4</v>
      </c>
      <c r="T128" s="1189">
        <f>+$I$26</f>
        <v>2.3541666666666662E-2</v>
      </c>
      <c r="U128" s="1185">
        <f t="shared" si="33"/>
        <v>3.4990746866599594</v>
      </c>
      <c r="Y128" s="1182">
        <v>5.75</v>
      </c>
      <c r="Z128" s="1183" t="s">
        <v>0</v>
      </c>
      <c r="AA128" s="1184" t="s">
        <v>0</v>
      </c>
      <c r="AB128" s="1185" t="s">
        <v>0</v>
      </c>
      <c r="AF128" s="1182">
        <v>5.75</v>
      </c>
      <c r="AG128" s="1183">
        <v>5</v>
      </c>
      <c r="AH128" s="1189">
        <f>+$I$26</f>
        <v>2.3541666666666662E-2</v>
      </c>
      <c r="AI128" s="1185">
        <f t="shared" si="35"/>
        <v>4.3738433583249492</v>
      </c>
      <c r="AM128" s="1182">
        <v>5.75</v>
      </c>
      <c r="AN128" s="1183">
        <v>5.5</v>
      </c>
      <c r="AO128" s="1189">
        <f>+$I$26</f>
        <v>2.3541666666666662E-2</v>
      </c>
      <c r="AP128" s="1185">
        <f t="shared" si="36"/>
        <v>4.8112276941574441</v>
      </c>
      <c r="AT128" s="1182">
        <v>5.75</v>
      </c>
      <c r="AU128" s="1183">
        <v>3</v>
      </c>
      <c r="AV128" s="1189">
        <f>+$I$26</f>
        <v>2.3541666666666662E-2</v>
      </c>
      <c r="AW128" s="1185">
        <f t="shared" si="37"/>
        <v>2.6243060149949695</v>
      </c>
      <c r="BA128" s="1182">
        <v>5.75</v>
      </c>
      <c r="BB128" s="1183">
        <v>6.5</v>
      </c>
      <c r="BC128" s="1189">
        <f>+$I$26+$O$67</f>
        <v>2.5541666666666664E-2</v>
      </c>
      <c r="BD128" s="1185">
        <f t="shared" si="38"/>
        <v>5.6225305548482254</v>
      </c>
    </row>
    <row r="129" spans="4:58" x14ac:dyDescent="0.25">
      <c r="D129" s="1182">
        <v>6.75</v>
      </c>
      <c r="E129" s="1183">
        <v>6</v>
      </c>
      <c r="F129" s="1189">
        <f>+$I$30</f>
        <v>2.4708333333333325E-2</v>
      </c>
      <c r="G129" s="1202">
        <f t="shared" si="31"/>
        <v>5.0886132083103277</v>
      </c>
      <c r="K129" s="1182">
        <v>6.75</v>
      </c>
      <c r="L129" s="1183" t="s">
        <v>0</v>
      </c>
      <c r="M129" s="1184" t="s">
        <v>0</v>
      </c>
      <c r="N129" s="1185" t="s">
        <v>0</v>
      </c>
      <c r="R129" s="1182">
        <v>6.75</v>
      </c>
      <c r="S129" s="1183">
        <v>4</v>
      </c>
      <c r="T129" s="1189">
        <f>+$I$30</f>
        <v>2.4708333333333325E-2</v>
      </c>
      <c r="U129" s="1185">
        <f t="shared" si="33"/>
        <v>3.3924088055402186</v>
      </c>
      <c r="Y129" s="1182">
        <v>6.75</v>
      </c>
      <c r="Z129" s="1183" t="s">
        <v>0</v>
      </c>
      <c r="AA129" s="1184" t="s">
        <v>0</v>
      </c>
      <c r="AB129" s="1185" t="s">
        <v>0</v>
      </c>
      <c r="AF129" s="1182">
        <v>6.75</v>
      </c>
      <c r="AG129" s="1183">
        <v>105</v>
      </c>
      <c r="AH129" s="1189">
        <f>+$I$30</f>
        <v>2.4708333333333325E-2</v>
      </c>
      <c r="AI129" s="1185">
        <f t="shared" si="35"/>
        <v>89.050731145430746</v>
      </c>
      <c r="AM129" s="1182">
        <v>6.75</v>
      </c>
      <c r="AN129" s="1183">
        <v>5.5</v>
      </c>
      <c r="AO129" s="1189">
        <f>+$I$30</f>
        <v>2.4708333333333325E-2</v>
      </c>
      <c r="AP129" s="1185">
        <f t="shared" si="36"/>
        <v>4.664562107617801</v>
      </c>
      <c r="AT129" s="1182">
        <v>6.75</v>
      </c>
      <c r="AU129" s="1183">
        <v>3</v>
      </c>
      <c r="AV129" s="1189">
        <f>+$I$30</f>
        <v>2.4708333333333325E-2</v>
      </c>
      <c r="AW129" s="1185">
        <f t="shared" si="37"/>
        <v>2.5443066041551639</v>
      </c>
      <c r="BA129" s="1182">
        <v>6.75</v>
      </c>
      <c r="BB129" s="1183">
        <v>106.5</v>
      </c>
      <c r="BC129" s="1189">
        <f>+$I$30+$O$67</f>
        <v>2.6708333333333327E-2</v>
      </c>
      <c r="BD129" s="1185">
        <f t="shared" si="38"/>
        <v>89.141876170931511</v>
      </c>
    </row>
    <row r="130" spans="4:58" x14ac:dyDescent="0.25">
      <c r="D130" s="1182">
        <v>7.75</v>
      </c>
      <c r="E130" s="1183">
        <v>6</v>
      </c>
      <c r="F130" s="1189">
        <f>+$I$34</f>
        <v>2.5749999999999992E-2</v>
      </c>
      <c r="G130" s="1202">
        <f t="shared" si="31"/>
        <v>4.9269644273362347</v>
      </c>
      <c r="K130" s="1182">
        <v>7.75</v>
      </c>
      <c r="L130" s="1183" t="s">
        <v>0</v>
      </c>
      <c r="M130" s="1184" t="s">
        <v>0</v>
      </c>
      <c r="N130" s="1185" t="s">
        <v>0</v>
      </c>
      <c r="R130" s="1182">
        <v>7.75</v>
      </c>
      <c r="S130" s="1183">
        <v>4</v>
      </c>
      <c r="T130" s="1189">
        <f>+$I$34</f>
        <v>2.5749999999999992E-2</v>
      </c>
      <c r="U130" s="1185">
        <f t="shared" si="33"/>
        <v>3.28464295155749</v>
      </c>
      <c r="Y130" s="1182">
        <v>7.75</v>
      </c>
      <c r="Z130" s="1183" t="s">
        <v>0</v>
      </c>
      <c r="AA130" s="1184" t="s">
        <v>0</v>
      </c>
      <c r="AB130" s="1185" t="s">
        <v>0</v>
      </c>
      <c r="AF130" s="1182">
        <v>7.75</v>
      </c>
      <c r="AG130" s="1183" t="s">
        <v>0</v>
      </c>
      <c r="AH130" s="1184" t="s">
        <v>0</v>
      </c>
      <c r="AI130" s="1185" t="s">
        <v>0</v>
      </c>
      <c r="AM130" s="1182">
        <v>7.75</v>
      </c>
      <c r="AN130" s="1183">
        <v>5.5</v>
      </c>
      <c r="AO130" s="1189">
        <f>+$I$34</f>
        <v>2.5749999999999992E-2</v>
      </c>
      <c r="AP130" s="1185">
        <f t="shared" si="36"/>
        <v>4.5163840583915489</v>
      </c>
      <c r="AT130" s="1182">
        <v>7.75</v>
      </c>
      <c r="AU130" s="1183">
        <v>3</v>
      </c>
      <c r="AV130" s="1189">
        <f>+$I$34</f>
        <v>2.5749999999999992E-2</v>
      </c>
      <c r="AW130" s="1185">
        <f t="shared" si="37"/>
        <v>2.4634822136681174</v>
      </c>
      <c r="BA130" s="1182">
        <v>7.75</v>
      </c>
      <c r="BB130" s="1183" t="s">
        <v>0</v>
      </c>
      <c r="BC130" s="1184" t="s">
        <v>0</v>
      </c>
      <c r="BD130" s="1185" t="s">
        <v>0</v>
      </c>
    </row>
    <row r="131" spans="4:58" x14ac:dyDescent="0.25">
      <c r="D131" s="1182">
        <v>8.75</v>
      </c>
      <c r="E131" s="1183">
        <v>6</v>
      </c>
      <c r="F131" s="1189">
        <f>+$I$38</f>
        <v>2.6749999999999993E-2</v>
      </c>
      <c r="G131" s="1202">
        <f t="shared" si="31"/>
        <v>4.7625003931352943</v>
      </c>
      <c r="K131" s="1182">
        <v>8.75</v>
      </c>
      <c r="L131" s="1183" t="s">
        <v>0</v>
      </c>
      <c r="M131" s="1184" t="s">
        <v>0</v>
      </c>
      <c r="N131" s="1185" t="s">
        <v>0</v>
      </c>
      <c r="R131" s="1182">
        <v>8.75</v>
      </c>
      <c r="S131" s="1183">
        <v>4</v>
      </c>
      <c r="T131" s="1189">
        <f>+$I$38</f>
        <v>2.6749999999999993E-2</v>
      </c>
      <c r="U131" s="1185">
        <f t="shared" si="33"/>
        <v>3.175000262090196</v>
      </c>
      <c r="Y131" s="1182">
        <v>8.75</v>
      </c>
      <c r="Z131" s="1183" t="s">
        <v>0</v>
      </c>
      <c r="AA131" s="1184" t="s">
        <v>0</v>
      </c>
      <c r="AB131" s="1185" t="s">
        <v>0</v>
      </c>
      <c r="AF131" s="1182">
        <v>8.75</v>
      </c>
      <c r="AG131" s="1183" t="s">
        <v>0</v>
      </c>
      <c r="AH131" s="1184" t="s">
        <v>0</v>
      </c>
      <c r="AI131" s="1185" t="s">
        <v>0</v>
      </c>
      <c r="AM131" s="1182">
        <v>8.75</v>
      </c>
      <c r="AN131" s="1183">
        <v>5.5</v>
      </c>
      <c r="AO131" s="1189">
        <f>+$I$38</f>
        <v>2.6749999999999993E-2</v>
      </c>
      <c r="AP131" s="1185">
        <f t="shared" si="36"/>
        <v>4.36562536037402</v>
      </c>
      <c r="AT131" s="1182">
        <v>8.75</v>
      </c>
      <c r="AU131" s="1183">
        <v>3</v>
      </c>
      <c r="AV131" s="1189">
        <f>+$I$38</f>
        <v>2.6749999999999993E-2</v>
      </c>
      <c r="AW131" s="1185">
        <f t="shared" si="37"/>
        <v>2.3812501965676471</v>
      </c>
      <c r="BA131" s="1182">
        <v>8.75</v>
      </c>
      <c r="BB131" s="1183" t="s">
        <v>0</v>
      </c>
      <c r="BC131" s="1184" t="s">
        <v>0</v>
      </c>
      <c r="BD131" s="1185" t="s">
        <v>99</v>
      </c>
    </row>
    <row r="132" spans="4:58" ht="15.75" thickBot="1" x14ac:dyDescent="0.3">
      <c r="D132" s="1182">
        <v>9.75</v>
      </c>
      <c r="E132" s="1183">
        <v>106</v>
      </c>
      <c r="F132" s="1189">
        <f>+$I$42</f>
        <v>2.7458333333333328E-2</v>
      </c>
      <c r="G132" s="1202">
        <f t="shared" si="31"/>
        <v>81.396312599528898</v>
      </c>
      <c r="K132" s="1175">
        <v>9.75</v>
      </c>
      <c r="L132" s="1176" t="s">
        <v>0</v>
      </c>
      <c r="M132" s="1186" t="s">
        <v>0</v>
      </c>
      <c r="N132" s="1187" t="s">
        <v>0</v>
      </c>
      <c r="R132" s="1182">
        <v>9.75</v>
      </c>
      <c r="S132" s="1183">
        <v>4</v>
      </c>
      <c r="T132" s="1189">
        <f>+$I$42</f>
        <v>2.7458333333333328E-2</v>
      </c>
      <c r="U132" s="1185">
        <f t="shared" si="33"/>
        <v>3.0715589660199587</v>
      </c>
      <c r="Y132" s="1175">
        <v>9.75</v>
      </c>
      <c r="Z132" s="1176" t="s">
        <v>0</v>
      </c>
      <c r="AA132" s="1186" t="s">
        <v>0</v>
      </c>
      <c r="AB132" s="1187" t="s">
        <v>0</v>
      </c>
      <c r="AF132" s="1175">
        <v>9.75</v>
      </c>
      <c r="AG132" s="1176" t="s">
        <v>0</v>
      </c>
      <c r="AH132" s="1186" t="s">
        <v>0</v>
      </c>
      <c r="AI132" s="1187" t="s">
        <v>0</v>
      </c>
      <c r="AM132" s="1175">
        <v>9.75</v>
      </c>
      <c r="AN132" s="1176">
        <v>5.5</v>
      </c>
      <c r="AO132" s="1189">
        <f>+$I$42</f>
        <v>2.7458333333333328E-2</v>
      </c>
      <c r="AP132" s="1187">
        <f t="shared" si="36"/>
        <v>4.2233935782774434</v>
      </c>
      <c r="AT132" s="1175">
        <v>9.75</v>
      </c>
      <c r="AU132" s="1176">
        <v>3</v>
      </c>
      <c r="AV132" s="1189">
        <f>+$I$42</f>
        <v>2.7458333333333328E-2</v>
      </c>
      <c r="AW132" s="1187">
        <f t="shared" si="37"/>
        <v>2.303669224514969</v>
      </c>
      <c r="BA132" s="1175">
        <v>9.75</v>
      </c>
      <c r="BB132" s="1176" t="s">
        <v>0</v>
      </c>
      <c r="BC132" s="1186" t="s">
        <v>0</v>
      </c>
      <c r="BD132" s="1187" t="s">
        <v>0</v>
      </c>
    </row>
    <row r="133" spans="4:58" x14ac:dyDescent="0.25">
      <c r="D133" s="1178">
        <v>10.75</v>
      </c>
      <c r="E133" s="1179"/>
      <c r="F133" s="1180" t="s">
        <v>0</v>
      </c>
      <c r="G133" s="1181"/>
      <c r="K133" s="1178">
        <v>10.75</v>
      </c>
      <c r="L133" s="1179" t="s">
        <v>0</v>
      </c>
      <c r="M133" s="1180" t="s">
        <v>0</v>
      </c>
      <c r="N133" s="1181"/>
      <c r="R133" s="1178">
        <v>10.75</v>
      </c>
      <c r="S133" s="1179">
        <v>4</v>
      </c>
      <c r="T133" s="1188">
        <f>+$I$46</f>
        <v>2.7958333333333328E-2</v>
      </c>
      <c r="U133" s="1181">
        <f t="shared" si="33"/>
        <v>2.9738786421896015</v>
      </c>
      <c r="Y133" s="1178">
        <v>10.75</v>
      </c>
      <c r="Z133" s="1179" t="s">
        <v>0</v>
      </c>
      <c r="AA133" s="1180" t="s">
        <v>0</v>
      </c>
      <c r="AB133" s="1181" t="s">
        <v>0</v>
      </c>
      <c r="AF133" s="1178">
        <v>10.75</v>
      </c>
      <c r="AG133" s="1179" t="s">
        <v>99</v>
      </c>
      <c r="AH133" s="1180" t="s">
        <v>0</v>
      </c>
      <c r="AI133" s="1181" t="s">
        <v>0</v>
      </c>
      <c r="AM133" s="1178">
        <v>10.75</v>
      </c>
      <c r="AN133" s="1179">
        <v>5.5</v>
      </c>
      <c r="AO133" s="1188">
        <f>+$I$46</f>
        <v>2.7958333333333328E-2</v>
      </c>
      <c r="AP133" s="1181">
        <f t="shared" si="36"/>
        <v>4.0890831330107025</v>
      </c>
      <c r="AT133" s="1178">
        <v>10.75</v>
      </c>
      <c r="AU133" s="1179">
        <v>3</v>
      </c>
      <c r="AV133" s="1188">
        <f>+$I$46</f>
        <v>2.7958333333333328E-2</v>
      </c>
      <c r="AW133" s="1181">
        <f t="shared" si="37"/>
        <v>2.230408981642201</v>
      </c>
      <c r="BA133" s="1178">
        <v>10.75</v>
      </c>
      <c r="BB133" s="1179" t="s">
        <v>0</v>
      </c>
      <c r="BC133" s="1180" t="s">
        <v>0</v>
      </c>
      <c r="BD133" s="1181" t="s">
        <v>0</v>
      </c>
    </row>
    <row r="134" spans="4:58" x14ac:dyDescent="0.25">
      <c r="D134" s="1182">
        <v>11.75</v>
      </c>
      <c r="E134" s="1183"/>
      <c r="F134" s="1184" t="s">
        <v>0</v>
      </c>
      <c r="G134" s="1185"/>
      <c r="K134" s="1182">
        <v>11.75</v>
      </c>
      <c r="L134" s="1183"/>
      <c r="M134" s="1184" t="s">
        <v>0</v>
      </c>
      <c r="N134" s="1185"/>
      <c r="R134" s="1182">
        <v>11.75</v>
      </c>
      <c r="S134" s="1183">
        <v>4</v>
      </c>
      <c r="T134" s="1189">
        <f>+$I$50</f>
        <v>2.8416666666666663E-2</v>
      </c>
      <c r="U134" s="1185">
        <f t="shared" si="33"/>
        <v>2.8778820652254682</v>
      </c>
      <c r="Y134" s="1182">
        <v>11.75</v>
      </c>
      <c r="Z134" s="1183" t="s">
        <v>0</v>
      </c>
      <c r="AA134" s="1184" t="s">
        <v>0</v>
      </c>
      <c r="AB134" s="1185" t="s">
        <v>0</v>
      </c>
      <c r="AF134" s="1182">
        <v>11.75</v>
      </c>
      <c r="AG134" s="1183" t="s">
        <v>0</v>
      </c>
      <c r="AH134" s="1184" t="s">
        <v>0</v>
      </c>
      <c r="AI134" s="1185" t="s">
        <v>0</v>
      </c>
      <c r="AM134" s="1182">
        <v>11.75</v>
      </c>
      <c r="AN134" s="1183">
        <v>105.5</v>
      </c>
      <c r="AO134" s="1189">
        <f>+$I$50</f>
        <v>2.8416666666666663E-2</v>
      </c>
      <c r="AP134" s="1185">
        <f t="shared" si="36"/>
        <v>75.904139470321724</v>
      </c>
      <c r="AT134" s="1182">
        <v>11.75</v>
      </c>
      <c r="AU134" s="1183">
        <v>3</v>
      </c>
      <c r="AV134" s="1189">
        <f>+$I$50</f>
        <v>2.8416666666666663E-2</v>
      </c>
      <c r="AW134" s="1185">
        <f t="shared" si="37"/>
        <v>2.1584115489191014</v>
      </c>
      <c r="BA134" s="1182">
        <v>11.75</v>
      </c>
      <c r="BB134" s="1183" t="s">
        <v>0</v>
      </c>
      <c r="BC134" s="1184" t="s">
        <v>0</v>
      </c>
      <c r="BD134" s="1185" t="s">
        <v>0</v>
      </c>
    </row>
    <row r="135" spans="4:58" x14ac:dyDescent="0.25">
      <c r="D135" s="1182">
        <v>12.75</v>
      </c>
      <c r="E135" s="1183"/>
      <c r="F135" s="1184" t="s">
        <v>0</v>
      </c>
      <c r="G135" s="1185"/>
      <c r="K135" s="1182">
        <v>12.75</v>
      </c>
      <c r="L135" s="1183"/>
      <c r="M135" s="1184" t="s">
        <v>0</v>
      </c>
      <c r="N135" s="1185"/>
      <c r="R135" s="1182">
        <v>12.75</v>
      </c>
      <c r="S135" s="1183">
        <v>4</v>
      </c>
      <c r="T135" s="1189">
        <f>+$I$54</f>
        <v>2.8750000000000001E-2</v>
      </c>
      <c r="U135" s="1185">
        <f t="shared" si="33"/>
        <v>2.7868232589514004</v>
      </c>
      <c r="Y135" s="1182">
        <v>12.75</v>
      </c>
      <c r="Z135" s="1183" t="s">
        <v>0</v>
      </c>
      <c r="AA135" s="1184" t="s">
        <v>0</v>
      </c>
      <c r="AB135" s="1185" t="s">
        <v>0</v>
      </c>
      <c r="AF135" s="1182">
        <v>12.75</v>
      </c>
      <c r="AG135" s="1183" t="s">
        <v>0</v>
      </c>
      <c r="AH135" s="1184" t="s">
        <v>99</v>
      </c>
      <c r="AI135" s="1185" t="s">
        <v>0</v>
      </c>
      <c r="AM135" s="1182">
        <v>12.75</v>
      </c>
      <c r="AN135" s="1183" t="s">
        <v>0</v>
      </c>
      <c r="AO135" s="1189" t="s">
        <v>0</v>
      </c>
      <c r="AP135" s="1185" t="s">
        <v>0</v>
      </c>
      <c r="AT135" s="1182">
        <v>12.75</v>
      </c>
      <c r="AU135" s="1183">
        <v>3</v>
      </c>
      <c r="AV135" s="1189">
        <f>+$I$54</f>
        <v>2.8750000000000001E-2</v>
      </c>
      <c r="AW135" s="1185">
        <f t="shared" si="37"/>
        <v>2.0901174442135502</v>
      </c>
      <c r="BA135" s="1182">
        <v>12.75</v>
      </c>
      <c r="BB135" s="1183" t="s">
        <v>0</v>
      </c>
      <c r="BC135" s="1184" t="s">
        <v>99</v>
      </c>
      <c r="BD135" s="1185" t="s">
        <v>0</v>
      </c>
    </row>
    <row r="136" spans="4:58" x14ac:dyDescent="0.25">
      <c r="D136" s="1182">
        <v>13.75</v>
      </c>
      <c r="E136" s="1183"/>
      <c r="F136" s="1184" t="s">
        <v>99</v>
      </c>
      <c r="G136" s="1185"/>
      <c r="K136" s="1182">
        <v>13.75</v>
      </c>
      <c r="L136" s="1183"/>
      <c r="M136" s="1184" t="s">
        <v>0</v>
      </c>
      <c r="N136" s="1185"/>
      <c r="R136" s="1182">
        <v>13.75</v>
      </c>
      <c r="S136" s="1183">
        <v>4</v>
      </c>
      <c r="T136" s="1189">
        <f>+$I$58</f>
        <v>2.9208333333333336E-2</v>
      </c>
      <c r="U136" s="1185">
        <f t="shared" si="33"/>
        <v>2.6924007279974504</v>
      </c>
      <c r="Y136" s="1182">
        <v>13.75</v>
      </c>
      <c r="Z136" s="1183" t="s">
        <v>0</v>
      </c>
      <c r="AA136" s="1184" t="s">
        <v>0</v>
      </c>
      <c r="AB136" s="1185" t="s">
        <v>0</v>
      </c>
      <c r="AF136" s="1182">
        <v>13.75</v>
      </c>
      <c r="AG136" s="1183" t="s">
        <v>0</v>
      </c>
      <c r="AH136" s="1184" t="s">
        <v>0</v>
      </c>
      <c r="AI136" s="1185" t="s">
        <v>99</v>
      </c>
      <c r="AM136" s="1182">
        <v>13.75</v>
      </c>
      <c r="AN136" s="1183" t="s">
        <v>0</v>
      </c>
      <c r="AO136" s="1184" t="s">
        <v>0</v>
      </c>
      <c r="AP136" s="1185" t="s">
        <v>0</v>
      </c>
      <c r="AT136" s="1182">
        <v>13.75</v>
      </c>
      <c r="AU136" s="1183">
        <v>103</v>
      </c>
      <c r="AV136" s="1189">
        <f>+$I$58</f>
        <v>2.9208333333333336E-2</v>
      </c>
      <c r="AW136" s="1185">
        <f t="shared" si="37"/>
        <v>69.329318745934344</v>
      </c>
      <c r="BA136" s="1182">
        <v>13.75</v>
      </c>
      <c r="BB136" s="1183" t="s">
        <v>0</v>
      </c>
      <c r="BC136" s="1184" t="s">
        <v>0</v>
      </c>
      <c r="BD136" s="1185" t="s">
        <v>0</v>
      </c>
    </row>
    <row r="137" spans="4:58" ht="15.75" thickBot="1" x14ac:dyDescent="0.3">
      <c r="D137" s="1182">
        <v>14.75</v>
      </c>
      <c r="E137" s="1183"/>
      <c r="F137" s="1184" t="s">
        <v>0</v>
      </c>
      <c r="G137" s="1185"/>
      <c r="K137" s="1182">
        <v>14.75</v>
      </c>
      <c r="L137" s="1183"/>
      <c r="M137" s="1184" t="s">
        <v>0</v>
      </c>
      <c r="N137" s="1185"/>
      <c r="R137" s="1182">
        <v>14.75</v>
      </c>
      <c r="S137" s="1183">
        <v>104</v>
      </c>
      <c r="T137" s="1189">
        <f>+$I$62</f>
        <v>2.9541666666666674E-2</v>
      </c>
      <c r="U137" s="1185">
        <f t="shared" si="33"/>
        <v>67.691697662557544</v>
      </c>
      <c r="Y137" s="1182">
        <v>14.75</v>
      </c>
      <c r="Z137" s="1183" t="s">
        <v>0</v>
      </c>
      <c r="AA137" s="1184" t="s">
        <v>0</v>
      </c>
      <c r="AB137" s="1185" t="s">
        <v>0</v>
      </c>
      <c r="AF137" s="1182">
        <v>14.75</v>
      </c>
      <c r="AG137" s="1183" t="s">
        <v>0</v>
      </c>
      <c r="AH137" s="1184" t="s">
        <v>0</v>
      </c>
      <c r="AI137" s="1185" t="s">
        <v>0</v>
      </c>
      <c r="AM137" s="1182">
        <v>14.75</v>
      </c>
      <c r="AN137" s="1183" t="s">
        <v>0</v>
      </c>
      <c r="AO137" s="1184" t="s">
        <v>0</v>
      </c>
      <c r="AP137" s="1185" t="s">
        <v>0</v>
      </c>
      <c r="AT137" s="1182">
        <v>14.75</v>
      </c>
      <c r="AU137" s="1183" t="s">
        <v>0</v>
      </c>
      <c r="AV137" s="1184" t="s">
        <v>0</v>
      </c>
      <c r="AW137" s="1185" t="s">
        <v>0</v>
      </c>
      <c r="BA137" s="1182">
        <v>14.75</v>
      </c>
      <c r="BB137" s="1183" t="s">
        <v>0</v>
      </c>
      <c r="BC137" s="1184" t="s">
        <v>0</v>
      </c>
      <c r="BD137" s="1185" t="s">
        <v>0</v>
      </c>
    </row>
    <row r="138" spans="4:58" ht="15.75" thickBot="1" x14ac:dyDescent="0.3">
      <c r="D138" s="1182"/>
      <c r="E138" s="1183"/>
      <c r="F138" s="1184" t="s">
        <v>0</v>
      </c>
      <c r="G138" s="1185"/>
      <c r="H138" s="1412" t="s">
        <v>1191</v>
      </c>
      <c r="I138" s="1413"/>
      <c r="K138" s="1182"/>
      <c r="L138" s="1183"/>
      <c r="M138" s="1184" t="s">
        <v>0</v>
      </c>
      <c r="N138" s="1185"/>
      <c r="R138" s="1182"/>
      <c r="S138" s="1183"/>
      <c r="T138" s="1184" t="s">
        <v>0</v>
      </c>
      <c r="U138" s="1185"/>
      <c r="Y138" s="1182"/>
      <c r="Z138" s="1183"/>
      <c r="AA138" s="1184" t="s">
        <v>0</v>
      </c>
      <c r="AB138" s="1185"/>
      <c r="AF138" s="1182"/>
      <c r="AG138" s="1183"/>
      <c r="AH138" s="1184" t="s">
        <v>0</v>
      </c>
      <c r="AI138" s="1185"/>
      <c r="AM138" s="1182"/>
      <c r="AN138" s="1183"/>
      <c r="AO138" s="1184" t="s">
        <v>0</v>
      </c>
      <c r="AP138" s="1185"/>
      <c r="AT138" s="1182"/>
      <c r="AU138" s="1183"/>
      <c r="AV138" s="1184" t="s">
        <v>0</v>
      </c>
      <c r="AW138" s="1185"/>
      <c r="BA138" s="1182"/>
      <c r="BB138" s="1183"/>
      <c r="BC138" s="1184" t="s">
        <v>0</v>
      </c>
      <c r="BD138" s="1185"/>
    </row>
    <row r="139" spans="4:58" ht="15.75" thickBot="1" x14ac:dyDescent="0.3">
      <c r="D139" s="1175"/>
      <c r="E139" s="1191" t="s">
        <v>0</v>
      </c>
      <c r="F139" s="1192" t="s">
        <v>16</v>
      </c>
      <c r="G139" s="1193">
        <f>SUM(G123:G132)</f>
        <v>129.78867547777611</v>
      </c>
      <c r="H139" s="1410" t="s">
        <v>947</v>
      </c>
      <c r="I139" s="1411">
        <f>+(G139-G116)/G$93</f>
        <v>-3.7787023935744249E-2</v>
      </c>
      <c r="K139" s="1175"/>
      <c r="L139" s="1191" t="s">
        <v>0</v>
      </c>
      <c r="M139" s="1192" t="s">
        <v>16</v>
      </c>
      <c r="N139" s="1193">
        <f>SUM(N123:N137)</f>
        <v>111.2968333443462</v>
      </c>
      <c r="O139" s="1410" t="s">
        <v>947</v>
      </c>
      <c r="P139" s="1411">
        <f>+(N139-N116)/N$93</f>
        <v>-2.1276094139313907E-2</v>
      </c>
      <c r="R139" s="1175"/>
      <c r="S139" s="1191" t="s">
        <v>0</v>
      </c>
      <c r="T139" s="1192" t="s">
        <v>16</v>
      </c>
      <c r="U139" s="1193">
        <f>SUM(U123:U137)</f>
        <v>114.35581657510622</v>
      </c>
      <c r="V139" s="1410" t="s">
        <v>947</v>
      </c>
      <c r="W139" s="1411">
        <f>+(U139-U116)/U$93</f>
        <v>-5.5065364963964275E-2</v>
      </c>
      <c r="Y139" s="1175"/>
      <c r="Z139" s="1191" t="s">
        <v>0</v>
      </c>
      <c r="AA139" s="1192" t="s">
        <v>16</v>
      </c>
      <c r="AB139" s="1193">
        <f>SUM(AB123:AB137)</f>
        <v>103.45124983953363</v>
      </c>
      <c r="AC139" s="1410" t="s">
        <v>947</v>
      </c>
      <c r="AD139" s="1411">
        <f>+(AB139-AB116)/AB$93</f>
        <v>-1.3073181387754177E-2</v>
      </c>
      <c r="AF139" s="1175"/>
      <c r="AG139" s="1191" t="s">
        <v>0</v>
      </c>
      <c r="AH139" s="1192" t="s">
        <v>16</v>
      </c>
      <c r="AI139" s="1193">
        <f>SUM(AI123:AI137)</f>
        <v>117.06263518665186</v>
      </c>
      <c r="AJ139" s="1410" t="s">
        <v>947</v>
      </c>
      <c r="AK139" s="1411">
        <f>+(AI139-AI116)/AI$93</f>
        <v>-2.865462473151037E-2</v>
      </c>
      <c r="AM139" s="1175"/>
      <c r="AN139" s="1191" t="s">
        <v>0</v>
      </c>
      <c r="AO139" s="1192" t="s">
        <v>16</v>
      </c>
      <c r="AP139" s="1193">
        <f>SUM(AP123:AP137)</f>
        <v>128.57628215333648</v>
      </c>
      <c r="AQ139" s="1410" t="s">
        <v>947</v>
      </c>
      <c r="AR139" s="1411">
        <f>+(AP139-AP116)/AP$93</f>
        <v>-4.4199498939159552E-2</v>
      </c>
      <c r="AT139" s="1175"/>
      <c r="AU139" s="1191" t="s">
        <v>0</v>
      </c>
      <c r="AV139" s="1192" t="s">
        <v>16</v>
      </c>
      <c r="AW139" s="1193">
        <f>SUM(AW123:AW137)</f>
        <v>102.30810738434776</v>
      </c>
      <c r="AX139" s="1410" t="s">
        <v>947</v>
      </c>
      <c r="AY139" s="1411">
        <f>+(AW139-AW116)/AW$93</f>
        <v>-5.4401951383755628E-2</v>
      </c>
      <c r="BA139" s="1175"/>
      <c r="BB139" s="1191" t="s">
        <v>0</v>
      </c>
      <c r="BC139" s="1192" t="s">
        <v>16</v>
      </c>
      <c r="BD139" s="1193">
        <f>SUM(BD123:BD137)</f>
        <v>125.33178348848253</v>
      </c>
      <c r="BE139" s="1410" t="s">
        <v>947</v>
      </c>
      <c r="BF139" s="1411">
        <f>+(BD139-BD116)/BD$93</f>
        <v>-2.7766426137493819E-2</v>
      </c>
    </row>
    <row r="141" spans="4:58" ht="20.25" x14ac:dyDescent="0.3">
      <c r="D141" s="164" t="s">
        <v>967</v>
      </c>
    </row>
    <row r="142" spans="4:58" ht="15.75" thickBot="1" x14ac:dyDescent="0.3"/>
    <row r="143" spans="4:58" ht="25.5" x14ac:dyDescent="0.25">
      <c r="D143" s="1169" t="s">
        <v>101</v>
      </c>
      <c r="E143" s="1170" t="s">
        <v>949</v>
      </c>
      <c r="F143" s="1170" t="s">
        <v>950</v>
      </c>
      <c r="G143" s="1171" t="s">
        <v>951</v>
      </c>
      <c r="K143" s="1169" t="s">
        <v>101</v>
      </c>
      <c r="L143" s="1170" t="s">
        <v>949</v>
      </c>
      <c r="M143" s="1170" t="s">
        <v>950</v>
      </c>
      <c r="N143" s="1171" t="s">
        <v>951</v>
      </c>
      <c r="R143" s="1169" t="s">
        <v>101</v>
      </c>
      <c r="S143" s="1170" t="s">
        <v>949</v>
      </c>
      <c r="T143" s="1170" t="s">
        <v>950</v>
      </c>
      <c r="U143" s="1171" t="s">
        <v>951</v>
      </c>
      <c r="Y143" s="1169" t="s">
        <v>101</v>
      </c>
      <c r="Z143" s="1170" t="s">
        <v>949</v>
      </c>
      <c r="AA143" s="1170" t="s">
        <v>950</v>
      </c>
      <c r="AB143" s="1171" t="s">
        <v>951</v>
      </c>
      <c r="AF143" s="1169" t="s">
        <v>101</v>
      </c>
      <c r="AG143" s="1170" t="s">
        <v>949</v>
      </c>
      <c r="AH143" s="1170" t="s">
        <v>950</v>
      </c>
      <c r="AI143" s="1171" t="s">
        <v>951</v>
      </c>
      <c r="AM143" s="1169" t="s">
        <v>101</v>
      </c>
      <c r="AN143" s="1170" t="s">
        <v>949</v>
      </c>
      <c r="AO143" s="1170" t="s">
        <v>950</v>
      </c>
      <c r="AP143" s="1171" t="s">
        <v>951</v>
      </c>
      <c r="AT143" s="1169" t="s">
        <v>101</v>
      </c>
      <c r="AU143" s="1170" t="s">
        <v>949</v>
      </c>
      <c r="AV143" s="1170" t="s">
        <v>950</v>
      </c>
      <c r="AW143" s="1171" t="s">
        <v>951</v>
      </c>
      <c r="BA143" s="1169" t="s">
        <v>101</v>
      </c>
      <c r="BB143" s="1170" t="s">
        <v>949</v>
      </c>
      <c r="BC143" s="1170" t="s">
        <v>950</v>
      </c>
      <c r="BD143" s="1171" t="s">
        <v>951</v>
      </c>
    </row>
    <row r="144" spans="4:58" x14ac:dyDescent="0.25">
      <c r="D144" s="1172"/>
      <c r="E144" s="1173"/>
      <c r="F144" s="1173"/>
      <c r="G144" s="1174"/>
      <c r="K144" s="1172"/>
      <c r="L144" s="1173"/>
      <c r="M144" s="1173"/>
      <c r="N144" s="1174"/>
      <c r="R144" s="1172"/>
      <c r="S144" s="1173"/>
      <c r="T144" s="1173"/>
      <c r="U144" s="1174"/>
      <c r="Y144" s="1172"/>
      <c r="Z144" s="1173"/>
      <c r="AA144" s="1173"/>
      <c r="AB144" s="1174"/>
      <c r="AF144" s="1172"/>
      <c r="AG144" s="1173"/>
      <c r="AH144" s="1173"/>
      <c r="AI144" s="1174"/>
      <c r="AM144" s="1172"/>
      <c r="AN144" s="1173"/>
      <c r="AO144" s="1173"/>
      <c r="AP144" s="1174"/>
      <c r="AT144" s="1172"/>
      <c r="AU144" s="1173"/>
      <c r="AV144" s="1173"/>
      <c r="AW144" s="1174"/>
      <c r="BA144" s="1172"/>
      <c r="BB144" s="1173"/>
      <c r="BC144" s="1173"/>
      <c r="BD144" s="1174"/>
    </row>
    <row r="145" spans="4:56" ht="15.75" thickBot="1" x14ac:dyDescent="0.3">
      <c r="D145" s="1175"/>
      <c r="E145" s="1015"/>
      <c r="F145" s="1183"/>
      <c r="G145" s="1177" t="s">
        <v>0</v>
      </c>
      <c r="K145" s="1175"/>
      <c r="L145" s="1015"/>
      <c r="M145" s="1176"/>
      <c r="N145" s="1177" t="s">
        <v>0</v>
      </c>
      <c r="R145" s="1175"/>
      <c r="S145" s="1015"/>
      <c r="T145" s="1176"/>
      <c r="U145" s="1177" t="s">
        <v>0</v>
      </c>
      <c r="Y145" s="1175"/>
      <c r="Z145" s="1015"/>
      <c r="AA145" s="1176"/>
      <c r="AB145" s="1177" t="s">
        <v>0</v>
      </c>
      <c r="AF145" s="1175"/>
      <c r="AG145" s="1015"/>
      <c r="AH145" s="1176"/>
      <c r="AI145" s="1177" t="s">
        <v>0</v>
      </c>
      <c r="AM145" s="1175"/>
      <c r="AN145" s="1015"/>
      <c r="AO145" s="1176"/>
      <c r="AP145" s="1177" t="s">
        <v>0</v>
      </c>
      <c r="AT145" s="1175"/>
      <c r="AU145" s="1015"/>
      <c r="AV145" s="1176"/>
      <c r="AW145" s="1177" t="s">
        <v>0</v>
      </c>
      <c r="BA145" s="1175"/>
      <c r="BB145" s="1015"/>
      <c r="BC145" s="1176"/>
      <c r="BD145" s="1177" t="s">
        <v>0</v>
      </c>
    </row>
    <row r="146" spans="4:56" x14ac:dyDescent="0.25">
      <c r="D146" s="1178">
        <v>0.75</v>
      </c>
      <c r="E146" s="1179">
        <v>6</v>
      </c>
      <c r="F146" s="1188">
        <f>+$K$6</f>
        <v>1.7500000000000002E-2</v>
      </c>
      <c r="G146" s="1201">
        <f t="shared" ref="G146:G155" si="39">+E146/(1+F146)^D146</f>
        <v>5.9224368275541304</v>
      </c>
      <c r="K146" s="1178">
        <v>0.75</v>
      </c>
      <c r="L146" s="1179">
        <v>4.5</v>
      </c>
      <c r="M146" s="1188">
        <f>+$K$6</f>
        <v>1.7500000000000002E-2</v>
      </c>
      <c r="N146" s="1181">
        <f t="shared" ref="N146:N150" si="40">+L146/(1+M146)^K146</f>
        <v>4.441827620665598</v>
      </c>
      <c r="R146" s="1178">
        <v>0.75</v>
      </c>
      <c r="S146" s="1179">
        <v>4</v>
      </c>
      <c r="T146" s="1188">
        <f>+$K$6</f>
        <v>1.7500000000000002E-2</v>
      </c>
      <c r="U146" s="1181">
        <f t="shared" ref="U146:U160" si="41">+S146/(1+T146)^R146</f>
        <v>3.9482912183694201</v>
      </c>
      <c r="Y146" s="1178">
        <v>0.75</v>
      </c>
      <c r="Z146" s="1179">
        <v>3</v>
      </c>
      <c r="AA146" s="1188">
        <f>+$K$6</f>
        <v>1.7500000000000002E-2</v>
      </c>
      <c r="AB146" s="1181">
        <f t="shared" ref="AB146:AB148" si="42">+Z146/(1+AA146)^Y146</f>
        <v>2.9612184137770652</v>
      </c>
      <c r="AF146" s="1178">
        <v>0.75</v>
      </c>
      <c r="AG146" s="1179">
        <v>5</v>
      </c>
      <c r="AH146" s="1188">
        <f>+$K$6</f>
        <v>1.7500000000000002E-2</v>
      </c>
      <c r="AI146" s="1181">
        <f t="shared" ref="AI146:AI152" si="43">+AG146/(1+AH146)^AF146</f>
        <v>4.9353640229617755</v>
      </c>
      <c r="AM146" s="1178">
        <v>0.75</v>
      </c>
      <c r="AN146" s="1179">
        <v>5.5</v>
      </c>
      <c r="AO146" s="1188">
        <f>+$K$6</f>
        <v>1.7500000000000002E-2</v>
      </c>
      <c r="AP146" s="1181">
        <f t="shared" ref="AP146:AP157" si="44">+AN146/(1+AO146)^AM146</f>
        <v>5.4289004252579529</v>
      </c>
      <c r="AT146" s="1178">
        <v>0.75</v>
      </c>
      <c r="AU146" s="1179">
        <v>3</v>
      </c>
      <c r="AV146" s="1188">
        <f>+$K$6</f>
        <v>1.7500000000000002E-2</v>
      </c>
      <c r="AW146" s="1181">
        <f t="shared" ref="AW146:AW159" si="45">+AU146/(1+AV146)^AT146</f>
        <v>2.9612184137770652</v>
      </c>
      <c r="BA146" s="1178">
        <v>0.75</v>
      </c>
      <c r="BB146" s="1179">
        <v>6.5</v>
      </c>
      <c r="BC146" s="1188">
        <f>+$K$6+$O$67</f>
        <v>1.9500000000000003E-2</v>
      </c>
      <c r="BD146" s="1181">
        <f t="shared" ref="BD146:BD152" si="46">+BB146/(1+BC146)^BA146</f>
        <v>6.4065310309817756</v>
      </c>
    </row>
    <row r="147" spans="4:56" x14ac:dyDescent="0.25">
      <c r="D147" s="1182">
        <v>1.75</v>
      </c>
      <c r="E147" s="1183">
        <v>6</v>
      </c>
      <c r="F147" s="1189">
        <f>+$K$10</f>
        <v>1.8624999999999999E-2</v>
      </c>
      <c r="G147" s="1202">
        <f t="shared" si="39"/>
        <v>5.8093316601818881</v>
      </c>
      <c r="K147" s="1182">
        <v>1.75</v>
      </c>
      <c r="L147" s="1183">
        <v>4.5</v>
      </c>
      <c r="M147" s="1189">
        <f>+$K$10</f>
        <v>1.8624999999999999E-2</v>
      </c>
      <c r="N147" s="1185">
        <f t="shared" si="40"/>
        <v>4.3569987451364165</v>
      </c>
      <c r="R147" s="1182">
        <v>1.75</v>
      </c>
      <c r="S147" s="1183">
        <v>4</v>
      </c>
      <c r="T147" s="1189">
        <f>+$K$10</f>
        <v>1.8624999999999999E-2</v>
      </c>
      <c r="U147" s="1185">
        <f t="shared" si="41"/>
        <v>3.8728877734545923</v>
      </c>
      <c r="Y147" s="1182">
        <v>1.75</v>
      </c>
      <c r="Z147" s="1183">
        <v>3</v>
      </c>
      <c r="AA147" s="1189">
        <f>+$K$10</f>
        <v>1.8624999999999999E-2</v>
      </c>
      <c r="AB147" s="1185">
        <f t="shared" si="42"/>
        <v>2.904665830090944</v>
      </c>
      <c r="AF147" s="1182">
        <v>1.75</v>
      </c>
      <c r="AG147" s="1183">
        <v>5</v>
      </c>
      <c r="AH147" s="1189">
        <f>+$K$10</f>
        <v>1.8624999999999999E-2</v>
      </c>
      <c r="AI147" s="1185">
        <f t="shared" si="43"/>
        <v>4.8411097168182398</v>
      </c>
      <c r="AM147" s="1182">
        <v>1.75</v>
      </c>
      <c r="AN147" s="1183">
        <v>5.5</v>
      </c>
      <c r="AO147" s="1189">
        <f>+$K$10</f>
        <v>1.8624999999999999E-2</v>
      </c>
      <c r="AP147" s="1185">
        <f t="shared" si="44"/>
        <v>5.3252206885000639</v>
      </c>
      <c r="AT147" s="1182">
        <v>1.75</v>
      </c>
      <c r="AU147" s="1183">
        <v>3</v>
      </c>
      <c r="AV147" s="1189">
        <f>+$K$10</f>
        <v>1.8624999999999999E-2</v>
      </c>
      <c r="AW147" s="1185">
        <f t="shared" si="45"/>
        <v>2.904665830090944</v>
      </c>
      <c r="BA147" s="1182">
        <v>1.75</v>
      </c>
      <c r="BB147" s="1183">
        <v>6.5</v>
      </c>
      <c r="BC147" s="1189">
        <f>+$K$10+$O$67</f>
        <v>2.0624999999999998E-2</v>
      </c>
      <c r="BD147" s="1185">
        <f t="shared" si="46"/>
        <v>6.2718765717288658</v>
      </c>
    </row>
    <row r="148" spans="4:56" x14ac:dyDescent="0.25">
      <c r="D148" s="1182">
        <v>2.75</v>
      </c>
      <c r="E148" s="1183">
        <v>6</v>
      </c>
      <c r="F148" s="1189">
        <f>+$K$14</f>
        <v>2.0124999999999997E-2</v>
      </c>
      <c r="G148" s="1202">
        <f t="shared" si="39"/>
        <v>5.680079647080432</v>
      </c>
      <c r="K148" s="1182">
        <v>2.75</v>
      </c>
      <c r="L148" s="1183">
        <v>4.5</v>
      </c>
      <c r="M148" s="1189">
        <f>+$K$14</f>
        <v>2.0124999999999997E-2</v>
      </c>
      <c r="N148" s="1185">
        <f t="shared" si="40"/>
        <v>4.2600597353103238</v>
      </c>
      <c r="R148" s="1182">
        <v>2.75</v>
      </c>
      <c r="S148" s="1183">
        <v>4</v>
      </c>
      <c r="T148" s="1189">
        <f>+$K$14</f>
        <v>2.0124999999999997E-2</v>
      </c>
      <c r="U148" s="1185">
        <f t="shared" si="41"/>
        <v>3.7867197647202882</v>
      </c>
      <c r="Y148" s="1182">
        <v>2.75</v>
      </c>
      <c r="Z148" s="1183">
        <v>103</v>
      </c>
      <c r="AA148" s="1189">
        <f>+$K$14</f>
        <v>2.0124999999999997E-2</v>
      </c>
      <c r="AB148" s="1185">
        <f t="shared" si="42"/>
        <v>97.50803394154741</v>
      </c>
      <c r="AF148" s="1182">
        <v>2.75</v>
      </c>
      <c r="AG148" s="1183">
        <v>5</v>
      </c>
      <c r="AH148" s="1189">
        <f>+$K$14</f>
        <v>2.0124999999999997E-2</v>
      </c>
      <c r="AI148" s="1185">
        <f t="shared" si="43"/>
        <v>4.7333997059003599</v>
      </c>
      <c r="AM148" s="1182">
        <v>2.75</v>
      </c>
      <c r="AN148" s="1183">
        <v>5.5</v>
      </c>
      <c r="AO148" s="1189">
        <f>+$K$14</f>
        <v>2.0124999999999997E-2</v>
      </c>
      <c r="AP148" s="1185">
        <f t="shared" si="44"/>
        <v>5.2067396764903959</v>
      </c>
      <c r="AT148" s="1182">
        <v>2.75</v>
      </c>
      <c r="AU148" s="1183">
        <v>3</v>
      </c>
      <c r="AV148" s="1189">
        <f>+$K$14</f>
        <v>2.0124999999999997E-2</v>
      </c>
      <c r="AW148" s="1185">
        <f t="shared" si="45"/>
        <v>2.840039823540216</v>
      </c>
      <c r="BA148" s="1182">
        <v>2.75</v>
      </c>
      <c r="BB148" s="1183">
        <v>6.5</v>
      </c>
      <c r="BC148" s="1189">
        <f>+$K$14+$O$67</f>
        <v>2.2124999999999999E-2</v>
      </c>
      <c r="BD148" s="1185">
        <f t="shared" si="46"/>
        <v>6.1203650581917861</v>
      </c>
    </row>
    <row r="149" spans="4:56" x14ac:dyDescent="0.25">
      <c r="D149" s="1182">
        <v>3.75</v>
      </c>
      <c r="E149" s="1183">
        <v>6</v>
      </c>
      <c r="F149" s="1189">
        <f>+$K$18</f>
        <v>2.1625000000000002E-2</v>
      </c>
      <c r="G149" s="1202">
        <f t="shared" si="39"/>
        <v>5.5374278504649688</v>
      </c>
      <c r="K149" s="1182">
        <v>3.75</v>
      </c>
      <c r="L149" s="1183">
        <v>4.5</v>
      </c>
      <c r="M149" s="1189">
        <f>+$K$18</f>
        <v>2.1625000000000002E-2</v>
      </c>
      <c r="N149" s="1185">
        <f t="shared" si="40"/>
        <v>4.1530708878487266</v>
      </c>
      <c r="R149" s="1182">
        <v>3.75</v>
      </c>
      <c r="S149" s="1183">
        <v>4</v>
      </c>
      <c r="T149" s="1189">
        <f>+$K$18</f>
        <v>2.1625000000000002E-2</v>
      </c>
      <c r="U149" s="1185">
        <f t="shared" si="41"/>
        <v>3.6916185669766461</v>
      </c>
      <c r="Y149" s="1182">
        <v>3.75</v>
      </c>
      <c r="Z149" s="1183" t="s">
        <v>0</v>
      </c>
      <c r="AA149" s="1184" t="s">
        <v>0</v>
      </c>
      <c r="AB149" s="1185" t="s">
        <v>0</v>
      </c>
      <c r="AF149" s="1182">
        <v>3.75</v>
      </c>
      <c r="AG149" s="1183">
        <v>5</v>
      </c>
      <c r="AH149" s="1189">
        <f>+$K$18</f>
        <v>2.1625000000000002E-2</v>
      </c>
      <c r="AI149" s="1185">
        <f t="shared" si="43"/>
        <v>4.6145232087208079</v>
      </c>
      <c r="AM149" s="1182">
        <v>3.75</v>
      </c>
      <c r="AN149" s="1183">
        <v>5.5</v>
      </c>
      <c r="AO149" s="1189">
        <f>+$K$18</f>
        <v>2.1625000000000002E-2</v>
      </c>
      <c r="AP149" s="1185">
        <f t="shared" si="44"/>
        <v>5.0759755295928883</v>
      </c>
      <c r="AT149" s="1182">
        <v>3.75</v>
      </c>
      <c r="AU149" s="1183">
        <v>3</v>
      </c>
      <c r="AV149" s="1189">
        <f>+$K$18</f>
        <v>2.1625000000000002E-2</v>
      </c>
      <c r="AW149" s="1185">
        <f t="shared" si="45"/>
        <v>2.7687139252324844</v>
      </c>
      <c r="BA149" s="1182">
        <v>3.75</v>
      </c>
      <c r="BB149" s="1183">
        <v>6.5</v>
      </c>
      <c r="BC149" s="1189">
        <f>+$K$18+$O$67</f>
        <v>2.3625E-2</v>
      </c>
      <c r="BD149" s="1185">
        <f t="shared" si="46"/>
        <v>5.9550449116688728</v>
      </c>
    </row>
    <row r="150" spans="4:56" x14ac:dyDescent="0.25">
      <c r="D150" s="1182">
        <v>4.75</v>
      </c>
      <c r="E150" s="1183">
        <v>6</v>
      </c>
      <c r="F150" s="1189">
        <f>+$K$22</f>
        <v>2.3E-2</v>
      </c>
      <c r="G150" s="1202">
        <f t="shared" si="39"/>
        <v>5.38569791706876</v>
      </c>
      <c r="K150" s="1182">
        <v>4.75</v>
      </c>
      <c r="L150" s="1183">
        <v>104.5</v>
      </c>
      <c r="M150" s="1189">
        <f>+$K$22</f>
        <v>2.3E-2</v>
      </c>
      <c r="N150" s="1185">
        <f t="shared" si="40"/>
        <v>93.800905388947584</v>
      </c>
      <c r="R150" s="1182">
        <v>4.75</v>
      </c>
      <c r="S150" s="1183">
        <v>4</v>
      </c>
      <c r="T150" s="1189">
        <f>+$K$22</f>
        <v>2.3E-2</v>
      </c>
      <c r="U150" s="1185">
        <f t="shared" si="41"/>
        <v>3.5904652780458401</v>
      </c>
      <c r="Y150" s="1182">
        <v>4.75</v>
      </c>
      <c r="Z150" s="1183" t="s">
        <v>0</v>
      </c>
      <c r="AA150" s="1184" t="s">
        <v>0</v>
      </c>
      <c r="AB150" s="1185" t="s">
        <v>0</v>
      </c>
      <c r="AF150" s="1182">
        <v>4.75</v>
      </c>
      <c r="AG150" s="1183">
        <v>5</v>
      </c>
      <c r="AH150" s="1189">
        <f>+$K$22</f>
        <v>2.3E-2</v>
      </c>
      <c r="AI150" s="1185">
        <f t="shared" si="43"/>
        <v>4.4880815975573007</v>
      </c>
      <c r="AM150" s="1182">
        <v>4.75</v>
      </c>
      <c r="AN150" s="1183">
        <v>5.5</v>
      </c>
      <c r="AO150" s="1189">
        <f>+$K$22</f>
        <v>2.3E-2</v>
      </c>
      <c r="AP150" s="1185">
        <f t="shared" si="44"/>
        <v>4.9368897573130308</v>
      </c>
      <c r="AT150" s="1182">
        <v>4.75</v>
      </c>
      <c r="AU150" s="1183">
        <v>3</v>
      </c>
      <c r="AV150" s="1189">
        <f>+$K$22</f>
        <v>2.3E-2</v>
      </c>
      <c r="AW150" s="1185">
        <f t="shared" si="45"/>
        <v>2.69284895853438</v>
      </c>
      <c r="BA150" s="1182">
        <v>4.75</v>
      </c>
      <c r="BB150" s="1183">
        <v>6.5</v>
      </c>
      <c r="BC150" s="1189">
        <f>+$K$22+$O$67</f>
        <v>2.5000000000000001E-2</v>
      </c>
      <c r="BD150" s="1185">
        <f t="shared" si="46"/>
        <v>5.7806276519833721</v>
      </c>
    </row>
    <row r="151" spans="4:56" x14ac:dyDescent="0.25">
      <c r="D151" s="1182">
        <v>5.75</v>
      </c>
      <c r="E151" s="1183">
        <v>6</v>
      </c>
      <c r="F151" s="1189">
        <f>+$K$26</f>
        <v>2.4333333333333328E-2</v>
      </c>
      <c r="G151" s="1202">
        <f t="shared" si="39"/>
        <v>5.2253302467163207</v>
      </c>
      <c r="K151" s="1182">
        <v>5.75</v>
      </c>
      <c r="L151" s="1183" t="s">
        <v>0</v>
      </c>
      <c r="M151" s="1184" t="s">
        <v>0</v>
      </c>
      <c r="N151" s="1185" t="s">
        <v>0</v>
      </c>
      <c r="R151" s="1182">
        <v>5.75</v>
      </c>
      <c r="S151" s="1183">
        <v>4</v>
      </c>
      <c r="T151" s="1189">
        <f>+$K$26</f>
        <v>2.4333333333333328E-2</v>
      </c>
      <c r="U151" s="1185">
        <f t="shared" si="41"/>
        <v>3.4835534978108802</v>
      </c>
      <c r="Y151" s="1182">
        <v>5.75</v>
      </c>
      <c r="Z151" s="1183" t="s">
        <v>0</v>
      </c>
      <c r="AA151" s="1184" t="s">
        <v>0</v>
      </c>
      <c r="AB151" s="1185" t="s">
        <v>0</v>
      </c>
      <c r="AF151" s="1182">
        <v>5.75</v>
      </c>
      <c r="AG151" s="1183">
        <v>5</v>
      </c>
      <c r="AH151" s="1189">
        <f>+$K$26</f>
        <v>2.4333333333333328E-2</v>
      </c>
      <c r="AI151" s="1185">
        <f t="shared" si="43"/>
        <v>4.3544418722636005</v>
      </c>
      <c r="AM151" s="1182">
        <v>5.75</v>
      </c>
      <c r="AN151" s="1183">
        <v>5.5</v>
      </c>
      <c r="AO151" s="1189">
        <f>+$K$26</f>
        <v>2.4333333333333328E-2</v>
      </c>
      <c r="AP151" s="1185">
        <f t="shared" si="44"/>
        <v>4.7898860594899606</v>
      </c>
      <c r="AT151" s="1182">
        <v>5.75</v>
      </c>
      <c r="AU151" s="1183">
        <v>3</v>
      </c>
      <c r="AV151" s="1189">
        <f>+$K$26</f>
        <v>2.4333333333333328E-2</v>
      </c>
      <c r="AW151" s="1185">
        <f t="shared" si="45"/>
        <v>2.6126651233581604</v>
      </c>
      <c r="BA151" s="1182">
        <v>5.75</v>
      </c>
      <c r="BB151" s="1183">
        <v>6.5</v>
      </c>
      <c r="BC151" s="1189">
        <f>+$K$26+$O$67</f>
        <v>2.6333333333333327E-2</v>
      </c>
      <c r="BD151" s="1185">
        <f t="shared" si="46"/>
        <v>5.5976386564598437</v>
      </c>
    </row>
    <row r="152" spans="4:56" x14ac:dyDescent="0.25">
      <c r="D152" s="1182">
        <v>6.75</v>
      </c>
      <c r="E152" s="1183">
        <v>6</v>
      </c>
      <c r="F152" s="1189">
        <f>+$K$30</f>
        <v>2.5666666666666657E-2</v>
      </c>
      <c r="G152" s="1202">
        <f t="shared" si="39"/>
        <v>5.0566060515080675</v>
      </c>
      <c r="K152" s="1182">
        <v>6.75</v>
      </c>
      <c r="L152" s="1183" t="s">
        <v>0</v>
      </c>
      <c r="M152" s="1184" t="s">
        <v>99</v>
      </c>
      <c r="N152" s="1185" t="s">
        <v>0</v>
      </c>
      <c r="R152" s="1182">
        <v>6.75</v>
      </c>
      <c r="S152" s="1183">
        <v>4</v>
      </c>
      <c r="T152" s="1189">
        <f>+$K$30</f>
        <v>2.5666666666666657E-2</v>
      </c>
      <c r="U152" s="1185">
        <f t="shared" si="41"/>
        <v>3.3710707010053786</v>
      </c>
      <c r="Y152" s="1182">
        <v>6.75</v>
      </c>
      <c r="Z152" s="1183" t="s">
        <v>0</v>
      </c>
      <c r="AA152" s="1184" t="s">
        <v>0</v>
      </c>
      <c r="AB152" s="1185" t="s">
        <v>0</v>
      </c>
      <c r="AF152" s="1182">
        <v>6.75</v>
      </c>
      <c r="AG152" s="1183">
        <v>105</v>
      </c>
      <c r="AH152" s="1189">
        <f>+$K$30</f>
        <v>2.5666666666666657E-2</v>
      </c>
      <c r="AI152" s="1185">
        <f t="shared" si="43"/>
        <v>88.490605901391177</v>
      </c>
      <c r="AM152" s="1182">
        <v>6.75</v>
      </c>
      <c r="AN152" s="1183">
        <v>5.5</v>
      </c>
      <c r="AO152" s="1189">
        <f>+$K$30</f>
        <v>2.5666666666666657E-2</v>
      </c>
      <c r="AP152" s="1185">
        <f t="shared" si="44"/>
        <v>4.6352222138823951</v>
      </c>
      <c r="AT152" s="1182">
        <v>6.75</v>
      </c>
      <c r="AU152" s="1183">
        <v>3</v>
      </c>
      <c r="AV152" s="1189">
        <f>+$K$30</f>
        <v>2.5666666666666657E-2</v>
      </c>
      <c r="AW152" s="1185">
        <f t="shared" si="45"/>
        <v>2.5283030257540338</v>
      </c>
      <c r="BA152" s="1182">
        <v>6.75</v>
      </c>
      <c r="BB152" s="1183">
        <v>106.5</v>
      </c>
      <c r="BC152" s="1189">
        <f>+$K$30+$O$67</f>
        <v>2.7666666666666659E-2</v>
      </c>
      <c r="BD152" s="1185">
        <f t="shared" si="46"/>
        <v>88.582265910879812</v>
      </c>
    </row>
    <row r="153" spans="4:56" x14ac:dyDescent="0.25">
      <c r="D153" s="1182">
        <v>7.75</v>
      </c>
      <c r="E153" s="1183">
        <v>6</v>
      </c>
      <c r="F153" s="1189">
        <f>+$K$34</f>
        <v>2.6874999999999993E-2</v>
      </c>
      <c r="G153" s="1202">
        <f t="shared" si="39"/>
        <v>4.8852860627912733</v>
      </c>
      <c r="K153" s="1182">
        <v>7.75</v>
      </c>
      <c r="L153" s="1183" t="s">
        <v>0</v>
      </c>
      <c r="M153" s="1184" t="s">
        <v>0</v>
      </c>
      <c r="N153" s="1185" t="s">
        <v>0</v>
      </c>
      <c r="R153" s="1182">
        <v>7.75</v>
      </c>
      <c r="S153" s="1183">
        <v>4</v>
      </c>
      <c r="T153" s="1189">
        <f>+$K$34</f>
        <v>2.6874999999999993E-2</v>
      </c>
      <c r="U153" s="1185">
        <f t="shared" si="41"/>
        <v>3.2568573751941825</v>
      </c>
      <c r="Y153" s="1182">
        <v>7.75</v>
      </c>
      <c r="Z153" s="1183" t="s">
        <v>0</v>
      </c>
      <c r="AA153" s="1184" t="s">
        <v>0</v>
      </c>
      <c r="AB153" s="1185" t="s">
        <v>0</v>
      </c>
      <c r="AF153" s="1182">
        <v>7.75</v>
      </c>
      <c r="AG153" s="1183" t="s">
        <v>0</v>
      </c>
      <c r="AH153" s="1189" t="s">
        <v>0</v>
      </c>
      <c r="AI153" s="1185" t="s">
        <v>0</v>
      </c>
      <c r="AM153" s="1182">
        <v>7.75</v>
      </c>
      <c r="AN153" s="1183">
        <v>5.5</v>
      </c>
      <c r="AO153" s="1189">
        <f>+$K$34</f>
        <v>2.6874999999999993E-2</v>
      </c>
      <c r="AP153" s="1185">
        <f t="shared" si="44"/>
        <v>4.4781788908920008</v>
      </c>
      <c r="AT153" s="1182">
        <v>7.75</v>
      </c>
      <c r="AU153" s="1183">
        <v>3</v>
      </c>
      <c r="AV153" s="1189">
        <f>+$K$34</f>
        <v>2.6874999999999993E-2</v>
      </c>
      <c r="AW153" s="1185">
        <f t="shared" si="45"/>
        <v>2.4426430313956367</v>
      </c>
      <c r="BA153" s="1182">
        <v>7.75</v>
      </c>
      <c r="BB153" s="1183" t="s">
        <v>0</v>
      </c>
      <c r="BC153" s="1184" t="s">
        <v>0</v>
      </c>
      <c r="BD153" s="1185" t="s">
        <v>0</v>
      </c>
    </row>
    <row r="154" spans="4:56" x14ac:dyDescent="0.25">
      <c r="D154" s="1182">
        <v>8.75</v>
      </c>
      <c r="E154" s="1183">
        <v>6</v>
      </c>
      <c r="F154" s="1189">
        <f>+$K$38</f>
        <v>2.8041666666666659E-2</v>
      </c>
      <c r="G154" s="1202">
        <f t="shared" si="39"/>
        <v>4.7103966165978974</v>
      </c>
      <c r="K154" s="1182">
        <v>8.75</v>
      </c>
      <c r="L154" s="1183" t="s">
        <v>0</v>
      </c>
      <c r="M154" s="1184" t="s">
        <v>0</v>
      </c>
      <c r="N154" s="1185" t="s">
        <v>99</v>
      </c>
      <c r="R154" s="1182">
        <v>8.75</v>
      </c>
      <c r="S154" s="1183">
        <v>4</v>
      </c>
      <c r="T154" s="1189">
        <f>+$K$38</f>
        <v>2.8041666666666659E-2</v>
      </c>
      <c r="U154" s="1185">
        <f t="shared" si="41"/>
        <v>3.1402644110652651</v>
      </c>
      <c r="Y154" s="1182">
        <v>8.75</v>
      </c>
      <c r="Z154" s="1183" t="s">
        <v>0</v>
      </c>
      <c r="AA154" s="1184" t="s">
        <v>0</v>
      </c>
      <c r="AB154" s="1185" t="s">
        <v>0</v>
      </c>
      <c r="AF154" s="1182">
        <v>8.75</v>
      </c>
      <c r="AG154" s="1183" t="s">
        <v>0</v>
      </c>
      <c r="AH154" s="1184" t="s">
        <v>0</v>
      </c>
      <c r="AI154" s="1185" t="s">
        <v>0</v>
      </c>
      <c r="AM154" s="1182">
        <v>8.75</v>
      </c>
      <c r="AN154" s="1183">
        <v>5.5</v>
      </c>
      <c r="AO154" s="1189">
        <f>+$K$38</f>
        <v>2.8041666666666659E-2</v>
      </c>
      <c r="AP154" s="1185">
        <f t="shared" si="44"/>
        <v>4.3178635652147399</v>
      </c>
      <c r="AT154" s="1182">
        <v>8.75</v>
      </c>
      <c r="AU154" s="1183">
        <v>3</v>
      </c>
      <c r="AV154" s="1189">
        <f>+$K$38</f>
        <v>2.8041666666666659E-2</v>
      </c>
      <c r="AW154" s="1185">
        <f t="shared" si="45"/>
        <v>2.3551983082989487</v>
      </c>
      <c r="BA154" s="1182">
        <v>8.75</v>
      </c>
      <c r="BB154" s="1183" t="s">
        <v>0</v>
      </c>
      <c r="BC154" s="1184" t="s">
        <v>0</v>
      </c>
      <c r="BD154" s="1185" t="s">
        <v>0</v>
      </c>
    </row>
    <row r="155" spans="4:56" ht="15.75" thickBot="1" x14ac:dyDescent="0.3">
      <c r="D155" s="1182">
        <v>9.75</v>
      </c>
      <c r="E155" s="1183">
        <v>106</v>
      </c>
      <c r="F155" s="1189">
        <f>+$K$42</f>
        <v>2.891666666666666E-2</v>
      </c>
      <c r="G155" s="1202">
        <f t="shared" si="39"/>
        <v>80.278434507679535</v>
      </c>
      <c r="K155" s="1175">
        <v>9.75</v>
      </c>
      <c r="L155" s="1176" t="s">
        <v>0</v>
      </c>
      <c r="M155" s="1186" t="s">
        <v>0</v>
      </c>
      <c r="N155" s="1187" t="s">
        <v>0</v>
      </c>
      <c r="R155" s="1182">
        <v>9.75</v>
      </c>
      <c r="S155" s="1183">
        <v>4</v>
      </c>
      <c r="T155" s="1189">
        <f>+$K$42</f>
        <v>2.891666666666666E-2</v>
      </c>
      <c r="U155" s="1185">
        <f t="shared" si="41"/>
        <v>3.029374887082247</v>
      </c>
      <c r="Y155" s="1175">
        <v>9.75</v>
      </c>
      <c r="Z155" s="1176" t="s">
        <v>0</v>
      </c>
      <c r="AA155" s="1186" t="s">
        <v>0</v>
      </c>
      <c r="AB155" s="1187" t="s">
        <v>0</v>
      </c>
      <c r="AF155" s="1175">
        <v>9.75</v>
      </c>
      <c r="AG155" s="1176" t="s">
        <v>0</v>
      </c>
      <c r="AH155" s="1186" t="s">
        <v>0</v>
      </c>
      <c r="AI155" s="1187" t="s">
        <v>0</v>
      </c>
      <c r="AM155" s="1175">
        <v>9.75</v>
      </c>
      <c r="AN155" s="1176">
        <v>5.5</v>
      </c>
      <c r="AO155" s="1189">
        <f>+$K$42</f>
        <v>2.891666666666666E-2</v>
      </c>
      <c r="AP155" s="1187">
        <f t="shared" si="44"/>
        <v>4.1653904697380897</v>
      </c>
      <c r="AT155" s="1175">
        <v>9.75</v>
      </c>
      <c r="AU155" s="1176">
        <v>3</v>
      </c>
      <c r="AV155" s="1189">
        <f>+$K$42</f>
        <v>2.891666666666666E-2</v>
      </c>
      <c r="AW155" s="1187">
        <f t="shared" si="45"/>
        <v>2.2720311653116849</v>
      </c>
      <c r="BA155" s="1175">
        <v>9.75</v>
      </c>
      <c r="BB155" s="1176" t="s">
        <v>0</v>
      </c>
      <c r="BC155" s="1186" t="s">
        <v>99</v>
      </c>
      <c r="BD155" s="1187" t="s">
        <v>0</v>
      </c>
    </row>
    <row r="156" spans="4:56" x14ac:dyDescent="0.25">
      <c r="D156" s="1178">
        <v>10.75</v>
      </c>
      <c r="E156" s="1179"/>
      <c r="F156" s="1180" t="s">
        <v>0</v>
      </c>
      <c r="G156" s="1181"/>
      <c r="K156" s="1178">
        <v>10.75</v>
      </c>
      <c r="L156" s="1179"/>
      <c r="M156" s="1180" t="s">
        <v>0</v>
      </c>
      <c r="N156" s="1181"/>
      <c r="R156" s="1178">
        <v>10.75</v>
      </c>
      <c r="S156" s="1179">
        <v>4</v>
      </c>
      <c r="T156" s="1188">
        <f>+$K$46</f>
        <v>2.958333333333333E-2</v>
      </c>
      <c r="U156" s="1181">
        <f t="shared" si="41"/>
        <v>2.9238078424004108</v>
      </c>
      <c r="Y156" s="1178">
        <v>10.75</v>
      </c>
      <c r="Z156" s="1179" t="s">
        <v>99</v>
      </c>
      <c r="AA156" s="1180" t="s">
        <v>0</v>
      </c>
      <c r="AB156" s="1181" t="s">
        <v>0</v>
      </c>
      <c r="AF156" s="1178">
        <v>10.75</v>
      </c>
      <c r="AG156" s="1179" t="s">
        <v>0</v>
      </c>
      <c r="AH156" s="1180" t="s">
        <v>0</v>
      </c>
      <c r="AI156" s="1181" t="s">
        <v>0</v>
      </c>
      <c r="AM156" s="1178">
        <v>10.75</v>
      </c>
      <c r="AN156" s="1179">
        <v>5.5</v>
      </c>
      <c r="AO156" s="1188">
        <f>+$K$46</f>
        <v>2.958333333333333E-2</v>
      </c>
      <c r="AP156" s="1181">
        <f t="shared" si="44"/>
        <v>4.0202357833005653</v>
      </c>
      <c r="AT156" s="1178">
        <v>10.75</v>
      </c>
      <c r="AU156" s="1179">
        <v>3</v>
      </c>
      <c r="AV156" s="1188">
        <f>+$K$46</f>
        <v>2.958333333333333E-2</v>
      </c>
      <c r="AW156" s="1181">
        <f t="shared" si="45"/>
        <v>2.1928558818003081</v>
      </c>
      <c r="BA156" s="1178">
        <v>10.75</v>
      </c>
      <c r="BB156" s="1179" t="s">
        <v>0</v>
      </c>
      <c r="BC156" s="1180" t="s">
        <v>0</v>
      </c>
      <c r="BD156" s="1181" t="s">
        <v>0</v>
      </c>
    </row>
    <row r="157" spans="4:56" x14ac:dyDescent="0.25">
      <c r="D157" s="1182">
        <v>11.75</v>
      </c>
      <c r="E157" s="1183"/>
      <c r="F157" s="1184" t="s">
        <v>0</v>
      </c>
      <c r="G157" s="1185"/>
      <c r="K157" s="1182">
        <v>11.75</v>
      </c>
      <c r="L157" s="1183"/>
      <c r="M157" s="1184" t="s">
        <v>0</v>
      </c>
      <c r="N157" s="1185"/>
      <c r="R157" s="1182">
        <v>11.75</v>
      </c>
      <c r="S157" s="1183">
        <v>4</v>
      </c>
      <c r="T157" s="1189">
        <f>+$K$50</f>
        <v>3.020833333333333E-2</v>
      </c>
      <c r="U157" s="1185">
        <f t="shared" si="41"/>
        <v>2.8196198107555666</v>
      </c>
      <c r="Y157" s="1182">
        <v>11.75</v>
      </c>
      <c r="Z157" s="1183" t="s">
        <v>0</v>
      </c>
      <c r="AA157" s="1184" t="s">
        <v>0</v>
      </c>
      <c r="AB157" s="1185" t="s">
        <v>0</v>
      </c>
      <c r="AF157" s="1182">
        <v>11.75</v>
      </c>
      <c r="AG157" s="1183" t="s">
        <v>0</v>
      </c>
      <c r="AH157" s="1184" t="s">
        <v>99</v>
      </c>
      <c r="AI157" s="1185" t="s">
        <v>0</v>
      </c>
      <c r="AM157" s="1182">
        <v>11.75</v>
      </c>
      <c r="AN157" s="1183">
        <v>105.5</v>
      </c>
      <c r="AO157" s="1189">
        <f>+$K$50</f>
        <v>3.020833333333333E-2</v>
      </c>
      <c r="AP157" s="1185">
        <f t="shared" si="44"/>
        <v>74.367472508678063</v>
      </c>
      <c r="AT157" s="1182">
        <v>11.75</v>
      </c>
      <c r="AU157" s="1183">
        <v>3</v>
      </c>
      <c r="AV157" s="1189">
        <f>+$K$50</f>
        <v>3.020833333333333E-2</v>
      </c>
      <c r="AW157" s="1185">
        <f t="shared" si="45"/>
        <v>2.1147148580666748</v>
      </c>
      <c r="BA157" s="1182">
        <v>11.75</v>
      </c>
      <c r="BB157" s="1183" t="s">
        <v>0</v>
      </c>
      <c r="BC157" s="1184" t="s">
        <v>0</v>
      </c>
      <c r="BD157" s="1185" t="s">
        <v>0</v>
      </c>
    </row>
    <row r="158" spans="4:56" x14ac:dyDescent="0.25">
      <c r="D158" s="1182">
        <v>12.75</v>
      </c>
      <c r="E158" s="1183"/>
      <c r="F158" s="1184" t="s">
        <v>0</v>
      </c>
      <c r="G158" s="1185"/>
      <c r="K158" s="1182">
        <v>12.75</v>
      </c>
      <c r="L158" s="1183"/>
      <c r="M158" s="1184" t="s">
        <v>0</v>
      </c>
      <c r="N158" s="1185"/>
      <c r="R158" s="1182">
        <v>12.75</v>
      </c>
      <c r="S158" s="1183">
        <v>4</v>
      </c>
      <c r="T158" s="1189">
        <f>+$K$54</f>
        <v>3.0708333333333334E-2</v>
      </c>
      <c r="U158" s="1185">
        <f t="shared" si="41"/>
        <v>2.7200613691258146</v>
      </c>
      <c r="Y158" s="1182">
        <v>12.75</v>
      </c>
      <c r="Z158" s="1183" t="s">
        <v>0</v>
      </c>
      <c r="AA158" s="1184" t="s">
        <v>0</v>
      </c>
      <c r="AB158" s="1185" t="s">
        <v>0</v>
      </c>
      <c r="AF158" s="1182">
        <v>12.75</v>
      </c>
      <c r="AG158" s="1183" t="s">
        <v>0</v>
      </c>
      <c r="AH158" s="1184" t="s">
        <v>0</v>
      </c>
      <c r="AI158" s="1185" t="s">
        <v>0</v>
      </c>
      <c r="AM158" s="1182">
        <v>12.75</v>
      </c>
      <c r="AN158" s="1183" t="s">
        <v>0</v>
      </c>
      <c r="AO158" s="1189" t="s">
        <v>0</v>
      </c>
      <c r="AP158" s="1185" t="s">
        <v>0</v>
      </c>
      <c r="AT158" s="1182">
        <v>12.75</v>
      </c>
      <c r="AU158" s="1183">
        <v>3</v>
      </c>
      <c r="AV158" s="1189">
        <f>+$K$54</f>
        <v>3.0708333333333334E-2</v>
      </c>
      <c r="AW158" s="1185">
        <f t="shared" si="45"/>
        <v>2.0400460268443608</v>
      </c>
      <c r="BA158" s="1182">
        <v>12.75</v>
      </c>
      <c r="BB158" s="1183" t="s">
        <v>0</v>
      </c>
      <c r="BC158" s="1184" t="s">
        <v>0</v>
      </c>
      <c r="BD158" s="1185" t="s">
        <v>0</v>
      </c>
    </row>
    <row r="159" spans="4:56" x14ac:dyDescent="0.25">
      <c r="D159" s="1182">
        <v>13.75</v>
      </c>
      <c r="E159" s="1183"/>
      <c r="F159" s="1184" t="s">
        <v>0</v>
      </c>
      <c r="G159" s="1185"/>
      <c r="K159" s="1182">
        <v>13.75</v>
      </c>
      <c r="L159" s="1183"/>
      <c r="M159" s="1184" t="s">
        <v>0</v>
      </c>
      <c r="N159" s="1185"/>
      <c r="R159" s="1182">
        <v>13.75</v>
      </c>
      <c r="S159" s="1183">
        <v>4</v>
      </c>
      <c r="T159" s="1189">
        <f>+$K$58</f>
        <v>3.1333333333333338E-2</v>
      </c>
      <c r="U159" s="1185">
        <f t="shared" si="41"/>
        <v>2.617116104953138</v>
      </c>
      <c r="Y159" s="1182">
        <v>13.75</v>
      </c>
      <c r="Z159" s="1183" t="s">
        <v>0</v>
      </c>
      <c r="AA159" s="1184" t="s">
        <v>99</v>
      </c>
      <c r="AB159" s="1185" t="s">
        <v>0</v>
      </c>
      <c r="AF159" s="1182">
        <v>13.75</v>
      </c>
      <c r="AG159" s="1183" t="s">
        <v>0</v>
      </c>
      <c r="AH159" s="1184" t="s">
        <v>0</v>
      </c>
      <c r="AI159" s="1185" t="s">
        <v>0</v>
      </c>
      <c r="AM159" s="1182">
        <v>13.75</v>
      </c>
      <c r="AN159" s="1183" t="s">
        <v>0</v>
      </c>
      <c r="AO159" s="1189" t="s">
        <v>0</v>
      </c>
      <c r="AP159" s="1185" t="s">
        <v>0</v>
      </c>
      <c r="AT159" s="1182">
        <v>13.75</v>
      </c>
      <c r="AU159" s="1183">
        <v>103</v>
      </c>
      <c r="AV159" s="1189">
        <f>+$K$58</f>
        <v>3.1333333333333338E-2</v>
      </c>
      <c r="AW159" s="1185">
        <f t="shared" si="45"/>
        <v>67.3907397025433</v>
      </c>
      <c r="BA159" s="1182">
        <v>13.75</v>
      </c>
      <c r="BB159" s="1183" t="s">
        <v>0</v>
      </c>
      <c r="BC159" s="1184" t="s">
        <v>0</v>
      </c>
      <c r="BD159" s="1185" t="s">
        <v>0</v>
      </c>
    </row>
    <row r="160" spans="4:56" ht="15.75" thickBot="1" x14ac:dyDescent="0.3">
      <c r="D160" s="1182">
        <v>14.75</v>
      </c>
      <c r="E160" s="1183"/>
      <c r="F160" s="1184" t="s">
        <v>0</v>
      </c>
      <c r="G160" s="1185"/>
      <c r="K160" s="1182">
        <v>14.75</v>
      </c>
      <c r="L160" s="1183"/>
      <c r="M160" s="1184" t="s">
        <v>0</v>
      </c>
      <c r="N160" s="1185"/>
      <c r="R160" s="1182">
        <v>14.75</v>
      </c>
      <c r="S160" s="1183">
        <v>104</v>
      </c>
      <c r="T160" s="1189">
        <f>+$K$62</f>
        <v>3.1833333333333338E-2</v>
      </c>
      <c r="U160" s="1185">
        <f t="shared" si="41"/>
        <v>65.507710831648552</v>
      </c>
      <c r="Y160" s="1182">
        <v>14.75</v>
      </c>
      <c r="Z160" s="1183" t="s">
        <v>0</v>
      </c>
      <c r="AA160" s="1184" t="s">
        <v>0</v>
      </c>
      <c r="AB160" s="1185" t="s">
        <v>0</v>
      </c>
      <c r="AF160" s="1182">
        <v>14.75</v>
      </c>
      <c r="AG160" s="1183" t="s">
        <v>0</v>
      </c>
      <c r="AH160" s="1184" t="s">
        <v>0</v>
      </c>
      <c r="AI160" s="1185" t="s">
        <v>0</v>
      </c>
      <c r="AM160" s="1182">
        <v>14.75</v>
      </c>
      <c r="AN160" s="1183" t="s">
        <v>0</v>
      </c>
      <c r="AO160" s="1189" t="s">
        <v>0</v>
      </c>
      <c r="AP160" s="1185" t="s">
        <v>0</v>
      </c>
      <c r="AT160" s="1182">
        <v>14.75</v>
      </c>
      <c r="AU160" s="1183" t="s">
        <v>0</v>
      </c>
      <c r="AV160" s="1184" t="s">
        <v>0</v>
      </c>
      <c r="AW160" s="1185" t="s">
        <v>0</v>
      </c>
      <c r="BA160" s="1182">
        <v>14.75</v>
      </c>
      <c r="BB160" s="1183" t="s">
        <v>0</v>
      </c>
      <c r="BC160" s="1184" t="s">
        <v>0</v>
      </c>
      <c r="BD160" s="1185" t="s">
        <v>0</v>
      </c>
    </row>
    <row r="161" spans="4:58" ht="15.75" thickBot="1" x14ac:dyDescent="0.3">
      <c r="D161" s="1182"/>
      <c r="E161" s="1183"/>
      <c r="F161" s="1184"/>
      <c r="G161" s="1185"/>
      <c r="H161" s="1412" t="s">
        <v>1191</v>
      </c>
      <c r="I161" s="1413"/>
      <c r="K161" s="1182"/>
      <c r="L161" s="1183"/>
      <c r="M161" s="1184" t="s">
        <v>0</v>
      </c>
      <c r="N161" s="1185"/>
      <c r="R161" s="1182"/>
      <c r="S161" s="1183"/>
      <c r="T161" s="1184"/>
      <c r="U161" s="1185"/>
      <c r="Y161" s="1182"/>
      <c r="Z161" s="1183"/>
      <c r="AA161" s="1184"/>
      <c r="AB161" s="1185"/>
      <c r="AF161" s="1182"/>
      <c r="AG161" s="1183"/>
      <c r="AH161" s="1184"/>
      <c r="AI161" s="1185"/>
      <c r="AM161" s="1182"/>
      <c r="AN161" s="1183"/>
      <c r="AO161" s="1184"/>
      <c r="AP161" s="1185"/>
      <c r="AT161" s="1182"/>
      <c r="AU161" s="1183"/>
      <c r="AV161" s="1184"/>
      <c r="AW161" s="1185"/>
      <c r="BA161" s="1182"/>
      <c r="BB161" s="1183"/>
      <c r="BC161" s="1184"/>
      <c r="BD161" s="1185"/>
    </row>
    <row r="162" spans="4:58" ht="15.75" thickBot="1" x14ac:dyDescent="0.3">
      <c r="D162" s="1175"/>
      <c r="E162" s="1191" t="s">
        <v>0</v>
      </c>
      <c r="F162" s="1192" t="s">
        <v>16</v>
      </c>
      <c r="G162" s="1193">
        <f>SUM(G146:G160)</f>
        <v>128.49102738764327</v>
      </c>
      <c r="H162" s="1410" t="s">
        <v>1178</v>
      </c>
      <c r="I162" s="1411">
        <f>+(G162-G139)/G$93</f>
        <v>-9.6838132682608713E-3</v>
      </c>
      <c r="K162" s="1175"/>
      <c r="L162" s="1191" t="s">
        <v>0</v>
      </c>
      <c r="M162" s="1192" t="s">
        <v>16</v>
      </c>
      <c r="N162" s="1193">
        <f>SUM(N146:N160)</f>
        <v>111.01286237790865</v>
      </c>
      <c r="O162" s="1410" t="s">
        <v>1178</v>
      </c>
      <c r="P162" s="1411">
        <f>+(N162-N139)/N$93</f>
        <v>-2.5112934847350472E-3</v>
      </c>
      <c r="R162" s="1175"/>
      <c r="S162" s="1191" t="s">
        <v>0</v>
      </c>
      <c r="T162" s="1192" t="s">
        <v>16</v>
      </c>
      <c r="U162" s="1193">
        <f>SUM(U146:U160)</f>
        <v>111.75941943260824</v>
      </c>
      <c r="V162" s="1410" t="s">
        <v>1178</v>
      </c>
      <c r="W162" s="1411">
        <f>+(U162-U139)/U$93</f>
        <v>-2.1608997098967821E-2</v>
      </c>
      <c r="Y162" s="1175"/>
      <c r="Z162" s="1191" t="s">
        <v>0</v>
      </c>
      <c r="AA162" s="1192" t="s">
        <v>16</v>
      </c>
      <c r="AB162" s="1193">
        <f>SUM(AB146:AB160)</f>
        <v>103.37391818541542</v>
      </c>
      <c r="AC162" s="1410" t="s">
        <v>1178</v>
      </c>
      <c r="AD162" s="1411">
        <f>+(AB162-AB139)/AB$93</f>
        <v>-7.4119466327817872E-4</v>
      </c>
      <c r="AF162" s="1175"/>
      <c r="AG162" s="1191" t="s">
        <v>0</v>
      </c>
      <c r="AH162" s="1192" t="s">
        <v>16</v>
      </c>
      <c r="AI162" s="1193">
        <f>SUM(AI146:AI160)</f>
        <v>116.45752602561326</v>
      </c>
      <c r="AJ162" s="1410" t="s">
        <v>1178</v>
      </c>
      <c r="AK162" s="1411">
        <f>+(AI162-AI139)/AI$93</f>
        <v>-5.0541486476218724E-3</v>
      </c>
      <c r="AM162" s="1175"/>
      <c r="AN162" s="1191" t="s">
        <v>0</v>
      </c>
      <c r="AO162" s="1192" t="s">
        <v>16</v>
      </c>
      <c r="AP162" s="1193">
        <f>SUM(AP146:AP160)</f>
        <v>126.74797556835014</v>
      </c>
      <c r="AQ162" s="1410" t="s">
        <v>1178</v>
      </c>
      <c r="AR162" s="1411">
        <f>+(AP162-AP139)/AP$93</f>
        <v>-1.3681904214462538E-2</v>
      </c>
      <c r="AT162" s="1175"/>
      <c r="AU162" s="1191" t="s">
        <v>0</v>
      </c>
      <c r="AV162" s="1192" t="s">
        <v>16</v>
      </c>
      <c r="AW162" s="1193">
        <f>SUM(AW146:AW160)</f>
        <v>100.1166840745482</v>
      </c>
      <c r="AX162" s="1410" t="s">
        <v>1178</v>
      </c>
      <c r="AY162" s="1411">
        <f>+(AW162-AW139)/AW$93</f>
        <v>-2.0399868701087721E-2</v>
      </c>
      <c r="BA162" s="1175"/>
      <c r="BB162" s="1191" t="s">
        <v>0</v>
      </c>
      <c r="BC162" s="1192" t="s">
        <v>16</v>
      </c>
      <c r="BD162" s="1193">
        <f>SUM(BD146:BD160)</f>
        <v>124.71434979189434</v>
      </c>
      <c r="BE162" s="1410" t="s">
        <v>1178</v>
      </c>
      <c r="BF162" s="1411">
        <f>+(BD162-BD139)/BD$93</f>
        <v>-4.8231193119705178E-3</v>
      </c>
    </row>
    <row r="164" spans="4:58" ht="20.25" x14ac:dyDescent="0.3">
      <c r="D164" s="164" t="s">
        <v>1166</v>
      </c>
    </row>
    <row r="165" spans="4:58" ht="15.75" thickBot="1" x14ac:dyDescent="0.3"/>
    <row r="166" spans="4:58" ht="25.5" x14ac:dyDescent="0.25">
      <c r="D166" s="1169" t="s">
        <v>101</v>
      </c>
      <c r="E166" s="1170" t="s">
        <v>949</v>
      </c>
      <c r="F166" s="1170" t="s">
        <v>950</v>
      </c>
      <c r="G166" s="1171" t="s">
        <v>951</v>
      </c>
      <c r="K166" s="1169" t="s">
        <v>101</v>
      </c>
      <c r="L166" s="1170" t="s">
        <v>949</v>
      </c>
      <c r="M166" s="1170" t="s">
        <v>950</v>
      </c>
      <c r="N166" s="1171" t="s">
        <v>951</v>
      </c>
      <c r="R166" s="1169" t="s">
        <v>101</v>
      </c>
      <c r="S166" s="1170" t="s">
        <v>949</v>
      </c>
      <c r="T166" s="1170" t="s">
        <v>950</v>
      </c>
      <c r="U166" s="1171" t="s">
        <v>951</v>
      </c>
      <c r="Y166" s="1169" t="s">
        <v>101</v>
      </c>
      <c r="Z166" s="1170" t="s">
        <v>949</v>
      </c>
      <c r="AA166" s="1170" t="s">
        <v>950</v>
      </c>
      <c r="AB166" s="1171" t="s">
        <v>951</v>
      </c>
      <c r="AF166" s="1169" t="s">
        <v>101</v>
      </c>
      <c r="AG166" s="1170" t="s">
        <v>949</v>
      </c>
      <c r="AH166" s="1170" t="s">
        <v>950</v>
      </c>
      <c r="AI166" s="1171" t="s">
        <v>951</v>
      </c>
      <c r="AM166" s="1169" t="s">
        <v>101</v>
      </c>
      <c r="AN166" s="1170" t="s">
        <v>949</v>
      </c>
      <c r="AO166" s="1170" t="s">
        <v>950</v>
      </c>
      <c r="AP166" s="1171" t="s">
        <v>951</v>
      </c>
      <c r="AT166" s="1169" t="s">
        <v>101</v>
      </c>
      <c r="AU166" s="1170" t="s">
        <v>949</v>
      </c>
      <c r="AV166" s="1170" t="s">
        <v>950</v>
      </c>
      <c r="AW166" s="1171" t="s">
        <v>951</v>
      </c>
      <c r="BA166" s="1169" t="s">
        <v>101</v>
      </c>
      <c r="BB166" s="1170" t="s">
        <v>949</v>
      </c>
      <c r="BC166" s="1170" t="s">
        <v>950</v>
      </c>
      <c r="BD166" s="1171" t="s">
        <v>951</v>
      </c>
    </row>
    <row r="167" spans="4:58" x14ac:dyDescent="0.25">
      <c r="D167" s="1172"/>
      <c r="E167" s="1173"/>
      <c r="F167" s="1173"/>
      <c r="G167" s="1174"/>
      <c r="K167" s="1172"/>
      <c r="L167" s="1173"/>
      <c r="M167" s="1173"/>
      <c r="N167" s="1174"/>
      <c r="R167" s="1172"/>
      <c r="S167" s="1173"/>
      <c r="T167" s="1173"/>
      <c r="U167" s="1174"/>
      <c r="Y167" s="1172"/>
      <c r="Z167" s="1173"/>
      <c r="AA167" s="1173"/>
      <c r="AB167" s="1174"/>
      <c r="AF167" s="1172"/>
      <c r="AG167" s="1173"/>
      <c r="AH167" s="1173"/>
      <c r="AI167" s="1174"/>
      <c r="AM167" s="1172"/>
      <c r="AN167" s="1173"/>
      <c r="AO167" s="1173"/>
      <c r="AP167" s="1174"/>
      <c r="AT167" s="1172"/>
      <c r="AU167" s="1173"/>
      <c r="AV167" s="1173"/>
      <c r="AW167" s="1174"/>
      <c r="BA167" s="1172"/>
      <c r="BB167" s="1173"/>
      <c r="BC167" s="1173"/>
      <c r="BD167" s="1174"/>
    </row>
    <row r="168" spans="4:58" ht="15.75" thickBot="1" x14ac:dyDescent="0.3">
      <c r="D168" s="1175"/>
      <c r="E168" s="1015"/>
      <c r="F168" s="1183"/>
      <c r="G168" s="1177" t="s">
        <v>0</v>
      </c>
      <c r="K168" s="1175"/>
      <c r="L168" s="1015"/>
      <c r="M168" s="1176"/>
      <c r="N168" s="1177" t="s">
        <v>0</v>
      </c>
      <c r="R168" s="1175"/>
      <c r="S168" s="1015"/>
      <c r="T168" s="1176"/>
      <c r="U168" s="1177" t="s">
        <v>0</v>
      </c>
      <c r="Y168" s="1175"/>
      <c r="Z168" s="1015"/>
      <c r="AA168" s="1176"/>
      <c r="AB168" s="1177" t="s">
        <v>0</v>
      </c>
      <c r="AF168" s="1175"/>
      <c r="AG168" s="1015"/>
      <c r="AH168" s="1176"/>
      <c r="AI168" s="1177" t="s">
        <v>0</v>
      </c>
      <c r="AM168" s="1175"/>
      <c r="AN168" s="1015"/>
      <c r="AO168" s="1176"/>
      <c r="AP168" s="1177" t="s">
        <v>0</v>
      </c>
      <c r="AT168" s="1175"/>
      <c r="AU168" s="1015"/>
      <c r="AV168" s="1176"/>
      <c r="AW168" s="1177" t="s">
        <v>0</v>
      </c>
      <c r="BA168" s="1175"/>
      <c r="BB168" s="1015"/>
      <c r="BC168" s="1176"/>
      <c r="BD168" s="1177" t="s">
        <v>0</v>
      </c>
    </row>
    <row r="169" spans="4:58" x14ac:dyDescent="0.25">
      <c r="D169" s="1178">
        <v>0.75</v>
      </c>
      <c r="E169" s="1179">
        <v>6</v>
      </c>
      <c r="F169" s="1188">
        <f>+$M$6</f>
        <v>1.7299999999999999E-2</v>
      </c>
      <c r="G169" s="1201">
        <f t="shared" ref="G169:G178" si="47">+E169/(1+F169)^D169</f>
        <v>5.9233100642536947</v>
      </c>
      <c r="K169" s="1178">
        <v>0.75</v>
      </c>
      <c r="L169" s="1179">
        <v>4.5</v>
      </c>
      <c r="M169" s="1188">
        <f>+$M$6</f>
        <v>1.7299999999999999E-2</v>
      </c>
      <c r="N169" s="1181">
        <f t="shared" ref="N169:N173" si="48">+L169/(1+M169)^K169</f>
        <v>4.442482548190271</v>
      </c>
      <c r="R169" s="1178">
        <v>0.75</v>
      </c>
      <c r="S169" s="1179">
        <v>4</v>
      </c>
      <c r="T169" s="1188">
        <f>+$M$6</f>
        <v>1.7299999999999999E-2</v>
      </c>
      <c r="U169" s="1181">
        <f t="shared" ref="U169:U183" si="49">+S169/(1+T169)^R169</f>
        <v>3.9488733761691299</v>
      </c>
      <c r="Y169" s="1178">
        <v>0.75</v>
      </c>
      <c r="Z169" s="1179">
        <v>3</v>
      </c>
      <c r="AA169" s="1188">
        <f>+$M$6</f>
        <v>1.7299999999999999E-2</v>
      </c>
      <c r="AB169" s="1181">
        <f t="shared" ref="AB169:AB171" si="50">+Z169/(1+AA169)^Y169</f>
        <v>2.9616550321268473</v>
      </c>
      <c r="AF169" s="1178">
        <v>0.75</v>
      </c>
      <c r="AG169" s="1179">
        <v>5</v>
      </c>
      <c r="AH169" s="1188">
        <f>+$M$6</f>
        <v>1.7299999999999999E-2</v>
      </c>
      <c r="AI169" s="1181">
        <f t="shared" ref="AI169:AI175" si="51">+AG169/(1+AH169)^AF169</f>
        <v>4.9360917202114125</v>
      </c>
      <c r="AM169" s="1178">
        <v>0.75</v>
      </c>
      <c r="AN169" s="1179">
        <v>5.5</v>
      </c>
      <c r="AO169" s="1188">
        <f>+$M$6</f>
        <v>1.7299999999999999E-2</v>
      </c>
      <c r="AP169" s="1181">
        <f t="shared" ref="AP169:AP180" si="52">+AN169/(1+AO169)^AM169</f>
        <v>5.4297008922325531</v>
      </c>
      <c r="AT169" s="1178">
        <v>0.75</v>
      </c>
      <c r="AU169" s="1179">
        <v>3</v>
      </c>
      <c r="AV169" s="1188">
        <f>+$M$6</f>
        <v>1.7299999999999999E-2</v>
      </c>
      <c r="AW169" s="1181">
        <f t="shared" ref="AW169:AW183" si="53">+AU169/(1+AV169)^AT169</f>
        <v>2.9616550321268473</v>
      </c>
      <c r="BA169" s="1178">
        <v>0.75</v>
      </c>
      <c r="BB169" s="1179">
        <v>6.5</v>
      </c>
      <c r="BC169" s="1188">
        <f>+$M$6+$O$67</f>
        <v>1.9299999999999998E-2</v>
      </c>
      <c r="BD169" s="1181">
        <f t="shared" ref="BD169:BD175" si="54">+BB169/(1+BC169)^BA169</f>
        <v>6.4074737917852431</v>
      </c>
    </row>
    <row r="170" spans="4:58" x14ac:dyDescent="0.25">
      <c r="D170" s="1182">
        <v>1.75</v>
      </c>
      <c r="E170" s="1183">
        <v>6</v>
      </c>
      <c r="F170" s="1189">
        <f>+$M$10</f>
        <v>1.8525E-2</v>
      </c>
      <c r="G170" s="1202">
        <f t="shared" si="47"/>
        <v>5.8103298393827592</v>
      </c>
      <c r="K170" s="1182">
        <v>1.75</v>
      </c>
      <c r="L170" s="1183">
        <v>4.5</v>
      </c>
      <c r="M170" s="1189">
        <f>+$M$10</f>
        <v>1.8525E-2</v>
      </c>
      <c r="N170" s="1185">
        <f t="shared" si="48"/>
        <v>4.3577473795370691</v>
      </c>
      <c r="R170" s="1182">
        <v>1.75</v>
      </c>
      <c r="S170" s="1183">
        <v>4</v>
      </c>
      <c r="T170" s="1189">
        <f>+$M$10</f>
        <v>1.8525E-2</v>
      </c>
      <c r="U170" s="1185">
        <f t="shared" si="49"/>
        <v>3.8735532262551731</v>
      </c>
      <c r="Y170" s="1182">
        <v>1.75</v>
      </c>
      <c r="Z170" s="1183">
        <v>3</v>
      </c>
      <c r="AA170" s="1189">
        <f>+$M$10</f>
        <v>1.8525E-2</v>
      </c>
      <c r="AB170" s="1185">
        <f t="shared" si="50"/>
        <v>2.9051649196913796</v>
      </c>
      <c r="AF170" s="1182">
        <v>1.75</v>
      </c>
      <c r="AG170" s="1183">
        <v>5</v>
      </c>
      <c r="AH170" s="1189">
        <f>+$M$10</f>
        <v>1.8525E-2</v>
      </c>
      <c r="AI170" s="1185">
        <f t="shared" si="51"/>
        <v>4.8419415328189661</v>
      </c>
      <c r="AM170" s="1182">
        <v>1.75</v>
      </c>
      <c r="AN170" s="1183">
        <v>5.5</v>
      </c>
      <c r="AO170" s="1189">
        <f>+$M$10</f>
        <v>1.8525E-2</v>
      </c>
      <c r="AP170" s="1185">
        <f t="shared" si="52"/>
        <v>5.3261356861008631</v>
      </c>
      <c r="AT170" s="1182">
        <v>1.75</v>
      </c>
      <c r="AU170" s="1183">
        <v>3</v>
      </c>
      <c r="AV170" s="1189">
        <f>+$M$10</f>
        <v>1.8525E-2</v>
      </c>
      <c r="AW170" s="1185">
        <f t="shared" si="53"/>
        <v>2.9051649196913796</v>
      </c>
      <c r="BA170" s="1182">
        <v>1.75</v>
      </c>
      <c r="BB170" s="1183">
        <v>6.5</v>
      </c>
      <c r="BC170" s="1189">
        <f>+$M$10+$O$67</f>
        <v>2.0525000000000002E-2</v>
      </c>
      <c r="BD170" s="1185">
        <f t="shared" si="54"/>
        <v>6.2729521149356584</v>
      </c>
    </row>
    <row r="171" spans="4:58" x14ac:dyDescent="0.25">
      <c r="D171" s="1182">
        <v>2.75</v>
      </c>
      <c r="E171" s="1183">
        <v>6</v>
      </c>
      <c r="F171" s="1189">
        <f>+$M$14</f>
        <v>2.0124999999999997E-2</v>
      </c>
      <c r="G171" s="1202">
        <f t="shared" si="47"/>
        <v>5.680079647080432</v>
      </c>
      <c r="K171" s="1182">
        <v>2.75</v>
      </c>
      <c r="L171" s="1183">
        <v>4.5</v>
      </c>
      <c r="M171" s="1189">
        <f>+$M$14</f>
        <v>2.0124999999999997E-2</v>
      </c>
      <c r="N171" s="1185">
        <f t="shared" si="48"/>
        <v>4.2600597353103238</v>
      </c>
      <c r="R171" s="1182">
        <v>2.75</v>
      </c>
      <c r="S171" s="1183">
        <v>4</v>
      </c>
      <c r="T171" s="1189">
        <f>+$M$14</f>
        <v>2.0124999999999997E-2</v>
      </c>
      <c r="U171" s="1185">
        <f t="shared" si="49"/>
        <v>3.7867197647202882</v>
      </c>
      <c r="Y171" s="1182">
        <v>2.75</v>
      </c>
      <c r="Z171" s="1183">
        <v>103</v>
      </c>
      <c r="AA171" s="1189">
        <f>+$M$14</f>
        <v>2.0124999999999997E-2</v>
      </c>
      <c r="AB171" s="1185">
        <f t="shared" si="50"/>
        <v>97.50803394154741</v>
      </c>
      <c r="AF171" s="1182">
        <v>2.75</v>
      </c>
      <c r="AG171" s="1183">
        <v>5</v>
      </c>
      <c r="AH171" s="1189">
        <f>+$M$14</f>
        <v>2.0124999999999997E-2</v>
      </c>
      <c r="AI171" s="1185">
        <f t="shared" si="51"/>
        <v>4.7333997059003599</v>
      </c>
      <c r="AM171" s="1182">
        <v>2.75</v>
      </c>
      <c r="AN171" s="1183">
        <v>5.5</v>
      </c>
      <c r="AO171" s="1189">
        <f>+$M$14</f>
        <v>2.0124999999999997E-2</v>
      </c>
      <c r="AP171" s="1185">
        <f t="shared" si="52"/>
        <v>5.2067396764903959</v>
      </c>
      <c r="AT171" s="1182">
        <v>2.75</v>
      </c>
      <c r="AU171" s="1183">
        <v>3</v>
      </c>
      <c r="AV171" s="1189">
        <f>+$M$14</f>
        <v>2.0124999999999997E-2</v>
      </c>
      <c r="AW171" s="1185">
        <f t="shared" si="53"/>
        <v>2.840039823540216</v>
      </c>
      <c r="BA171" s="1182">
        <v>2.75</v>
      </c>
      <c r="BB171" s="1183">
        <v>6.5</v>
      </c>
      <c r="BC171" s="1189">
        <f>+$M$14+$O$67</f>
        <v>2.2124999999999999E-2</v>
      </c>
      <c r="BD171" s="1185">
        <f t="shared" si="54"/>
        <v>6.1203650581917861</v>
      </c>
    </row>
    <row r="172" spans="4:58" x14ac:dyDescent="0.25">
      <c r="D172" s="1182">
        <v>3.75</v>
      </c>
      <c r="E172" s="1183">
        <v>6</v>
      </c>
      <c r="F172" s="1189">
        <f>+$M$18</f>
        <v>2.1624999999999998E-2</v>
      </c>
      <c r="G172" s="1202">
        <f t="shared" si="47"/>
        <v>5.5374278504649688</v>
      </c>
      <c r="K172" s="1182">
        <v>3.75</v>
      </c>
      <c r="L172" s="1183">
        <v>4.5</v>
      </c>
      <c r="M172" s="1189">
        <f>+$M$18</f>
        <v>2.1624999999999998E-2</v>
      </c>
      <c r="N172" s="1185">
        <f t="shared" si="48"/>
        <v>4.1530708878487266</v>
      </c>
      <c r="R172" s="1182">
        <v>3.75</v>
      </c>
      <c r="S172" s="1183">
        <v>4</v>
      </c>
      <c r="T172" s="1189">
        <f>+$M$18</f>
        <v>2.1624999999999998E-2</v>
      </c>
      <c r="U172" s="1185">
        <f t="shared" si="49"/>
        <v>3.6916185669766461</v>
      </c>
      <c r="Y172" s="1182">
        <v>3.75</v>
      </c>
      <c r="Z172" s="1183" t="s">
        <v>0</v>
      </c>
      <c r="AA172" s="1184" t="s">
        <v>0</v>
      </c>
      <c r="AB172" s="1185" t="s">
        <v>0</v>
      </c>
      <c r="AF172" s="1182">
        <v>3.75</v>
      </c>
      <c r="AG172" s="1183">
        <v>5</v>
      </c>
      <c r="AH172" s="1189">
        <f>+$M$18</f>
        <v>2.1624999999999998E-2</v>
      </c>
      <c r="AI172" s="1185">
        <f t="shared" si="51"/>
        <v>4.6145232087208079</v>
      </c>
      <c r="AM172" s="1182">
        <v>3.75</v>
      </c>
      <c r="AN172" s="1183">
        <v>5.5</v>
      </c>
      <c r="AO172" s="1189">
        <f>+$M$18</f>
        <v>2.1624999999999998E-2</v>
      </c>
      <c r="AP172" s="1185">
        <f t="shared" si="52"/>
        <v>5.0759755295928883</v>
      </c>
      <c r="AT172" s="1182">
        <v>3.75</v>
      </c>
      <c r="AU172" s="1183">
        <v>3</v>
      </c>
      <c r="AV172" s="1189">
        <f>+$M$18</f>
        <v>2.1624999999999998E-2</v>
      </c>
      <c r="AW172" s="1185">
        <f t="shared" si="53"/>
        <v>2.7687139252324844</v>
      </c>
      <c r="BA172" s="1182">
        <v>3.75</v>
      </c>
      <c r="BB172" s="1183">
        <v>6.5</v>
      </c>
      <c r="BC172" s="1189">
        <f>+$M$18+$O$67</f>
        <v>2.3625E-2</v>
      </c>
      <c r="BD172" s="1185">
        <f t="shared" si="54"/>
        <v>5.9550449116688728</v>
      </c>
    </row>
    <row r="173" spans="4:58" x14ac:dyDescent="0.25">
      <c r="D173" s="1182">
        <v>4.75</v>
      </c>
      <c r="E173" s="1183">
        <v>6</v>
      </c>
      <c r="F173" s="1189">
        <f>+$M$22</f>
        <v>2.3299999999999998E-2</v>
      </c>
      <c r="G173" s="1202">
        <f t="shared" si="47"/>
        <v>5.3782021660796842</v>
      </c>
      <c r="K173" s="1182">
        <v>4.75</v>
      </c>
      <c r="L173" s="1183">
        <v>104.5</v>
      </c>
      <c r="M173" s="1189">
        <f>+$M$22</f>
        <v>2.3299999999999998E-2</v>
      </c>
      <c r="N173" s="1185">
        <f t="shared" si="48"/>
        <v>93.670354392554501</v>
      </c>
      <c r="R173" s="1182">
        <v>4.75</v>
      </c>
      <c r="S173" s="1183">
        <v>4</v>
      </c>
      <c r="T173" s="1189">
        <f>+$M$22</f>
        <v>2.3299999999999998E-2</v>
      </c>
      <c r="U173" s="1185">
        <f t="shared" si="49"/>
        <v>3.5854681107197899</v>
      </c>
      <c r="Y173" s="1182">
        <v>4.75</v>
      </c>
      <c r="Z173" s="1183" t="s">
        <v>0</v>
      </c>
      <c r="AA173" s="1184" t="s">
        <v>0</v>
      </c>
      <c r="AB173" s="1185" t="s">
        <v>0</v>
      </c>
      <c r="AF173" s="1182">
        <v>4.75</v>
      </c>
      <c r="AG173" s="1183">
        <v>5</v>
      </c>
      <c r="AH173" s="1189">
        <f>+$M$22</f>
        <v>2.3299999999999998E-2</v>
      </c>
      <c r="AI173" s="1185">
        <f t="shared" si="51"/>
        <v>4.4818351383997372</v>
      </c>
      <c r="AM173" s="1182">
        <v>4.75</v>
      </c>
      <c r="AN173" s="1183">
        <v>5.5</v>
      </c>
      <c r="AO173" s="1189">
        <f>+$M$22</f>
        <v>2.3299999999999998E-2</v>
      </c>
      <c r="AP173" s="1185">
        <f t="shared" si="52"/>
        <v>4.9300186522397107</v>
      </c>
      <c r="AT173" s="1182">
        <v>4.75</v>
      </c>
      <c r="AU173" s="1183">
        <v>3</v>
      </c>
      <c r="AV173" s="1189">
        <f>+$M$22</f>
        <v>2.3299999999999998E-2</v>
      </c>
      <c r="AW173" s="1185">
        <f t="shared" si="53"/>
        <v>2.6891010830398421</v>
      </c>
      <c r="BA173" s="1182">
        <v>4.75</v>
      </c>
      <c r="BB173" s="1183">
        <v>6.5</v>
      </c>
      <c r="BC173" s="1189">
        <f>+$M$22+$O$67</f>
        <v>2.5299999999999996E-2</v>
      </c>
      <c r="BD173" s="1185">
        <f t="shared" si="54"/>
        <v>5.7725979275930346</v>
      </c>
    </row>
    <row r="174" spans="4:58" x14ac:dyDescent="0.25">
      <c r="D174" s="1182">
        <v>5.75</v>
      </c>
      <c r="E174" s="1183">
        <v>6</v>
      </c>
      <c r="F174" s="1189">
        <f>+$M$26</f>
        <v>2.5633333333333327E-2</v>
      </c>
      <c r="G174" s="1202">
        <f t="shared" si="47"/>
        <v>5.1873615626368226</v>
      </c>
      <c r="K174" s="1182">
        <v>5.75</v>
      </c>
      <c r="L174" s="1183" t="s">
        <v>0</v>
      </c>
      <c r="M174" s="1184" t="s">
        <v>0</v>
      </c>
      <c r="N174" s="1185" t="s">
        <v>0</v>
      </c>
      <c r="R174" s="1182">
        <v>5.75</v>
      </c>
      <c r="S174" s="1183">
        <v>4</v>
      </c>
      <c r="T174" s="1189">
        <f>+$M$26</f>
        <v>2.5633333333333327E-2</v>
      </c>
      <c r="U174" s="1185">
        <f t="shared" si="49"/>
        <v>3.4582410417578822</v>
      </c>
      <c r="Y174" s="1182">
        <v>5.75</v>
      </c>
      <c r="Z174" s="1183" t="s">
        <v>0</v>
      </c>
      <c r="AA174" s="1184" t="s">
        <v>0</v>
      </c>
      <c r="AB174" s="1185" t="s">
        <v>0</v>
      </c>
      <c r="AF174" s="1182">
        <v>5.75</v>
      </c>
      <c r="AG174" s="1183">
        <v>5</v>
      </c>
      <c r="AH174" s="1189">
        <f>+$M$26</f>
        <v>2.5633333333333327E-2</v>
      </c>
      <c r="AI174" s="1185">
        <f t="shared" si="51"/>
        <v>4.3228013021973526</v>
      </c>
      <c r="AM174" s="1182">
        <v>5.75</v>
      </c>
      <c r="AN174" s="1183">
        <v>5.5</v>
      </c>
      <c r="AO174" s="1189">
        <f>+$M$26</f>
        <v>2.5633333333333327E-2</v>
      </c>
      <c r="AP174" s="1185">
        <f t="shared" si="52"/>
        <v>4.7550814324170876</v>
      </c>
      <c r="AT174" s="1182">
        <v>5.75</v>
      </c>
      <c r="AU174" s="1183">
        <v>3</v>
      </c>
      <c r="AV174" s="1189">
        <f>+$M$26</f>
        <v>2.5633333333333327E-2</v>
      </c>
      <c r="AW174" s="1185">
        <f t="shared" si="53"/>
        <v>2.5936807813184113</v>
      </c>
      <c r="BA174" s="1182">
        <v>5.75</v>
      </c>
      <c r="BB174" s="1183">
        <v>6.5</v>
      </c>
      <c r="BC174" s="1189">
        <f>+$M$26+$O$67</f>
        <v>2.7633333333333329E-2</v>
      </c>
      <c r="BD174" s="1185">
        <f t="shared" si="54"/>
        <v>5.5570435999571117</v>
      </c>
    </row>
    <row r="175" spans="4:58" x14ac:dyDescent="0.25">
      <c r="D175" s="1182">
        <v>6.75</v>
      </c>
      <c r="E175" s="1183">
        <v>6</v>
      </c>
      <c r="F175" s="1189">
        <f>+$M$30</f>
        <v>2.7666666666666659E-2</v>
      </c>
      <c r="G175" s="1202">
        <f t="shared" si="47"/>
        <v>4.9905501921622433</v>
      </c>
      <c r="K175" s="1182">
        <v>6.75</v>
      </c>
      <c r="L175" s="1183" t="s">
        <v>0</v>
      </c>
      <c r="M175" s="1184" t="s">
        <v>0</v>
      </c>
      <c r="N175" s="1185" t="s">
        <v>0</v>
      </c>
      <c r="R175" s="1182">
        <v>6.75</v>
      </c>
      <c r="S175" s="1183">
        <v>4</v>
      </c>
      <c r="T175" s="1189">
        <f>+$M$30</f>
        <v>2.7666666666666659E-2</v>
      </c>
      <c r="U175" s="1185">
        <f t="shared" si="49"/>
        <v>3.3270334614414954</v>
      </c>
      <c r="Y175" s="1182">
        <v>6.75</v>
      </c>
      <c r="Z175" s="1183" t="s">
        <v>0</v>
      </c>
      <c r="AA175" s="1184" t="s">
        <v>0</v>
      </c>
      <c r="AB175" s="1185" t="s">
        <v>0</v>
      </c>
      <c r="AF175" s="1182">
        <v>6.75</v>
      </c>
      <c r="AG175" s="1183">
        <v>105</v>
      </c>
      <c r="AH175" s="1189">
        <f>+$M$30</f>
        <v>2.7666666666666659E-2</v>
      </c>
      <c r="AI175" s="1185">
        <f t="shared" si="51"/>
        <v>87.334628362839254</v>
      </c>
      <c r="AM175" s="1182">
        <v>6.75</v>
      </c>
      <c r="AN175" s="1183">
        <v>5.5</v>
      </c>
      <c r="AO175" s="1189">
        <f>+$M$30</f>
        <v>2.7666666666666659E-2</v>
      </c>
      <c r="AP175" s="1185">
        <f t="shared" si="52"/>
        <v>4.5746710094820564</v>
      </c>
      <c r="AT175" s="1182">
        <v>6.75</v>
      </c>
      <c r="AU175" s="1183">
        <v>3</v>
      </c>
      <c r="AV175" s="1189">
        <f>+$M$30</f>
        <v>2.7666666666666659E-2</v>
      </c>
      <c r="AW175" s="1185">
        <f t="shared" si="53"/>
        <v>2.4952750960811216</v>
      </c>
      <c r="BA175" s="1182">
        <v>6.75</v>
      </c>
      <c r="BB175" s="1183">
        <v>106.5</v>
      </c>
      <c r="BC175" s="1189">
        <f>+$M$30+$O$67</f>
        <v>2.9666666666666661E-2</v>
      </c>
      <c r="BD175" s="1185">
        <f t="shared" si="54"/>
        <v>87.427326116340168</v>
      </c>
    </row>
    <row r="176" spans="4:58" x14ac:dyDescent="0.25">
      <c r="D176" s="1182">
        <v>7.75</v>
      </c>
      <c r="E176" s="1183">
        <v>6</v>
      </c>
      <c r="F176" s="1189">
        <f>+$M$34</f>
        <v>2.8774999999999992E-2</v>
      </c>
      <c r="G176" s="1202">
        <f t="shared" si="47"/>
        <v>4.8157965876800271</v>
      </c>
      <c r="K176" s="1182">
        <v>7.75</v>
      </c>
      <c r="L176" s="1183" t="s">
        <v>0</v>
      </c>
      <c r="M176" s="1184" t="s">
        <v>0</v>
      </c>
      <c r="N176" s="1185" t="s">
        <v>0</v>
      </c>
      <c r="R176" s="1182">
        <v>7.75</v>
      </c>
      <c r="S176" s="1183">
        <v>4</v>
      </c>
      <c r="T176" s="1189">
        <f>+$M$34</f>
        <v>2.8774999999999992E-2</v>
      </c>
      <c r="U176" s="1185">
        <f t="shared" si="49"/>
        <v>3.2105310584533515</v>
      </c>
      <c r="Y176" s="1182">
        <v>7.75</v>
      </c>
      <c r="Z176" s="1183" t="s">
        <v>0</v>
      </c>
      <c r="AA176" s="1184" t="s">
        <v>99</v>
      </c>
      <c r="AB176" s="1185" t="s">
        <v>0</v>
      </c>
      <c r="AF176" s="1182">
        <v>7.75</v>
      </c>
      <c r="AG176" s="1183" t="s">
        <v>0</v>
      </c>
      <c r="AH176" s="1184" t="s">
        <v>0</v>
      </c>
      <c r="AI176" s="1185" t="s">
        <v>0</v>
      </c>
      <c r="AM176" s="1182">
        <v>7.75</v>
      </c>
      <c r="AN176" s="1183">
        <v>5.5</v>
      </c>
      <c r="AO176" s="1189">
        <f>+$M$34</f>
        <v>2.8774999999999992E-2</v>
      </c>
      <c r="AP176" s="1185">
        <f t="shared" si="52"/>
        <v>4.4144802053733585</v>
      </c>
      <c r="AT176" s="1182">
        <v>7.75</v>
      </c>
      <c r="AU176" s="1183">
        <v>3</v>
      </c>
      <c r="AV176" s="1189">
        <f>+$M$34</f>
        <v>2.8774999999999992E-2</v>
      </c>
      <c r="AW176" s="1185">
        <f t="shared" si="53"/>
        <v>2.4078982938400135</v>
      </c>
      <c r="BA176" s="1182">
        <v>7.75</v>
      </c>
      <c r="BB176" s="1183" t="s">
        <v>0</v>
      </c>
      <c r="BC176" s="1184" t="s">
        <v>0</v>
      </c>
      <c r="BD176" s="1185" t="s">
        <v>0</v>
      </c>
    </row>
    <row r="177" spans="4:58" x14ac:dyDescent="0.25">
      <c r="D177" s="1182">
        <v>8.75</v>
      </c>
      <c r="E177" s="1183">
        <v>6</v>
      </c>
      <c r="F177" s="1189">
        <f>+$M$38</f>
        <v>2.9641666666666656E-2</v>
      </c>
      <c r="G177" s="1202">
        <f t="shared" si="47"/>
        <v>4.646733841405239</v>
      </c>
      <c r="K177" s="1182">
        <v>8.75</v>
      </c>
      <c r="L177" s="1183" t="s">
        <v>0</v>
      </c>
      <c r="M177" s="1184" t="s">
        <v>99</v>
      </c>
      <c r="N177" s="1185" t="s">
        <v>0</v>
      </c>
      <c r="R177" s="1182">
        <v>8.75</v>
      </c>
      <c r="S177" s="1183">
        <v>4</v>
      </c>
      <c r="T177" s="1189">
        <f>+$M$38</f>
        <v>2.9641666666666656E-2</v>
      </c>
      <c r="U177" s="1185">
        <f t="shared" si="49"/>
        <v>3.0978225609368257</v>
      </c>
      <c r="Y177" s="1182">
        <v>8.75</v>
      </c>
      <c r="Z177" s="1183" t="s">
        <v>0</v>
      </c>
      <c r="AA177" s="1184" t="s">
        <v>0</v>
      </c>
      <c r="AB177" s="1185" t="s">
        <v>0</v>
      </c>
      <c r="AF177" s="1182">
        <v>8.75</v>
      </c>
      <c r="AG177" s="1183" t="s">
        <v>0</v>
      </c>
      <c r="AH177" s="1184" t="s">
        <v>0</v>
      </c>
      <c r="AI177" s="1185" t="s">
        <v>0</v>
      </c>
      <c r="AM177" s="1182">
        <v>8.75</v>
      </c>
      <c r="AN177" s="1183">
        <v>5.5</v>
      </c>
      <c r="AO177" s="1189">
        <f>+$M$38</f>
        <v>2.9641666666666656E-2</v>
      </c>
      <c r="AP177" s="1185">
        <f t="shared" si="52"/>
        <v>4.2595060212881357</v>
      </c>
      <c r="AT177" s="1182">
        <v>8.75</v>
      </c>
      <c r="AU177" s="1183">
        <v>3</v>
      </c>
      <c r="AV177" s="1189">
        <f>+$M$38</f>
        <v>2.9641666666666656E-2</v>
      </c>
      <c r="AW177" s="1185">
        <f t="shared" si="53"/>
        <v>2.3233669207026195</v>
      </c>
      <c r="BA177" s="1182">
        <v>8.75</v>
      </c>
      <c r="BB177" s="1183" t="s">
        <v>0</v>
      </c>
      <c r="BC177" s="1184" t="s">
        <v>0</v>
      </c>
      <c r="BD177" s="1185" t="s">
        <v>0</v>
      </c>
    </row>
    <row r="178" spans="4:58" ht="15.75" thickBot="1" x14ac:dyDescent="0.3">
      <c r="D178" s="1182">
        <v>9.75</v>
      </c>
      <c r="E178" s="1183">
        <v>106</v>
      </c>
      <c r="F178" s="1189">
        <f>+$M$42</f>
        <v>3.011666666666666E-2</v>
      </c>
      <c r="G178" s="1202">
        <f t="shared" si="47"/>
        <v>79.371270149432917</v>
      </c>
      <c r="K178" s="1175">
        <v>9.75</v>
      </c>
      <c r="L178" s="1176" t="s">
        <v>0</v>
      </c>
      <c r="M178" s="1186" t="s">
        <v>0</v>
      </c>
      <c r="N178" s="1187" t="s">
        <v>0</v>
      </c>
      <c r="R178" s="1182">
        <v>9.75</v>
      </c>
      <c r="S178" s="1183">
        <v>4</v>
      </c>
      <c r="T178" s="1189">
        <f>+$M$42</f>
        <v>3.011666666666666E-2</v>
      </c>
      <c r="U178" s="1185">
        <f t="shared" si="49"/>
        <v>2.9951422697899215</v>
      </c>
      <c r="Y178" s="1175">
        <v>9.75</v>
      </c>
      <c r="Z178" s="1176" t="s">
        <v>0</v>
      </c>
      <c r="AA178" s="1186" t="s">
        <v>0</v>
      </c>
      <c r="AB178" s="1187" t="s">
        <v>0</v>
      </c>
      <c r="AF178" s="1175">
        <v>9.75</v>
      </c>
      <c r="AG178" s="1176" t="s">
        <v>0</v>
      </c>
      <c r="AH178" s="1186" t="s">
        <v>0</v>
      </c>
      <c r="AI178" s="1187" t="s">
        <v>0</v>
      </c>
      <c r="AM178" s="1175">
        <v>9.75</v>
      </c>
      <c r="AN178" s="1176">
        <v>5.5</v>
      </c>
      <c r="AO178" s="1189">
        <f>+$M$42</f>
        <v>3.011666666666666E-2</v>
      </c>
      <c r="AP178" s="1187">
        <f t="shared" si="52"/>
        <v>4.1183206209611418</v>
      </c>
      <c r="AT178" s="1175">
        <v>9.75</v>
      </c>
      <c r="AU178" s="1176">
        <v>3</v>
      </c>
      <c r="AV178" s="1189">
        <f>+$M$42</f>
        <v>3.011666666666666E-2</v>
      </c>
      <c r="AW178" s="1187">
        <f t="shared" si="53"/>
        <v>2.2463567023424411</v>
      </c>
      <c r="BA178" s="1175">
        <v>9.75</v>
      </c>
      <c r="BB178" s="1176" t="s">
        <v>0</v>
      </c>
      <c r="BC178" s="1186" t="s">
        <v>0</v>
      </c>
      <c r="BD178" s="1187" t="s">
        <v>0</v>
      </c>
    </row>
    <row r="179" spans="4:58" x14ac:dyDescent="0.25">
      <c r="D179" s="1178">
        <v>10.75</v>
      </c>
      <c r="E179" s="1179"/>
      <c r="F179" s="1180" t="s">
        <v>0</v>
      </c>
      <c r="G179" s="1181"/>
      <c r="K179" s="1178">
        <v>10.75</v>
      </c>
      <c r="L179" s="1179" t="s">
        <v>0</v>
      </c>
      <c r="M179" s="1180" t="s">
        <v>0</v>
      </c>
      <c r="N179" s="1181"/>
      <c r="R179" s="1178">
        <v>10.75</v>
      </c>
      <c r="S179" s="1179">
        <v>4</v>
      </c>
      <c r="T179" s="1188">
        <f>+$M$46</f>
        <v>3.0283333333333329E-2</v>
      </c>
      <c r="U179" s="1181">
        <f t="shared" si="49"/>
        <v>2.9025234794080781</v>
      </c>
      <c r="Y179" s="1178">
        <v>10.75</v>
      </c>
      <c r="Z179" s="1179" t="s">
        <v>0</v>
      </c>
      <c r="AA179" s="1180" t="s">
        <v>0</v>
      </c>
      <c r="AB179" s="1181" t="s">
        <v>0</v>
      </c>
      <c r="AF179" s="1178">
        <v>10.75</v>
      </c>
      <c r="AG179" s="1179" t="s">
        <v>0</v>
      </c>
      <c r="AH179" s="1180" t="s">
        <v>0</v>
      </c>
      <c r="AI179" s="1181" t="s">
        <v>99</v>
      </c>
      <c r="AM179" s="1178">
        <v>10.75</v>
      </c>
      <c r="AN179" s="1179">
        <v>5.5</v>
      </c>
      <c r="AO179" s="1188">
        <f>+$M$46</f>
        <v>3.0283333333333329E-2</v>
      </c>
      <c r="AP179" s="1181">
        <f t="shared" si="52"/>
        <v>3.9909697841861074</v>
      </c>
      <c r="AT179" s="1178">
        <v>10.75</v>
      </c>
      <c r="AU179" s="1179">
        <v>3</v>
      </c>
      <c r="AV179" s="1188">
        <f>+$M$46</f>
        <v>3.0283333333333329E-2</v>
      </c>
      <c r="AW179" s="1181">
        <f t="shared" si="53"/>
        <v>2.1768926095560586</v>
      </c>
      <c r="BA179" s="1178">
        <v>10.75</v>
      </c>
      <c r="BB179" s="1179" t="s">
        <v>0</v>
      </c>
      <c r="BC179" s="1180" t="s">
        <v>0</v>
      </c>
      <c r="BD179" s="1181" t="s">
        <v>0</v>
      </c>
    </row>
    <row r="180" spans="4:58" x14ac:dyDescent="0.25">
      <c r="D180" s="1182">
        <v>11.75</v>
      </c>
      <c r="E180" s="1183"/>
      <c r="F180" s="1184" t="s">
        <v>0</v>
      </c>
      <c r="G180" s="1185"/>
      <c r="K180" s="1182">
        <v>11.75</v>
      </c>
      <c r="L180" s="1183"/>
      <c r="M180" s="1184" t="s">
        <v>0</v>
      </c>
      <c r="N180" s="1185"/>
      <c r="R180" s="1182">
        <v>11.75</v>
      </c>
      <c r="S180" s="1183">
        <v>4</v>
      </c>
      <c r="T180" s="1189">
        <f>+$M$50</f>
        <v>3.0508333333333328E-2</v>
      </c>
      <c r="U180" s="1185">
        <f t="shared" si="49"/>
        <v>2.809989978758749</v>
      </c>
      <c r="Y180" s="1182">
        <v>11.75</v>
      </c>
      <c r="Z180" s="1183" t="s">
        <v>0</v>
      </c>
      <c r="AA180" s="1184" t="s">
        <v>0</v>
      </c>
      <c r="AB180" s="1185" t="s">
        <v>0</v>
      </c>
      <c r="AF180" s="1182">
        <v>11.75</v>
      </c>
      <c r="AG180" s="1183" t="s">
        <v>0</v>
      </c>
      <c r="AH180" s="1184" t="s">
        <v>0</v>
      </c>
      <c r="AI180" s="1185" t="s">
        <v>0</v>
      </c>
      <c r="AM180" s="1182">
        <v>11.75</v>
      </c>
      <c r="AN180" s="1183">
        <v>105.5</v>
      </c>
      <c r="AO180" s="1189">
        <f>+$M$50</f>
        <v>3.0508333333333328E-2</v>
      </c>
      <c r="AP180" s="1185">
        <f t="shared" si="52"/>
        <v>74.113485689762001</v>
      </c>
      <c r="AT180" s="1182">
        <v>11.75</v>
      </c>
      <c r="AU180" s="1183">
        <v>3</v>
      </c>
      <c r="AV180" s="1189">
        <f>+$M$50</f>
        <v>3.0508333333333328E-2</v>
      </c>
      <c r="AW180" s="1185">
        <f t="shared" si="53"/>
        <v>2.1074924840690619</v>
      </c>
      <c r="BA180" s="1182">
        <v>11.75</v>
      </c>
      <c r="BB180" s="1183" t="s">
        <v>99</v>
      </c>
      <c r="BC180" s="1184" t="s">
        <v>0</v>
      </c>
      <c r="BD180" s="1185" t="s">
        <v>0</v>
      </c>
    </row>
    <row r="181" spans="4:58" x14ac:dyDescent="0.25">
      <c r="D181" s="1182">
        <v>12.75</v>
      </c>
      <c r="E181" s="1183"/>
      <c r="F181" s="1184" t="s">
        <v>0</v>
      </c>
      <c r="G181" s="1185"/>
      <c r="K181" s="1182">
        <v>12.75</v>
      </c>
      <c r="L181" s="1183"/>
      <c r="M181" s="1184" t="s">
        <v>0</v>
      </c>
      <c r="N181" s="1185"/>
      <c r="R181" s="1182">
        <v>12.75</v>
      </c>
      <c r="S181" s="1183">
        <v>4</v>
      </c>
      <c r="T181" s="1189">
        <f>+$M$54</f>
        <v>3.0808333333333333E-2</v>
      </c>
      <c r="U181" s="1185">
        <f t="shared" si="49"/>
        <v>2.7166988600925723</v>
      </c>
      <c r="Y181" s="1182">
        <v>12.75</v>
      </c>
      <c r="Z181" s="1183" t="s">
        <v>0</v>
      </c>
      <c r="AA181" s="1184" t="s">
        <v>0</v>
      </c>
      <c r="AB181" s="1185" t="s">
        <v>0</v>
      </c>
      <c r="AF181" s="1182">
        <v>12.75</v>
      </c>
      <c r="AG181" s="1183" t="s">
        <v>99</v>
      </c>
      <c r="AH181" s="1184" t="s">
        <v>0</v>
      </c>
      <c r="AI181" s="1185" t="s">
        <v>0</v>
      </c>
      <c r="AM181" s="1182">
        <v>12.75</v>
      </c>
      <c r="AN181" s="1183" t="s">
        <v>0</v>
      </c>
      <c r="AO181" s="1184" t="s">
        <v>0</v>
      </c>
      <c r="AP181" s="1185" t="s">
        <v>0</v>
      </c>
      <c r="AT181" s="1182">
        <v>12.75</v>
      </c>
      <c r="AU181" s="1183">
        <v>3</v>
      </c>
      <c r="AV181" s="1189">
        <f>+$M$54</f>
        <v>3.0808333333333333E-2</v>
      </c>
      <c r="AW181" s="1185">
        <f t="shared" si="53"/>
        <v>2.0375241450694292</v>
      </c>
      <c r="BA181" s="1182">
        <v>12.75</v>
      </c>
      <c r="BB181" s="1183" t="s">
        <v>0</v>
      </c>
      <c r="BC181" s="1184" t="s">
        <v>0</v>
      </c>
      <c r="BD181" s="1185" t="s">
        <v>0</v>
      </c>
    </row>
    <row r="182" spans="4:58" x14ac:dyDescent="0.25">
      <c r="D182" s="1182">
        <v>13.75</v>
      </c>
      <c r="E182" s="1183"/>
      <c r="F182" s="1184" t="s">
        <v>0</v>
      </c>
      <c r="G182" s="1185"/>
      <c r="K182" s="1182">
        <v>13.75</v>
      </c>
      <c r="L182" s="1183"/>
      <c r="M182" s="1184" t="s">
        <v>0</v>
      </c>
      <c r="N182" s="1185"/>
      <c r="R182" s="1182">
        <v>13.75</v>
      </c>
      <c r="S182" s="1183">
        <v>4</v>
      </c>
      <c r="T182" s="1189">
        <f>+$M$58</f>
        <v>3.1233333333333335E-2</v>
      </c>
      <c r="U182" s="1185">
        <f t="shared" si="49"/>
        <v>2.6206078075171426</v>
      </c>
      <c r="Y182" s="1182">
        <v>13.75</v>
      </c>
      <c r="Z182" s="1183" t="s">
        <v>0</v>
      </c>
      <c r="AA182" s="1184" t="s">
        <v>99</v>
      </c>
      <c r="AB182" s="1185" t="s">
        <v>0</v>
      </c>
      <c r="AF182" s="1182">
        <v>13.75</v>
      </c>
      <c r="AG182" s="1183" t="s">
        <v>0</v>
      </c>
      <c r="AH182" s="1184" t="s">
        <v>0</v>
      </c>
      <c r="AI182" s="1185" t="s">
        <v>0</v>
      </c>
      <c r="AM182" s="1182">
        <v>13.75</v>
      </c>
      <c r="AN182" s="1183" t="s">
        <v>0</v>
      </c>
      <c r="AO182" s="1184" t="s">
        <v>0</v>
      </c>
      <c r="AP182" s="1185" t="s">
        <v>0</v>
      </c>
      <c r="AT182" s="1182">
        <v>13.75</v>
      </c>
      <c r="AU182" s="1183">
        <v>103</v>
      </c>
      <c r="AV182" s="1189">
        <f>+$M$58</f>
        <v>3.1233333333333335E-2</v>
      </c>
      <c r="AW182" s="1185">
        <f t="shared" si="53"/>
        <v>67.480651043566411</v>
      </c>
      <c r="BA182" s="1182">
        <v>13.75</v>
      </c>
      <c r="BB182" s="1183" t="s">
        <v>0</v>
      </c>
      <c r="BC182" s="1184" t="s">
        <v>99</v>
      </c>
      <c r="BD182" s="1185" t="s">
        <v>0</v>
      </c>
    </row>
    <row r="183" spans="4:58" ht="15.75" thickBot="1" x14ac:dyDescent="0.3">
      <c r="D183" s="1182">
        <v>14.75</v>
      </c>
      <c r="E183" s="1183"/>
      <c r="F183" s="1184" t="s">
        <v>0</v>
      </c>
      <c r="G183" s="1185"/>
      <c r="K183" s="1182">
        <v>14.75</v>
      </c>
      <c r="L183" s="1183"/>
      <c r="M183" s="1184" t="s">
        <v>0</v>
      </c>
      <c r="N183" s="1185"/>
      <c r="R183" s="1182">
        <v>14.75</v>
      </c>
      <c r="S183" s="1183">
        <v>104</v>
      </c>
      <c r="T183" s="1189">
        <f>+$M$62</f>
        <v>3.1533333333333344E-2</v>
      </c>
      <c r="U183" s="1185">
        <f t="shared" si="49"/>
        <v>65.789283818228839</v>
      </c>
      <c r="Y183" s="1182">
        <v>14.75</v>
      </c>
      <c r="Z183" s="1183" t="s">
        <v>0</v>
      </c>
      <c r="AA183" s="1184" t="s">
        <v>0</v>
      </c>
      <c r="AB183" s="1185" t="s">
        <v>0</v>
      </c>
      <c r="AF183" s="1182">
        <v>14.75</v>
      </c>
      <c r="AG183" s="1183" t="s">
        <v>0</v>
      </c>
      <c r="AH183" s="1184" t="s">
        <v>0</v>
      </c>
      <c r="AI183" s="1185" t="s">
        <v>0</v>
      </c>
      <c r="AM183" s="1182">
        <v>14.75</v>
      </c>
      <c r="AN183" s="1183" t="s">
        <v>0</v>
      </c>
      <c r="AO183" s="1184" t="s">
        <v>0</v>
      </c>
      <c r="AP183" s="1185" t="s">
        <v>0</v>
      </c>
      <c r="AT183" s="1182">
        <v>14.75</v>
      </c>
      <c r="AU183" s="1183">
        <v>0</v>
      </c>
      <c r="AV183" s="1184">
        <f>+$BD36</f>
        <v>0</v>
      </c>
      <c r="AW183" s="1185">
        <f t="shared" si="53"/>
        <v>0</v>
      </c>
      <c r="BA183" s="1182">
        <v>14.75</v>
      </c>
      <c r="BB183" s="1183" t="s">
        <v>0</v>
      </c>
      <c r="BC183" s="1184" t="s">
        <v>0</v>
      </c>
      <c r="BD183" s="1185" t="s">
        <v>0</v>
      </c>
    </row>
    <row r="184" spans="4:58" ht="15.75" thickBot="1" x14ac:dyDescent="0.3">
      <c r="D184" s="1182"/>
      <c r="E184" s="1183"/>
      <c r="F184" s="1184"/>
      <c r="G184" s="1185"/>
      <c r="H184" s="1412" t="s">
        <v>1191</v>
      </c>
      <c r="I184" s="1413"/>
      <c r="K184" s="1182"/>
      <c r="L184" s="1183"/>
      <c r="M184" s="1184"/>
      <c r="N184" s="1185"/>
      <c r="R184" s="1182"/>
      <c r="S184" s="1183"/>
      <c r="T184" s="1184"/>
      <c r="U184" s="1185"/>
      <c r="Y184" s="1182"/>
      <c r="Z184" s="1183"/>
      <c r="AA184" s="1184"/>
      <c r="AB184" s="1185"/>
      <c r="AF184" s="1182"/>
      <c r="AG184" s="1183"/>
      <c r="AH184" s="1184"/>
      <c r="AI184" s="1185"/>
      <c r="AM184" s="1182"/>
      <c r="AN184" s="1183" t="s">
        <v>0</v>
      </c>
      <c r="AO184" s="1184"/>
      <c r="AP184" s="1185"/>
      <c r="AT184" s="1182"/>
      <c r="AU184" s="1183"/>
      <c r="AV184" s="1184"/>
      <c r="AW184" s="1185"/>
      <c r="BA184" s="1182"/>
      <c r="BB184" s="1183"/>
      <c r="BC184" s="1184"/>
      <c r="BD184" s="1185"/>
    </row>
    <row r="185" spans="4:58" ht="15.75" thickBot="1" x14ac:dyDescent="0.3">
      <c r="D185" s="1175"/>
      <c r="E185" s="1191" t="s">
        <v>0</v>
      </c>
      <c r="F185" s="1192" t="s">
        <v>16</v>
      </c>
      <c r="G185" s="1193">
        <f>SUM(G169:G183)</f>
        <v>127.34106190057878</v>
      </c>
      <c r="H185" s="1410" t="s">
        <v>790</v>
      </c>
      <c r="I185" s="1411">
        <f>+(G185-G162)/G$93</f>
        <v>-8.5817188237353442E-3</v>
      </c>
      <c r="K185" s="1175"/>
      <c r="L185" s="1191" t="s">
        <v>0</v>
      </c>
      <c r="M185" s="1192" t="s">
        <v>16</v>
      </c>
      <c r="N185" s="1193">
        <f>SUM(N169:N183)</f>
        <v>110.88371494344089</v>
      </c>
      <c r="O185" s="1410" t="s">
        <v>790</v>
      </c>
      <c r="P185" s="1414">
        <f>+(N185-N162)/N$93</f>
        <v>-1.1421136280861349E-3</v>
      </c>
      <c r="R185" s="1175"/>
      <c r="S185" s="1191" t="s">
        <v>0</v>
      </c>
      <c r="T185" s="1192" t="s">
        <v>16</v>
      </c>
      <c r="U185" s="1193">
        <f>SUM(U169:U183)</f>
        <v>111.81410738122588</v>
      </c>
      <c r="V185" s="1410" t="s">
        <v>790</v>
      </c>
      <c r="W185" s="1411">
        <f>+(U185-U162)/U$93</f>
        <v>4.5515060222649359E-4</v>
      </c>
      <c r="Y185" s="1175"/>
      <c r="Z185" s="1191" t="s">
        <v>0</v>
      </c>
      <c r="AA185" s="1192" t="s">
        <v>16</v>
      </c>
      <c r="AB185" s="1193">
        <f>SUM(AB169:AB183)</f>
        <v>103.37485389336564</v>
      </c>
      <c r="AC185" s="1410" t="s">
        <v>790</v>
      </c>
      <c r="AD185" s="1411">
        <f>+(AB185-AB162)/AB$93</f>
        <v>8.9684068832856763E-6</v>
      </c>
      <c r="AF185" s="1175"/>
      <c r="AG185" s="1191" t="s">
        <v>0</v>
      </c>
      <c r="AH185" s="1192" t="s">
        <v>16</v>
      </c>
      <c r="AI185" s="1193">
        <f>SUM(AI169:AI183)</f>
        <v>115.2652209710879</v>
      </c>
      <c r="AJ185" s="1410" t="s">
        <v>790</v>
      </c>
      <c r="AK185" s="1411">
        <f>+(AI185-AI162)/AI$93</f>
        <v>-9.9586774864538867E-3</v>
      </c>
      <c r="AM185" s="1175"/>
      <c r="AN185" s="1191" t="s">
        <v>0</v>
      </c>
      <c r="AO185" s="1192" t="s">
        <v>16</v>
      </c>
      <c r="AP185" s="1193">
        <f>SUM(AP169:AP183)</f>
        <v>126.1950852001263</v>
      </c>
      <c r="AQ185" s="1410" t="s">
        <v>790</v>
      </c>
      <c r="AR185" s="1411">
        <f>+(AP185-AP162)/AP$93</f>
        <v>-4.1374860875393413E-3</v>
      </c>
      <c r="AT185" s="1175"/>
      <c r="AU185" s="1191" t="s">
        <v>0</v>
      </c>
      <c r="AV185" s="1192" t="s">
        <v>16</v>
      </c>
      <c r="AW185" s="1193">
        <f>SUM(AW169:AW183)</f>
        <v>100.03381286017634</v>
      </c>
      <c r="AX185" s="1410" t="s">
        <v>790</v>
      </c>
      <c r="AY185" s="1411">
        <f>+(AW185-AW162)/AW$93</f>
        <v>-7.7144469748308597E-4</v>
      </c>
      <c r="BA185" s="1175"/>
      <c r="BB185" s="1191" t="s">
        <v>0</v>
      </c>
      <c r="BC185" s="1192" t="s">
        <v>16</v>
      </c>
      <c r="BD185" s="1193">
        <f>SUM(BD169:BD183)</f>
        <v>123.51280352047188</v>
      </c>
      <c r="BE185" s="1410" t="s">
        <v>790</v>
      </c>
      <c r="BF185" s="1411">
        <f>+(BD185-BD162)/BD$93</f>
        <v>-9.3859487390255316E-3</v>
      </c>
    </row>
    <row r="188" spans="4:58" ht="15.75" thickBot="1" x14ac:dyDescent="0.3">
      <c r="E188" t="s">
        <v>0</v>
      </c>
    </row>
    <row r="189" spans="4:58" ht="26.25" thickBot="1" x14ac:dyDescent="0.3">
      <c r="BA189" s="1169" t="s">
        <v>101</v>
      </c>
      <c r="BB189" s="1170" t="s">
        <v>949</v>
      </c>
      <c r="BC189" s="1170" t="s">
        <v>950</v>
      </c>
      <c r="BD189" s="1171" t="s">
        <v>951</v>
      </c>
    </row>
    <row r="190" spans="4:58" ht="15.75" thickBot="1" x14ac:dyDescent="0.3">
      <c r="E190" s="1203" t="s">
        <v>962</v>
      </c>
      <c r="F190" s="1204"/>
      <c r="G190" s="1205">
        <f>+(G185-G93)/G93</f>
        <v>-4.9706099670660447E-2</v>
      </c>
      <c r="I190" s="1415">
        <f>+I116+I139+I162+I185</f>
        <v>-4.9706099670660378E-2</v>
      </c>
      <c r="L190" s="1203" t="s">
        <v>962</v>
      </c>
      <c r="M190" s="1204"/>
      <c r="N190" s="1205">
        <f>+(N185-N93)/N93</f>
        <v>-1.9401333896860763E-2</v>
      </c>
      <c r="P190" s="1415">
        <f>+P116+P139+P162+P185</f>
        <v>-1.9401333896860808E-2</v>
      </c>
      <c r="S190" s="1203" t="s">
        <v>962</v>
      </c>
      <c r="T190" s="1204"/>
      <c r="U190" s="1205">
        <f>+(U185-U93)/U93</f>
        <v>-6.9406339085713059E-2</v>
      </c>
      <c r="W190" s="1415">
        <f>+W116+W139+W162+W185</f>
        <v>-6.9406339085713101E-2</v>
      </c>
      <c r="Z190" s="1203" t="s">
        <v>962</v>
      </c>
      <c r="AA190" s="1204"/>
      <c r="AB190" s="1205">
        <f>+(AB185-AB93)/AB93</f>
        <v>-9.1911146010225965E-3</v>
      </c>
      <c r="AD190" s="1415">
        <f>+AD116+AD139+AD162+AD185</f>
        <v>-9.1911146010225219E-3</v>
      </c>
      <c r="AG190" s="1203" t="s">
        <v>962</v>
      </c>
      <c r="AH190" s="1204"/>
      <c r="AI190" s="1205">
        <f>+(AI185-AI93)/AI93</f>
        <v>-3.7252122098181337E-2</v>
      </c>
      <c r="AK190" s="1415">
        <f>+AK116+AK139+AK162+AK185</f>
        <v>-3.7252122098181434E-2</v>
      </c>
      <c r="AN190" s="1203" t="s">
        <v>962</v>
      </c>
      <c r="AO190" s="1204"/>
      <c r="AP190" s="1205">
        <f>+(AP185-AP93)/AP93</f>
        <v>-5.5634825021991248E-2</v>
      </c>
      <c r="AR190" s="1415">
        <f>+AR116+AR139+AR162+AR185</f>
        <v>-5.5634825021991283E-2</v>
      </c>
      <c r="AU190" s="1203" t="s">
        <v>962</v>
      </c>
      <c r="AV190" s="1204"/>
      <c r="AW190" s="1205">
        <f>+(AW185-AW93)/AW93</f>
        <v>-6.8789385012323762E-2</v>
      </c>
      <c r="AY190" s="1415">
        <f>+AY116+AY139+AY162+AY185</f>
        <v>-6.8789385012323817E-2</v>
      </c>
      <c r="BA190" s="1172"/>
      <c r="BB190" s="1173"/>
      <c r="BC190" s="1173"/>
      <c r="BD190" s="1174"/>
    </row>
    <row r="191" spans="4:58" ht="15.75" thickBot="1" x14ac:dyDescent="0.3">
      <c r="E191" s="1206" t="s">
        <v>963</v>
      </c>
      <c r="F191" s="1207"/>
      <c r="G191" s="1208">
        <f>E169/G93/4</f>
        <v>1.1193882234207524E-2</v>
      </c>
      <c r="L191" s="1206" t="s">
        <v>963</v>
      </c>
      <c r="M191" s="1207"/>
      <c r="N191" s="1208">
        <f>L169/N93/4</f>
        <v>9.948922616172572E-3</v>
      </c>
      <c r="S191" s="1206" t="s">
        <v>963</v>
      </c>
      <c r="T191" s="1207"/>
      <c r="U191" s="1208">
        <f>S169/U93/4</f>
        <v>8.3226855958476141E-3</v>
      </c>
      <c r="Z191" s="1206" t="s">
        <v>963</v>
      </c>
      <c r="AA191" s="1207"/>
      <c r="AB191" s="1208">
        <f>Z169/AB93/4</f>
        <v>7.1884664022429535E-3</v>
      </c>
      <c r="AG191" s="1206" t="s">
        <v>963</v>
      </c>
      <c r="AH191" s="1207"/>
      <c r="AI191" s="1208">
        <f>AG169/AI93/4</f>
        <v>1.044057207576197E-2</v>
      </c>
      <c r="AN191" s="1206" t="s">
        <v>963</v>
      </c>
      <c r="AO191" s="1207"/>
      <c r="AP191" s="1208">
        <f>AN169/AP93/4</f>
        <v>1.0289640943904704E-2</v>
      </c>
      <c r="AU191" s="1206" t="s">
        <v>963</v>
      </c>
      <c r="AV191" s="1207"/>
      <c r="AW191" s="1208">
        <f>AU169/AW93/4</f>
        <v>6.9817188935601873E-3</v>
      </c>
      <c r="BA191" s="1175"/>
      <c r="BB191" s="1015"/>
      <c r="BC191" s="1176"/>
      <c r="BD191" s="1177" t="s">
        <v>0</v>
      </c>
    </row>
    <row r="192" spans="4:58" ht="15.75" thickBot="1" x14ac:dyDescent="0.3">
      <c r="E192" s="1209" t="s">
        <v>964</v>
      </c>
      <c r="F192" s="1210"/>
      <c r="G192" s="1211">
        <f>SUM(G190:G191)</f>
        <v>-3.8512217436452924E-2</v>
      </c>
      <c r="L192" s="1209" t="s">
        <v>964</v>
      </c>
      <c r="M192" s="1210"/>
      <c r="N192" s="1211">
        <f>SUM(N190:N191)</f>
        <v>-9.4524112806881905E-3</v>
      </c>
      <c r="S192" s="1209" t="s">
        <v>964</v>
      </c>
      <c r="T192" s="1210"/>
      <c r="U192" s="1211">
        <f>SUM(U190:U191)</f>
        <v>-6.1083653489865442E-2</v>
      </c>
      <c r="Z192" s="1209" t="s">
        <v>964</v>
      </c>
      <c r="AA192" s="1210"/>
      <c r="AB192" s="1211">
        <f>SUM(AB190:AB191)</f>
        <v>-2.002648198779643E-3</v>
      </c>
      <c r="AG192" s="1209" t="s">
        <v>964</v>
      </c>
      <c r="AH192" s="1210"/>
      <c r="AI192" s="1211">
        <f>SUM(AI190:AI191)</f>
        <v>-2.6811550022419368E-2</v>
      </c>
      <c r="AN192" s="1209" t="s">
        <v>964</v>
      </c>
      <c r="AO192" s="1210"/>
      <c r="AP192" s="1211">
        <f>SUM(AP190:AP191)</f>
        <v>-4.5345184078086548E-2</v>
      </c>
      <c r="AU192" s="1209" t="s">
        <v>964</v>
      </c>
      <c r="AV192" s="1210"/>
      <c r="AW192" s="1211">
        <f>SUM(AW190:AW191)</f>
        <v>-6.1807666118763573E-2</v>
      </c>
      <c r="BA192" s="1178">
        <v>0.75</v>
      </c>
      <c r="BB192" s="1179">
        <v>6.5</v>
      </c>
      <c r="BC192" s="1188">
        <f>+$M$6+$O$68</f>
        <v>2.0299999999999999E-2</v>
      </c>
      <c r="BD192" s="1181">
        <f t="shared" ref="BD192:BD198" si="55">+BB192/(1+BC192)^BA192</f>
        <v>6.402763222018053</v>
      </c>
    </row>
    <row r="193" spans="53:58" x14ac:dyDescent="0.25">
      <c r="BA193" s="1182">
        <v>1.75</v>
      </c>
      <c r="BB193" s="1183">
        <v>6.5</v>
      </c>
      <c r="BC193" s="1189">
        <f>+$M$10+$O$68</f>
        <v>2.1524999999999999E-2</v>
      </c>
      <c r="BD193" s="1185">
        <f t="shared" si="55"/>
        <v>6.262209709227851</v>
      </c>
    </row>
    <row r="194" spans="53:58" x14ac:dyDescent="0.25">
      <c r="BA194" s="1182">
        <v>2.75</v>
      </c>
      <c r="BB194" s="1183">
        <v>6.5</v>
      </c>
      <c r="BC194" s="1189">
        <f>+$M$14+$O$68</f>
        <v>2.3124999999999996E-2</v>
      </c>
      <c r="BD194" s="1185">
        <f t="shared" si="55"/>
        <v>6.1039285395197354</v>
      </c>
    </row>
    <row r="195" spans="53:58" x14ac:dyDescent="0.25">
      <c r="BA195" s="1182">
        <v>3.75</v>
      </c>
      <c r="BB195" s="1183">
        <v>6.5</v>
      </c>
      <c r="BC195" s="1189">
        <f>+$M$18+$O$68</f>
        <v>2.4624999999999998E-2</v>
      </c>
      <c r="BD195" s="1185">
        <f t="shared" si="55"/>
        <v>5.9332794191891125</v>
      </c>
    </row>
    <row r="196" spans="53:58" x14ac:dyDescent="0.25">
      <c r="BA196" s="1182">
        <v>4.75</v>
      </c>
      <c r="BB196" s="1183">
        <v>6.5</v>
      </c>
      <c r="BC196" s="1189">
        <f>+$M$22+$O$68</f>
        <v>2.6299999999999997E-2</v>
      </c>
      <c r="BD196" s="1185">
        <f t="shared" si="55"/>
        <v>5.7459295166303956</v>
      </c>
    </row>
    <row r="197" spans="53:58" x14ac:dyDescent="0.25">
      <c r="BA197" s="1182">
        <v>5.75</v>
      </c>
      <c r="BB197" s="1183">
        <v>6.5</v>
      </c>
      <c r="BC197" s="1189">
        <f>+$M$26+$O$68</f>
        <v>2.8633333333333327E-2</v>
      </c>
      <c r="BD197" s="1185">
        <f t="shared" si="55"/>
        <v>5.5260516873545811</v>
      </c>
    </row>
    <row r="198" spans="53:58" x14ac:dyDescent="0.25">
      <c r="BA198" s="1182">
        <v>6.75</v>
      </c>
      <c r="BB198" s="1183">
        <v>106.5</v>
      </c>
      <c r="BC198" s="1189">
        <f>+$M$30+$O$68</f>
        <v>3.0666666666666658E-2</v>
      </c>
      <c r="BD198" s="1185">
        <f t="shared" si="55"/>
        <v>86.85634536921637</v>
      </c>
    </row>
    <row r="199" spans="53:58" x14ac:dyDescent="0.25">
      <c r="BA199" s="1182">
        <v>7.75</v>
      </c>
      <c r="BB199" s="1183" t="s">
        <v>0</v>
      </c>
      <c r="BC199" s="1184" t="s">
        <v>0</v>
      </c>
      <c r="BD199" s="1185" t="s">
        <v>0</v>
      </c>
    </row>
    <row r="200" spans="53:58" x14ac:dyDescent="0.25">
      <c r="BA200" s="1182">
        <v>8.75</v>
      </c>
      <c r="BB200" s="1183" t="s">
        <v>0</v>
      </c>
      <c r="BC200" s="1184" t="s">
        <v>0</v>
      </c>
      <c r="BD200" s="1185" t="s">
        <v>0</v>
      </c>
    </row>
    <row r="201" spans="53:58" ht="15.75" thickBot="1" x14ac:dyDescent="0.3">
      <c r="BA201" s="1175">
        <v>9.75</v>
      </c>
      <c r="BB201" s="1176" t="s">
        <v>0</v>
      </c>
      <c r="BC201" s="1186" t="s">
        <v>0</v>
      </c>
      <c r="BD201" s="1187" t="s">
        <v>0</v>
      </c>
    </row>
    <row r="202" spans="53:58" x14ac:dyDescent="0.25">
      <c r="BA202" s="1178">
        <v>10.75</v>
      </c>
      <c r="BB202" s="1179" t="s">
        <v>0</v>
      </c>
      <c r="BC202" s="1180" t="s">
        <v>0</v>
      </c>
      <c r="BD202" s="1181" t="s">
        <v>0</v>
      </c>
    </row>
    <row r="203" spans="53:58" x14ac:dyDescent="0.25">
      <c r="BA203" s="1182">
        <v>11.75</v>
      </c>
      <c r="BB203" s="1183" t="s">
        <v>0</v>
      </c>
      <c r="BC203" s="1184" t="s">
        <v>0</v>
      </c>
      <c r="BD203" s="1185" t="s">
        <v>0</v>
      </c>
    </row>
    <row r="204" spans="53:58" x14ac:dyDescent="0.25">
      <c r="BA204" s="1182">
        <v>12.75</v>
      </c>
      <c r="BB204" s="1183" t="s">
        <v>99</v>
      </c>
      <c r="BC204" s="1184" t="s">
        <v>99</v>
      </c>
      <c r="BD204" s="1185" t="s">
        <v>0</v>
      </c>
    </row>
    <row r="205" spans="53:58" x14ac:dyDescent="0.25">
      <c r="BA205" s="1182">
        <v>13.75</v>
      </c>
      <c r="BB205" s="1183" t="s">
        <v>0</v>
      </c>
      <c r="BC205" s="1184" t="s">
        <v>0</v>
      </c>
      <c r="BD205" s="1185" t="s">
        <v>0</v>
      </c>
    </row>
    <row r="206" spans="53:58" x14ac:dyDescent="0.25">
      <c r="BA206" s="1182">
        <v>14.75</v>
      </c>
      <c r="BB206" s="1183" t="s">
        <v>0</v>
      </c>
      <c r="BC206" s="1184" t="s">
        <v>0</v>
      </c>
      <c r="BD206" s="1185" t="s">
        <v>0</v>
      </c>
    </row>
    <row r="207" spans="53:58" ht="15.75" thickBot="1" x14ac:dyDescent="0.3">
      <c r="BA207" s="1182"/>
      <c r="BB207" s="1183"/>
      <c r="BC207" s="1184"/>
      <c r="BD207" s="1185"/>
    </row>
    <row r="208" spans="53:58" ht="15.75" thickBot="1" x14ac:dyDescent="0.3">
      <c r="BA208" s="1175"/>
      <c r="BB208" s="1191" t="s">
        <v>0</v>
      </c>
      <c r="BC208" s="1192" t="s">
        <v>16</v>
      </c>
      <c r="BD208" s="1193">
        <f>SUM(BD192:BD206)</f>
        <v>122.8305074631561</v>
      </c>
      <c r="BE208" s="1410" t="s">
        <v>788</v>
      </c>
      <c r="BF208" s="1411">
        <f>+(BD208-BD185)/BD$93</f>
        <v>-5.3297954237115979E-3</v>
      </c>
    </row>
    <row r="212" spans="54:58" ht="15.75" thickBot="1" x14ac:dyDescent="0.3"/>
    <row r="213" spans="54:58" ht="15.75" thickBot="1" x14ac:dyDescent="0.3">
      <c r="BB213" s="1203" t="s">
        <v>962</v>
      </c>
      <c r="BC213" s="1204"/>
      <c r="BD213" s="1205">
        <f>+(BD208-BD93)/BD93</f>
        <v>-4.0502330989857942E-2</v>
      </c>
      <c r="BF213" s="1415">
        <f>+BF116+BF139+BF162+BF185+BF208</f>
        <v>-4.050233098985799E-2</v>
      </c>
    </row>
    <row r="214" spans="54:58" x14ac:dyDescent="0.25">
      <c r="BB214" s="1206" t="s">
        <v>963</v>
      </c>
      <c r="BC214" s="1207"/>
      <c r="BD214" s="1208">
        <f>BB192/BD93/4</f>
        <v>1.2693782223517797E-2</v>
      </c>
    </row>
    <row r="215" spans="54:58" ht="15.75" thickBot="1" x14ac:dyDescent="0.3">
      <c r="BB215" s="1209" t="s">
        <v>964</v>
      </c>
      <c r="BC215" s="1210"/>
      <c r="BD215" s="1211">
        <f>SUM(BD213:BD214)</f>
        <v>-2.7808548766340146E-2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A73D-10F7-42D5-AC3E-47E791DF3139}">
  <dimension ref="B2:S157"/>
  <sheetViews>
    <sheetView topLeftCell="A121" workbookViewId="0">
      <selection activeCell="I154" sqref="I154"/>
    </sheetView>
  </sheetViews>
  <sheetFormatPr defaultRowHeight="12.75" x14ac:dyDescent="0.2"/>
  <cols>
    <col min="1" max="1" width="9.140625" style="556"/>
    <col min="2" max="2" width="15.7109375" style="556" customWidth="1"/>
    <col min="3" max="4" width="10.7109375" style="556" customWidth="1"/>
    <col min="5" max="5" width="2.7109375" style="556" customWidth="1"/>
    <col min="6" max="7" width="10.7109375" style="556" customWidth="1"/>
    <col min="8" max="9" width="9.140625" style="556"/>
    <col min="10" max="11" width="10.7109375" style="556" customWidth="1"/>
    <col min="12" max="13" width="9.140625" style="556"/>
    <col min="14" max="15" width="11.7109375" style="556" customWidth="1"/>
    <col min="16" max="16" width="9.28515625" style="556" bestFit="1" customWidth="1"/>
    <col min="17" max="17" width="9.140625" style="556"/>
    <col min="18" max="19" width="10.7109375" style="556" customWidth="1"/>
    <col min="20" max="257" width="9.140625" style="556"/>
    <col min="258" max="258" width="15.7109375" style="556" customWidth="1"/>
    <col min="259" max="260" width="10.7109375" style="556" customWidth="1"/>
    <col min="261" max="261" width="2.7109375" style="556" customWidth="1"/>
    <col min="262" max="263" width="10.7109375" style="556" customWidth="1"/>
    <col min="264" max="265" width="9.140625" style="556"/>
    <col min="266" max="267" width="10.7109375" style="556" customWidth="1"/>
    <col min="268" max="269" width="9.140625" style="556"/>
    <col min="270" max="271" width="11.7109375" style="556" customWidth="1"/>
    <col min="272" max="272" width="9.28515625" style="556" bestFit="1" customWidth="1"/>
    <col min="273" max="273" width="9.140625" style="556"/>
    <col min="274" max="275" width="10.7109375" style="556" customWidth="1"/>
    <col min="276" max="513" width="9.140625" style="556"/>
    <col min="514" max="514" width="15.7109375" style="556" customWidth="1"/>
    <col min="515" max="516" width="10.7109375" style="556" customWidth="1"/>
    <col min="517" max="517" width="2.7109375" style="556" customWidth="1"/>
    <col min="518" max="519" width="10.7109375" style="556" customWidth="1"/>
    <col min="520" max="521" width="9.140625" style="556"/>
    <col min="522" max="523" width="10.7109375" style="556" customWidth="1"/>
    <col min="524" max="525" width="9.140625" style="556"/>
    <col min="526" max="527" width="11.7109375" style="556" customWidth="1"/>
    <col min="528" max="528" width="9.28515625" style="556" bestFit="1" customWidth="1"/>
    <col min="529" max="529" width="9.140625" style="556"/>
    <col min="530" max="531" width="10.7109375" style="556" customWidth="1"/>
    <col min="532" max="769" width="9.140625" style="556"/>
    <col min="770" max="770" width="15.7109375" style="556" customWidth="1"/>
    <col min="771" max="772" width="10.7109375" style="556" customWidth="1"/>
    <col min="773" max="773" width="2.7109375" style="556" customWidth="1"/>
    <col min="774" max="775" width="10.7109375" style="556" customWidth="1"/>
    <col min="776" max="777" width="9.140625" style="556"/>
    <col min="778" max="779" width="10.7109375" style="556" customWidth="1"/>
    <col min="780" max="781" width="9.140625" style="556"/>
    <col min="782" max="783" width="11.7109375" style="556" customWidth="1"/>
    <col min="784" max="784" width="9.28515625" style="556" bestFit="1" customWidth="1"/>
    <col min="785" max="785" width="9.140625" style="556"/>
    <col min="786" max="787" width="10.7109375" style="556" customWidth="1"/>
    <col min="788" max="1025" width="9.140625" style="556"/>
    <col min="1026" max="1026" width="15.7109375" style="556" customWidth="1"/>
    <col min="1027" max="1028" width="10.7109375" style="556" customWidth="1"/>
    <col min="1029" max="1029" width="2.7109375" style="556" customWidth="1"/>
    <col min="1030" max="1031" width="10.7109375" style="556" customWidth="1"/>
    <col min="1032" max="1033" width="9.140625" style="556"/>
    <col min="1034" max="1035" width="10.7109375" style="556" customWidth="1"/>
    <col min="1036" max="1037" width="9.140625" style="556"/>
    <col min="1038" max="1039" width="11.7109375" style="556" customWidth="1"/>
    <col min="1040" max="1040" width="9.28515625" style="556" bestFit="1" customWidth="1"/>
    <col min="1041" max="1041" width="9.140625" style="556"/>
    <col min="1042" max="1043" width="10.7109375" style="556" customWidth="1"/>
    <col min="1044" max="1281" width="9.140625" style="556"/>
    <col min="1282" max="1282" width="15.7109375" style="556" customWidth="1"/>
    <col min="1283" max="1284" width="10.7109375" style="556" customWidth="1"/>
    <col min="1285" max="1285" width="2.7109375" style="556" customWidth="1"/>
    <col min="1286" max="1287" width="10.7109375" style="556" customWidth="1"/>
    <col min="1288" max="1289" width="9.140625" style="556"/>
    <col min="1290" max="1291" width="10.7109375" style="556" customWidth="1"/>
    <col min="1292" max="1293" width="9.140625" style="556"/>
    <col min="1294" max="1295" width="11.7109375" style="556" customWidth="1"/>
    <col min="1296" max="1296" width="9.28515625" style="556" bestFit="1" customWidth="1"/>
    <col min="1297" max="1297" width="9.140625" style="556"/>
    <col min="1298" max="1299" width="10.7109375" style="556" customWidth="1"/>
    <col min="1300" max="1537" width="9.140625" style="556"/>
    <col min="1538" max="1538" width="15.7109375" style="556" customWidth="1"/>
    <col min="1539" max="1540" width="10.7109375" style="556" customWidth="1"/>
    <col min="1541" max="1541" width="2.7109375" style="556" customWidth="1"/>
    <col min="1542" max="1543" width="10.7109375" style="556" customWidth="1"/>
    <col min="1544" max="1545" width="9.140625" style="556"/>
    <col min="1546" max="1547" width="10.7109375" style="556" customWidth="1"/>
    <col min="1548" max="1549" width="9.140625" style="556"/>
    <col min="1550" max="1551" width="11.7109375" style="556" customWidth="1"/>
    <col min="1552" max="1552" width="9.28515625" style="556" bestFit="1" customWidth="1"/>
    <col min="1553" max="1553" width="9.140625" style="556"/>
    <col min="1554" max="1555" width="10.7109375" style="556" customWidth="1"/>
    <col min="1556" max="1793" width="9.140625" style="556"/>
    <col min="1794" max="1794" width="15.7109375" style="556" customWidth="1"/>
    <col min="1795" max="1796" width="10.7109375" style="556" customWidth="1"/>
    <col min="1797" max="1797" width="2.7109375" style="556" customWidth="1"/>
    <col min="1798" max="1799" width="10.7109375" style="556" customWidth="1"/>
    <col min="1800" max="1801" width="9.140625" style="556"/>
    <col min="1802" max="1803" width="10.7109375" style="556" customWidth="1"/>
    <col min="1804" max="1805" width="9.140625" style="556"/>
    <col min="1806" max="1807" width="11.7109375" style="556" customWidth="1"/>
    <col min="1808" max="1808" width="9.28515625" style="556" bestFit="1" customWidth="1"/>
    <col min="1809" max="1809" width="9.140625" style="556"/>
    <col min="1810" max="1811" width="10.7109375" style="556" customWidth="1"/>
    <col min="1812" max="2049" width="9.140625" style="556"/>
    <col min="2050" max="2050" width="15.7109375" style="556" customWidth="1"/>
    <col min="2051" max="2052" width="10.7109375" style="556" customWidth="1"/>
    <col min="2053" max="2053" width="2.7109375" style="556" customWidth="1"/>
    <col min="2054" max="2055" width="10.7109375" style="556" customWidth="1"/>
    <col min="2056" max="2057" width="9.140625" style="556"/>
    <col min="2058" max="2059" width="10.7109375" style="556" customWidth="1"/>
    <col min="2060" max="2061" width="9.140625" style="556"/>
    <col min="2062" max="2063" width="11.7109375" style="556" customWidth="1"/>
    <col min="2064" max="2064" width="9.28515625" style="556" bestFit="1" customWidth="1"/>
    <col min="2065" max="2065" width="9.140625" style="556"/>
    <col min="2066" max="2067" width="10.7109375" style="556" customWidth="1"/>
    <col min="2068" max="2305" width="9.140625" style="556"/>
    <col min="2306" max="2306" width="15.7109375" style="556" customWidth="1"/>
    <col min="2307" max="2308" width="10.7109375" style="556" customWidth="1"/>
    <col min="2309" max="2309" width="2.7109375" style="556" customWidth="1"/>
    <col min="2310" max="2311" width="10.7109375" style="556" customWidth="1"/>
    <col min="2312" max="2313" width="9.140625" style="556"/>
    <col min="2314" max="2315" width="10.7109375" style="556" customWidth="1"/>
    <col min="2316" max="2317" width="9.140625" style="556"/>
    <col min="2318" max="2319" width="11.7109375" style="556" customWidth="1"/>
    <col min="2320" max="2320" width="9.28515625" style="556" bestFit="1" customWidth="1"/>
    <col min="2321" max="2321" width="9.140625" style="556"/>
    <col min="2322" max="2323" width="10.7109375" style="556" customWidth="1"/>
    <col min="2324" max="2561" width="9.140625" style="556"/>
    <col min="2562" max="2562" width="15.7109375" style="556" customWidth="1"/>
    <col min="2563" max="2564" width="10.7109375" style="556" customWidth="1"/>
    <col min="2565" max="2565" width="2.7109375" style="556" customWidth="1"/>
    <col min="2566" max="2567" width="10.7109375" style="556" customWidth="1"/>
    <col min="2568" max="2569" width="9.140625" style="556"/>
    <col min="2570" max="2571" width="10.7109375" style="556" customWidth="1"/>
    <col min="2572" max="2573" width="9.140625" style="556"/>
    <col min="2574" max="2575" width="11.7109375" style="556" customWidth="1"/>
    <col min="2576" max="2576" width="9.28515625" style="556" bestFit="1" customWidth="1"/>
    <col min="2577" max="2577" width="9.140625" style="556"/>
    <col min="2578" max="2579" width="10.7109375" style="556" customWidth="1"/>
    <col min="2580" max="2817" width="9.140625" style="556"/>
    <col min="2818" max="2818" width="15.7109375" style="556" customWidth="1"/>
    <col min="2819" max="2820" width="10.7109375" style="556" customWidth="1"/>
    <col min="2821" max="2821" width="2.7109375" style="556" customWidth="1"/>
    <col min="2822" max="2823" width="10.7109375" style="556" customWidth="1"/>
    <col min="2824" max="2825" width="9.140625" style="556"/>
    <col min="2826" max="2827" width="10.7109375" style="556" customWidth="1"/>
    <col min="2828" max="2829" width="9.140625" style="556"/>
    <col min="2830" max="2831" width="11.7109375" style="556" customWidth="1"/>
    <col min="2832" max="2832" width="9.28515625" style="556" bestFit="1" customWidth="1"/>
    <col min="2833" max="2833" width="9.140625" style="556"/>
    <col min="2834" max="2835" width="10.7109375" style="556" customWidth="1"/>
    <col min="2836" max="3073" width="9.140625" style="556"/>
    <col min="3074" max="3074" width="15.7109375" style="556" customWidth="1"/>
    <col min="3075" max="3076" width="10.7109375" style="556" customWidth="1"/>
    <col min="3077" max="3077" width="2.7109375" style="556" customWidth="1"/>
    <col min="3078" max="3079" width="10.7109375" style="556" customWidth="1"/>
    <col min="3080" max="3081" width="9.140625" style="556"/>
    <col min="3082" max="3083" width="10.7109375" style="556" customWidth="1"/>
    <col min="3084" max="3085" width="9.140625" style="556"/>
    <col min="3086" max="3087" width="11.7109375" style="556" customWidth="1"/>
    <col min="3088" max="3088" width="9.28515625" style="556" bestFit="1" customWidth="1"/>
    <col min="3089" max="3089" width="9.140625" style="556"/>
    <col min="3090" max="3091" width="10.7109375" style="556" customWidth="1"/>
    <col min="3092" max="3329" width="9.140625" style="556"/>
    <col min="3330" max="3330" width="15.7109375" style="556" customWidth="1"/>
    <col min="3331" max="3332" width="10.7109375" style="556" customWidth="1"/>
    <col min="3333" max="3333" width="2.7109375" style="556" customWidth="1"/>
    <col min="3334" max="3335" width="10.7109375" style="556" customWidth="1"/>
    <col min="3336" max="3337" width="9.140625" style="556"/>
    <col min="3338" max="3339" width="10.7109375" style="556" customWidth="1"/>
    <col min="3340" max="3341" width="9.140625" style="556"/>
    <col min="3342" max="3343" width="11.7109375" style="556" customWidth="1"/>
    <col min="3344" max="3344" width="9.28515625" style="556" bestFit="1" customWidth="1"/>
    <col min="3345" max="3345" width="9.140625" style="556"/>
    <col min="3346" max="3347" width="10.7109375" style="556" customWidth="1"/>
    <col min="3348" max="3585" width="9.140625" style="556"/>
    <col min="3586" max="3586" width="15.7109375" style="556" customWidth="1"/>
    <col min="3587" max="3588" width="10.7109375" style="556" customWidth="1"/>
    <col min="3589" max="3589" width="2.7109375" style="556" customWidth="1"/>
    <col min="3590" max="3591" width="10.7109375" style="556" customWidth="1"/>
    <col min="3592" max="3593" width="9.140625" style="556"/>
    <col min="3594" max="3595" width="10.7109375" style="556" customWidth="1"/>
    <col min="3596" max="3597" width="9.140625" style="556"/>
    <col min="3598" max="3599" width="11.7109375" style="556" customWidth="1"/>
    <col min="3600" max="3600" width="9.28515625" style="556" bestFit="1" customWidth="1"/>
    <col min="3601" max="3601" width="9.140625" style="556"/>
    <col min="3602" max="3603" width="10.7109375" style="556" customWidth="1"/>
    <col min="3604" max="3841" width="9.140625" style="556"/>
    <col min="3842" max="3842" width="15.7109375" style="556" customWidth="1"/>
    <col min="3843" max="3844" width="10.7109375" style="556" customWidth="1"/>
    <col min="3845" max="3845" width="2.7109375" style="556" customWidth="1"/>
    <col min="3846" max="3847" width="10.7109375" style="556" customWidth="1"/>
    <col min="3848" max="3849" width="9.140625" style="556"/>
    <col min="3850" max="3851" width="10.7109375" style="556" customWidth="1"/>
    <col min="3852" max="3853" width="9.140625" style="556"/>
    <col min="3854" max="3855" width="11.7109375" style="556" customWidth="1"/>
    <col min="3856" max="3856" width="9.28515625" style="556" bestFit="1" customWidth="1"/>
    <col min="3857" max="3857" width="9.140625" style="556"/>
    <col min="3858" max="3859" width="10.7109375" style="556" customWidth="1"/>
    <col min="3860" max="4097" width="9.140625" style="556"/>
    <col min="4098" max="4098" width="15.7109375" style="556" customWidth="1"/>
    <col min="4099" max="4100" width="10.7109375" style="556" customWidth="1"/>
    <col min="4101" max="4101" width="2.7109375" style="556" customWidth="1"/>
    <col min="4102" max="4103" width="10.7109375" style="556" customWidth="1"/>
    <col min="4104" max="4105" width="9.140625" style="556"/>
    <col min="4106" max="4107" width="10.7109375" style="556" customWidth="1"/>
    <col min="4108" max="4109" width="9.140625" style="556"/>
    <col min="4110" max="4111" width="11.7109375" style="556" customWidth="1"/>
    <col min="4112" max="4112" width="9.28515625" style="556" bestFit="1" customWidth="1"/>
    <col min="4113" max="4113" width="9.140625" style="556"/>
    <col min="4114" max="4115" width="10.7109375" style="556" customWidth="1"/>
    <col min="4116" max="4353" width="9.140625" style="556"/>
    <col min="4354" max="4354" width="15.7109375" style="556" customWidth="1"/>
    <col min="4355" max="4356" width="10.7109375" style="556" customWidth="1"/>
    <col min="4357" max="4357" width="2.7109375" style="556" customWidth="1"/>
    <col min="4358" max="4359" width="10.7109375" style="556" customWidth="1"/>
    <col min="4360" max="4361" width="9.140625" style="556"/>
    <col min="4362" max="4363" width="10.7109375" style="556" customWidth="1"/>
    <col min="4364" max="4365" width="9.140625" style="556"/>
    <col min="4366" max="4367" width="11.7109375" style="556" customWidth="1"/>
    <col min="4368" max="4368" width="9.28515625" style="556" bestFit="1" customWidth="1"/>
    <col min="4369" max="4369" width="9.140625" style="556"/>
    <col min="4370" max="4371" width="10.7109375" style="556" customWidth="1"/>
    <col min="4372" max="4609" width="9.140625" style="556"/>
    <col min="4610" max="4610" width="15.7109375" style="556" customWidth="1"/>
    <col min="4611" max="4612" width="10.7109375" style="556" customWidth="1"/>
    <col min="4613" max="4613" width="2.7109375" style="556" customWidth="1"/>
    <col min="4614" max="4615" width="10.7109375" style="556" customWidth="1"/>
    <col min="4616" max="4617" width="9.140625" style="556"/>
    <col min="4618" max="4619" width="10.7109375" style="556" customWidth="1"/>
    <col min="4620" max="4621" width="9.140625" style="556"/>
    <col min="4622" max="4623" width="11.7109375" style="556" customWidth="1"/>
    <col min="4624" max="4624" width="9.28515625" style="556" bestFit="1" customWidth="1"/>
    <col min="4625" max="4625" width="9.140625" style="556"/>
    <col min="4626" max="4627" width="10.7109375" style="556" customWidth="1"/>
    <col min="4628" max="4865" width="9.140625" style="556"/>
    <col min="4866" max="4866" width="15.7109375" style="556" customWidth="1"/>
    <col min="4867" max="4868" width="10.7109375" style="556" customWidth="1"/>
    <col min="4869" max="4869" width="2.7109375" style="556" customWidth="1"/>
    <col min="4870" max="4871" width="10.7109375" style="556" customWidth="1"/>
    <col min="4872" max="4873" width="9.140625" style="556"/>
    <col min="4874" max="4875" width="10.7109375" style="556" customWidth="1"/>
    <col min="4876" max="4877" width="9.140625" style="556"/>
    <col min="4878" max="4879" width="11.7109375" style="556" customWidth="1"/>
    <col min="4880" max="4880" width="9.28515625" style="556" bestFit="1" customWidth="1"/>
    <col min="4881" max="4881" width="9.140625" style="556"/>
    <col min="4882" max="4883" width="10.7109375" style="556" customWidth="1"/>
    <col min="4884" max="5121" width="9.140625" style="556"/>
    <col min="5122" max="5122" width="15.7109375" style="556" customWidth="1"/>
    <col min="5123" max="5124" width="10.7109375" style="556" customWidth="1"/>
    <col min="5125" max="5125" width="2.7109375" style="556" customWidth="1"/>
    <col min="5126" max="5127" width="10.7109375" style="556" customWidth="1"/>
    <col min="5128" max="5129" width="9.140625" style="556"/>
    <col min="5130" max="5131" width="10.7109375" style="556" customWidth="1"/>
    <col min="5132" max="5133" width="9.140625" style="556"/>
    <col min="5134" max="5135" width="11.7109375" style="556" customWidth="1"/>
    <col min="5136" max="5136" width="9.28515625" style="556" bestFit="1" customWidth="1"/>
    <col min="5137" max="5137" width="9.140625" style="556"/>
    <col min="5138" max="5139" width="10.7109375" style="556" customWidth="1"/>
    <col min="5140" max="5377" width="9.140625" style="556"/>
    <col min="5378" max="5378" width="15.7109375" style="556" customWidth="1"/>
    <col min="5379" max="5380" width="10.7109375" style="556" customWidth="1"/>
    <col min="5381" max="5381" width="2.7109375" style="556" customWidth="1"/>
    <col min="5382" max="5383" width="10.7109375" style="556" customWidth="1"/>
    <col min="5384" max="5385" width="9.140625" style="556"/>
    <col min="5386" max="5387" width="10.7109375" style="556" customWidth="1"/>
    <col min="5388" max="5389" width="9.140625" style="556"/>
    <col min="5390" max="5391" width="11.7109375" style="556" customWidth="1"/>
    <col min="5392" max="5392" width="9.28515625" style="556" bestFit="1" customWidth="1"/>
    <col min="5393" max="5393" width="9.140625" style="556"/>
    <col min="5394" max="5395" width="10.7109375" style="556" customWidth="1"/>
    <col min="5396" max="5633" width="9.140625" style="556"/>
    <col min="5634" max="5634" width="15.7109375" style="556" customWidth="1"/>
    <col min="5635" max="5636" width="10.7109375" style="556" customWidth="1"/>
    <col min="5637" max="5637" width="2.7109375" style="556" customWidth="1"/>
    <col min="5638" max="5639" width="10.7109375" style="556" customWidth="1"/>
    <col min="5640" max="5641" width="9.140625" style="556"/>
    <col min="5642" max="5643" width="10.7109375" style="556" customWidth="1"/>
    <col min="5644" max="5645" width="9.140625" style="556"/>
    <col min="5646" max="5647" width="11.7109375" style="556" customWidth="1"/>
    <col min="5648" max="5648" width="9.28515625" style="556" bestFit="1" customWidth="1"/>
    <col min="5649" max="5649" width="9.140625" style="556"/>
    <col min="5650" max="5651" width="10.7109375" style="556" customWidth="1"/>
    <col min="5652" max="5889" width="9.140625" style="556"/>
    <col min="5890" max="5890" width="15.7109375" style="556" customWidth="1"/>
    <col min="5891" max="5892" width="10.7109375" style="556" customWidth="1"/>
    <col min="5893" max="5893" width="2.7109375" style="556" customWidth="1"/>
    <col min="5894" max="5895" width="10.7109375" style="556" customWidth="1"/>
    <col min="5896" max="5897" width="9.140625" style="556"/>
    <col min="5898" max="5899" width="10.7109375" style="556" customWidth="1"/>
    <col min="5900" max="5901" width="9.140625" style="556"/>
    <col min="5902" max="5903" width="11.7109375" style="556" customWidth="1"/>
    <col min="5904" max="5904" width="9.28515625" style="556" bestFit="1" customWidth="1"/>
    <col min="5905" max="5905" width="9.140625" style="556"/>
    <col min="5906" max="5907" width="10.7109375" style="556" customWidth="1"/>
    <col min="5908" max="6145" width="9.140625" style="556"/>
    <col min="6146" max="6146" width="15.7109375" style="556" customWidth="1"/>
    <col min="6147" max="6148" width="10.7109375" style="556" customWidth="1"/>
    <col min="6149" max="6149" width="2.7109375" style="556" customWidth="1"/>
    <col min="6150" max="6151" width="10.7109375" style="556" customWidth="1"/>
    <col min="6152" max="6153" width="9.140625" style="556"/>
    <col min="6154" max="6155" width="10.7109375" style="556" customWidth="1"/>
    <col min="6156" max="6157" width="9.140625" style="556"/>
    <col min="6158" max="6159" width="11.7109375" style="556" customWidth="1"/>
    <col min="6160" max="6160" width="9.28515625" style="556" bestFit="1" customWidth="1"/>
    <col min="6161" max="6161" width="9.140625" style="556"/>
    <col min="6162" max="6163" width="10.7109375" style="556" customWidth="1"/>
    <col min="6164" max="6401" width="9.140625" style="556"/>
    <col min="6402" max="6402" width="15.7109375" style="556" customWidth="1"/>
    <col min="6403" max="6404" width="10.7109375" style="556" customWidth="1"/>
    <col min="6405" max="6405" width="2.7109375" style="556" customWidth="1"/>
    <col min="6406" max="6407" width="10.7109375" style="556" customWidth="1"/>
    <col min="6408" max="6409" width="9.140625" style="556"/>
    <col min="6410" max="6411" width="10.7109375" style="556" customWidth="1"/>
    <col min="6412" max="6413" width="9.140625" style="556"/>
    <col min="6414" max="6415" width="11.7109375" style="556" customWidth="1"/>
    <col min="6416" max="6416" width="9.28515625" style="556" bestFit="1" customWidth="1"/>
    <col min="6417" max="6417" width="9.140625" style="556"/>
    <col min="6418" max="6419" width="10.7109375" style="556" customWidth="1"/>
    <col min="6420" max="6657" width="9.140625" style="556"/>
    <col min="6658" max="6658" width="15.7109375" style="556" customWidth="1"/>
    <col min="6659" max="6660" width="10.7109375" style="556" customWidth="1"/>
    <col min="6661" max="6661" width="2.7109375" style="556" customWidth="1"/>
    <col min="6662" max="6663" width="10.7109375" style="556" customWidth="1"/>
    <col min="6664" max="6665" width="9.140625" style="556"/>
    <col min="6666" max="6667" width="10.7109375" style="556" customWidth="1"/>
    <col min="6668" max="6669" width="9.140625" style="556"/>
    <col min="6670" max="6671" width="11.7109375" style="556" customWidth="1"/>
    <col min="6672" max="6672" width="9.28515625" style="556" bestFit="1" customWidth="1"/>
    <col min="6673" max="6673" width="9.140625" style="556"/>
    <col min="6674" max="6675" width="10.7109375" style="556" customWidth="1"/>
    <col min="6676" max="6913" width="9.140625" style="556"/>
    <col min="6914" max="6914" width="15.7109375" style="556" customWidth="1"/>
    <col min="6915" max="6916" width="10.7109375" style="556" customWidth="1"/>
    <col min="6917" max="6917" width="2.7109375" style="556" customWidth="1"/>
    <col min="6918" max="6919" width="10.7109375" style="556" customWidth="1"/>
    <col min="6920" max="6921" width="9.140625" style="556"/>
    <col min="6922" max="6923" width="10.7109375" style="556" customWidth="1"/>
    <col min="6924" max="6925" width="9.140625" style="556"/>
    <col min="6926" max="6927" width="11.7109375" style="556" customWidth="1"/>
    <col min="6928" max="6928" width="9.28515625" style="556" bestFit="1" customWidth="1"/>
    <col min="6929" max="6929" width="9.140625" style="556"/>
    <col min="6930" max="6931" width="10.7109375" style="556" customWidth="1"/>
    <col min="6932" max="7169" width="9.140625" style="556"/>
    <col min="7170" max="7170" width="15.7109375" style="556" customWidth="1"/>
    <col min="7171" max="7172" width="10.7109375" style="556" customWidth="1"/>
    <col min="7173" max="7173" width="2.7109375" style="556" customWidth="1"/>
    <col min="7174" max="7175" width="10.7109375" style="556" customWidth="1"/>
    <col min="7176" max="7177" width="9.140625" style="556"/>
    <col min="7178" max="7179" width="10.7109375" style="556" customWidth="1"/>
    <col min="7180" max="7181" width="9.140625" style="556"/>
    <col min="7182" max="7183" width="11.7109375" style="556" customWidth="1"/>
    <col min="7184" max="7184" width="9.28515625" style="556" bestFit="1" customWidth="1"/>
    <col min="7185" max="7185" width="9.140625" style="556"/>
    <col min="7186" max="7187" width="10.7109375" style="556" customWidth="1"/>
    <col min="7188" max="7425" width="9.140625" style="556"/>
    <col min="7426" max="7426" width="15.7109375" style="556" customWidth="1"/>
    <col min="7427" max="7428" width="10.7109375" style="556" customWidth="1"/>
    <col min="7429" max="7429" width="2.7109375" style="556" customWidth="1"/>
    <col min="7430" max="7431" width="10.7109375" style="556" customWidth="1"/>
    <col min="7432" max="7433" width="9.140625" style="556"/>
    <col min="7434" max="7435" width="10.7109375" style="556" customWidth="1"/>
    <col min="7436" max="7437" width="9.140625" style="556"/>
    <col min="7438" max="7439" width="11.7109375" style="556" customWidth="1"/>
    <col min="7440" max="7440" width="9.28515625" style="556" bestFit="1" customWidth="1"/>
    <col min="7441" max="7441" width="9.140625" style="556"/>
    <col min="7442" max="7443" width="10.7109375" style="556" customWidth="1"/>
    <col min="7444" max="7681" width="9.140625" style="556"/>
    <col min="7682" max="7682" width="15.7109375" style="556" customWidth="1"/>
    <col min="7683" max="7684" width="10.7109375" style="556" customWidth="1"/>
    <col min="7685" max="7685" width="2.7109375" style="556" customWidth="1"/>
    <col min="7686" max="7687" width="10.7109375" style="556" customWidth="1"/>
    <col min="7688" max="7689" width="9.140625" style="556"/>
    <col min="7690" max="7691" width="10.7109375" style="556" customWidth="1"/>
    <col min="7692" max="7693" width="9.140625" style="556"/>
    <col min="7694" max="7695" width="11.7109375" style="556" customWidth="1"/>
    <col min="7696" max="7696" width="9.28515625" style="556" bestFit="1" customWidth="1"/>
    <col min="7697" max="7697" width="9.140625" style="556"/>
    <col min="7698" max="7699" width="10.7109375" style="556" customWidth="1"/>
    <col min="7700" max="7937" width="9.140625" style="556"/>
    <col min="7938" max="7938" width="15.7109375" style="556" customWidth="1"/>
    <col min="7939" max="7940" width="10.7109375" style="556" customWidth="1"/>
    <col min="7941" max="7941" width="2.7109375" style="556" customWidth="1"/>
    <col min="7942" max="7943" width="10.7109375" style="556" customWidth="1"/>
    <col min="7944" max="7945" width="9.140625" style="556"/>
    <col min="7946" max="7947" width="10.7109375" style="556" customWidth="1"/>
    <col min="7948" max="7949" width="9.140625" style="556"/>
    <col min="7950" max="7951" width="11.7109375" style="556" customWidth="1"/>
    <col min="7952" max="7952" width="9.28515625" style="556" bestFit="1" customWidth="1"/>
    <col min="7953" max="7953" width="9.140625" style="556"/>
    <col min="7954" max="7955" width="10.7109375" style="556" customWidth="1"/>
    <col min="7956" max="8193" width="9.140625" style="556"/>
    <col min="8194" max="8194" width="15.7109375" style="556" customWidth="1"/>
    <col min="8195" max="8196" width="10.7109375" style="556" customWidth="1"/>
    <col min="8197" max="8197" width="2.7109375" style="556" customWidth="1"/>
    <col min="8198" max="8199" width="10.7109375" style="556" customWidth="1"/>
    <col min="8200" max="8201" width="9.140625" style="556"/>
    <col min="8202" max="8203" width="10.7109375" style="556" customWidth="1"/>
    <col min="8204" max="8205" width="9.140625" style="556"/>
    <col min="8206" max="8207" width="11.7109375" style="556" customWidth="1"/>
    <col min="8208" max="8208" width="9.28515625" style="556" bestFit="1" customWidth="1"/>
    <col min="8209" max="8209" width="9.140625" style="556"/>
    <col min="8210" max="8211" width="10.7109375" style="556" customWidth="1"/>
    <col min="8212" max="8449" width="9.140625" style="556"/>
    <col min="8450" max="8450" width="15.7109375" style="556" customWidth="1"/>
    <col min="8451" max="8452" width="10.7109375" style="556" customWidth="1"/>
    <col min="8453" max="8453" width="2.7109375" style="556" customWidth="1"/>
    <col min="8454" max="8455" width="10.7109375" style="556" customWidth="1"/>
    <col min="8456" max="8457" width="9.140625" style="556"/>
    <col min="8458" max="8459" width="10.7109375" style="556" customWidth="1"/>
    <col min="8460" max="8461" width="9.140625" style="556"/>
    <col min="8462" max="8463" width="11.7109375" style="556" customWidth="1"/>
    <col min="8464" max="8464" width="9.28515625" style="556" bestFit="1" customWidth="1"/>
    <col min="8465" max="8465" width="9.140625" style="556"/>
    <col min="8466" max="8467" width="10.7109375" style="556" customWidth="1"/>
    <col min="8468" max="8705" width="9.140625" style="556"/>
    <col min="8706" max="8706" width="15.7109375" style="556" customWidth="1"/>
    <col min="8707" max="8708" width="10.7109375" style="556" customWidth="1"/>
    <col min="8709" max="8709" width="2.7109375" style="556" customWidth="1"/>
    <col min="8710" max="8711" width="10.7109375" style="556" customWidth="1"/>
    <col min="8712" max="8713" width="9.140625" style="556"/>
    <col min="8714" max="8715" width="10.7109375" style="556" customWidth="1"/>
    <col min="8716" max="8717" width="9.140625" style="556"/>
    <col min="8718" max="8719" width="11.7109375" style="556" customWidth="1"/>
    <col min="8720" max="8720" width="9.28515625" style="556" bestFit="1" customWidth="1"/>
    <col min="8721" max="8721" width="9.140625" style="556"/>
    <col min="8722" max="8723" width="10.7109375" style="556" customWidth="1"/>
    <col min="8724" max="8961" width="9.140625" style="556"/>
    <col min="8962" max="8962" width="15.7109375" style="556" customWidth="1"/>
    <col min="8963" max="8964" width="10.7109375" style="556" customWidth="1"/>
    <col min="8965" max="8965" width="2.7109375" style="556" customWidth="1"/>
    <col min="8966" max="8967" width="10.7109375" style="556" customWidth="1"/>
    <col min="8968" max="8969" width="9.140625" style="556"/>
    <col min="8970" max="8971" width="10.7109375" style="556" customWidth="1"/>
    <col min="8972" max="8973" width="9.140625" style="556"/>
    <col min="8974" max="8975" width="11.7109375" style="556" customWidth="1"/>
    <col min="8976" max="8976" width="9.28515625" style="556" bestFit="1" customWidth="1"/>
    <col min="8977" max="8977" width="9.140625" style="556"/>
    <col min="8978" max="8979" width="10.7109375" style="556" customWidth="1"/>
    <col min="8980" max="9217" width="9.140625" style="556"/>
    <col min="9218" max="9218" width="15.7109375" style="556" customWidth="1"/>
    <col min="9219" max="9220" width="10.7109375" style="556" customWidth="1"/>
    <col min="9221" max="9221" width="2.7109375" style="556" customWidth="1"/>
    <col min="9222" max="9223" width="10.7109375" style="556" customWidth="1"/>
    <col min="9224" max="9225" width="9.140625" style="556"/>
    <col min="9226" max="9227" width="10.7109375" style="556" customWidth="1"/>
    <col min="9228" max="9229" width="9.140625" style="556"/>
    <col min="9230" max="9231" width="11.7109375" style="556" customWidth="1"/>
    <col min="9232" max="9232" width="9.28515625" style="556" bestFit="1" customWidth="1"/>
    <col min="9233" max="9233" width="9.140625" style="556"/>
    <col min="9234" max="9235" width="10.7109375" style="556" customWidth="1"/>
    <col min="9236" max="9473" width="9.140625" style="556"/>
    <col min="9474" max="9474" width="15.7109375" style="556" customWidth="1"/>
    <col min="9475" max="9476" width="10.7109375" style="556" customWidth="1"/>
    <col min="9477" max="9477" width="2.7109375" style="556" customWidth="1"/>
    <col min="9478" max="9479" width="10.7109375" style="556" customWidth="1"/>
    <col min="9480" max="9481" width="9.140625" style="556"/>
    <col min="9482" max="9483" width="10.7109375" style="556" customWidth="1"/>
    <col min="9484" max="9485" width="9.140625" style="556"/>
    <col min="9486" max="9487" width="11.7109375" style="556" customWidth="1"/>
    <col min="9488" max="9488" width="9.28515625" style="556" bestFit="1" customWidth="1"/>
    <col min="9489" max="9489" width="9.140625" style="556"/>
    <col min="9490" max="9491" width="10.7109375" style="556" customWidth="1"/>
    <col min="9492" max="9729" width="9.140625" style="556"/>
    <col min="9730" max="9730" width="15.7109375" style="556" customWidth="1"/>
    <col min="9731" max="9732" width="10.7109375" style="556" customWidth="1"/>
    <col min="9733" max="9733" width="2.7109375" style="556" customWidth="1"/>
    <col min="9734" max="9735" width="10.7109375" style="556" customWidth="1"/>
    <col min="9736" max="9737" width="9.140625" style="556"/>
    <col min="9738" max="9739" width="10.7109375" style="556" customWidth="1"/>
    <col min="9740" max="9741" width="9.140625" style="556"/>
    <col min="9742" max="9743" width="11.7109375" style="556" customWidth="1"/>
    <col min="9744" max="9744" width="9.28515625" style="556" bestFit="1" customWidth="1"/>
    <col min="9745" max="9745" width="9.140625" style="556"/>
    <col min="9746" max="9747" width="10.7109375" style="556" customWidth="1"/>
    <col min="9748" max="9985" width="9.140625" style="556"/>
    <col min="9986" max="9986" width="15.7109375" style="556" customWidth="1"/>
    <col min="9987" max="9988" width="10.7109375" style="556" customWidth="1"/>
    <col min="9989" max="9989" width="2.7109375" style="556" customWidth="1"/>
    <col min="9990" max="9991" width="10.7109375" style="556" customWidth="1"/>
    <col min="9992" max="9993" width="9.140625" style="556"/>
    <col min="9994" max="9995" width="10.7109375" style="556" customWidth="1"/>
    <col min="9996" max="9997" width="9.140625" style="556"/>
    <col min="9998" max="9999" width="11.7109375" style="556" customWidth="1"/>
    <col min="10000" max="10000" width="9.28515625" style="556" bestFit="1" customWidth="1"/>
    <col min="10001" max="10001" width="9.140625" style="556"/>
    <col min="10002" max="10003" width="10.7109375" style="556" customWidth="1"/>
    <col min="10004" max="10241" width="9.140625" style="556"/>
    <col min="10242" max="10242" width="15.7109375" style="556" customWidth="1"/>
    <col min="10243" max="10244" width="10.7109375" style="556" customWidth="1"/>
    <col min="10245" max="10245" width="2.7109375" style="556" customWidth="1"/>
    <col min="10246" max="10247" width="10.7109375" style="556" customWidth="1"/>
    <col min="10248" max="10249" width="9.140625" style="556"/>
    <col min="10250" max="10251" width="10.7109375" style="556" customWidth="1"/>
    <col min="10252" max="10253" width="9.140625" style="556"/>
    <col min="10254" max="10255" width="11.7109375" style="556" customWidth="1"/>
    <col min="10256" max="10256" width="9.28515625" style="556" bestFit="1" customWidth="1"/>
    <col min="10257" max="10257" width="9.140625" style="556"/>
    <col min="10258" max="10259" width="10.7109375" style="556" customWidth="1"/>
    <col min="10260" max="10497" width="9.140625" style="556"/>
    <col min="10498" max="10498" width="15.7109375" style="556" customWidth="1"/>
    <col min="10499" max="10500" width="10.7109375" style="556" customWidth="1"/>
    <col min="10501" max="10501" width="2.7109375" style="556" customWidth="1"/>
    <col min="10502" max="10503" width="10.7109375" style="556" customWidth="1"/>
    <col min="10504" max="10505" width="9.140625" style="556"/>
    <col min="10506" max="10507" width="10.7109375" style="556" customWidth="1"/>
    <col min="10508" max="10509" width="9.140625" style="556"/>
    <col min="10510" max="10511" width="11.7109375" style="556" customWidth="1"/>
    <col min="10512" max="10512" width="9.28515625" style="556" bestFit="1" customWidth="1"/>
    <col min="10513" max="10513" width="9.140625" style="556"/>
    <col min="10514" max="10515" width="10.7109375" style="556" customWidth="1"/>
    <col min="10516" max="10753" width="9.140625" style="556"/>
    <col min="10754" max="10754" width="15.7109375" style="556" customWidth="1"/>
    <col min="10755" max="10756" width="10.7109375" style="556" customWidth="1"/>
    <col min="10757" max="10757" width="2.7109375" style="556" customWidth="1"/>
    <col min="10758" max="10759" width="10.7109375" style="556" customWidth="1"/>
    <col min="10760" max="10761" width="9.140625" style="556"/>
    <col min="10762" max="10763" width="10.7109375" style="556" customWidth="1"/>
    <col min="10764" max="10765" width="9.140625" style="556"/>
    <col min="10766" max="10767" width="11.7109375" style="556" customWidth="1"/>
    <col min="10768" max="10768" width="9.28515625" style="556" bestFit="1" customWidth="1"/>
    <col min="10769" max="10769" width="9.140625" style="556"/>
    <col min="10770" max="10771" width="10.7109375" style="556" customWidth="1"/>
    <col min="10772" max="11009" width="9.140625" style="556"/>
    <col min="11010" max="11010" width="15.7109375" style="556" customWidth="1"/>
    <col min="11011" max="11012" width="10.7109375" style="556" customWidth="1"/>
    <col min="11013" max="11013" width="2.7109375" style="556" customWidth="1"/>
    <col min="11014" max="11015" width="10.7109375" style="556" customWidth="1"/>
    <col min="11016" max="11017" width="9.140625" style="556"/>
    <col min="11018" max="11019" width="10.7109375" style="556" customWidth="1"/>
    <col min="11020" max="11021" width="9.140625" style="556"/>
    <col min="11022" max="11023" width="11.7109375" style="556" customWidth="1"/>
    <col min="11024" max="11024" width="9.28515625" style="556" bestFit="1" customWidth="1"/>
    <col min="11025" max="11025" width="9.140625" style="556"/>
    <col min="11026" max="11027" width="10.7109375" style="556" customWidth="1"/>
    <col min="11028" max="11265" width="9.140625" style="556"/>
    <col min="11266" max="11266" width="15.7109375" style="556" customWidth="1"/>
    <col min="11267" max="11268" width="10.7109375" style="556" customWidth="1"/>
    <col min="11269" max="11269" width="2.7109375" style="556" customWidth="1"/>
    <col min="11270" max="11271" width="10.7109375" style="556" customWidth="1"/>
    <col min="11272" max="11273" width="9.140625" style="556"/>
    <col min="11274" max="11275" width="10.7109375" style="556" customWidth="1"/>
    <col min="11276" max="11277" width="9.140625" style="556"/>
    <col min="11278" max="11279" width="11.7109375" style="556" customWidth="1"/>
    <col min="11280" max="11280" width="9.28515625" style="556" bestFit="1" customWidth="1"/>
    <col min="11281" max="11281" width="9.140625" style="556"/>
    <col min="11282" max="11283" width="10.7109375" style="556" customWidth="1"/>
    <col min="11284" max="11521" width="9.140625" style="556"/>
    <col min="11522" max="11522" width="15.7109375" style="556" customWidth="1"/>
    <col min="11523" max="11524" width="10.7109375" style="556" customWidth="1"/>
    <col min="11525" max="11525" width="2.7109375" style="556" customWidth="1"/>
    <col min="11526" max="11527" width="10.7109375" style="556" customWidth="1"/>
    <col min="11528" max="11529" width="9.140625" style="556"/>
    <col min="11530" max="11531" width="10.7109375" style="556" customWidth="1"/>
    <col min="11532" max="11533" width="9.140625" style="556"/>
    <col min="11534" max="11535" width="11.7109375" style="556" customWidth="1"/>
    <col min="11536" max="11536" width="9.28515625" style="556" bestFit="1" customWidth="1"/>
    <col min="11537" max="11537" width="9.140625" style="556"/>
    <col min="11538" max="11539" width="10.7109375" style="556" customWidth="1"/>
    <col min="11540" max="11777" width="9.140625" style="556"/>
    <col min="11778" max="11778" width="15.7109375" style="556" customWidth="1"/>
    <col min="11779" max="11780" width="10.7109375" style="556" customWidth="1"/>
    <col min="11781" max="11781" width="2.7109375" style="556" customWidth="1"/>
    <col min="11782" max="11783" width="10.7109375" style="556" customWidth="1"/>
    <col min="11784" max="11785" width="9.140625" style="556"/>
    <col min="11786" max="11787" width="10.7109375" style="556" customWidth="1"/>
    <col min="11788" max="11789" width="9.140625" style="556"/>
    <col min="11790" max="11791" width="11.7109375" style="556" customWidth="1"/>
    <col min="11792" max="11792" width="9.28515625" style="556" bestFit="1" customWidth="1"/>
    <col min="11793" max="11793" width="9.140625" style="556"/>
    <col min="11794" max="11795" width="10.7109375" style="556" customWidth="1"/>
    <col min="11796" max="12033" width="9.140625" style="556"/>
    <col min="12034" max="12034" width="15.7109375" style="556" customWidth="1"/>
    <col min="12035" max="12036" width="10.7109375" style="556" customWidth="1"/>
    <col min="12037" max="12037" width="2.7109375" style="556" customWidth="1"/>
    <col min="12038" max="12039" width="10.7109375" style="556" customWidth="1"/>
    <col min="12040" max="12041" width="9.140625" style="556"/>
    <col min="12042" max="12043" width="10.7109375" style="556" customWidth="1"/>
    <col min="12044" max="12045" width="9.140625" style="556"/>
    <col min="12046" max="12047" width="11.7109375" style="556" customWidth="1"/>
    <col min="12048" max="12048" width="9.28515625" style="556" bestFit="1" customWidth="1"/>
    <col min="12049" max="12049" width="9.140625" style="556"/>
    <col min="12050" max="12051" width="10.7109375" style="556" customWidth="1"/>
    <col min="12052" max="12289" width="9.140625" style="556"/>
    <col min="12290" max="12290" width="15.7109375" style="556" customWidth="1"/>
    <col min="12291" max="12292" width="10.7109375" style="556" customWidth="1"/>
    <col min="12293" max="12293" width="2.7109375" style="556" customWidth="1"/>
    <col min="12294" max="12295" width="10.7109375" style="556" customWidth="1"/>
    <col min="12296" max="12297" width="9.140625" style="556"/>
    <col min="12298" max="12299" width="10.7109375" style="556" customWidth="1"/>
    <col min="12300" max="12301" width="9.140625" style="556"/>
    <col min="12302" max="12303" width="11.7109375" style="556" customWidth="1"/>
    <col min="12304" max="12304" width="9.28515625" style="556" bestFit="1" customWidth="1"/>
    <col min="12305" max="12305" width="9.140625" style="556"/>
    <col min="12306" max="12307" width="10.7109375" style="556" customWidth="1"/>
    <col min="12308" max="12545" width="9.140625" style="556"/>
    <col min="12546" max="12546" width="15.7109375" style="556" customWidth="1"/>
    <col min="12547" max="12548" width="10.7109375" style="556" customWidth="1"/>
    <col min="12549" max="12549" width="2.7109375" style="556" customWidth="1"/>
    <col min="12550" max="12551" width="10.7109375" style="556" customWidth="1"/>
    <col min="12552" max="12553" width="9.140625" style="556"/>
    <col min="12554" max="12555" width="10.7109375" style="556" customWidth="1"/>
    <col min="12556" max="12557" width="9.140625" style="556"/>
    <col min="12558" max="12559" width="11.7109375" style="556" customWidth="1"/>
    <col min="12560" max="12560" width="9.28515625" style="556" bestFit="1" customWidth="1"/>
    <col min="12561" max="12561" width="9.140625" style="556"/>
    <col min="12562" max="12563" width="10.7109375" style="556" customWidth="1"/>
    <col min="12564" max="12801" width="9.140625" style="556"/>
    <col min="12802" max="12802" width="15.7109375" style="556" customWidth="1"/>
    <col min="12803" max="12804" width="10.7109375" style="556" customWidth="1"/>
    <col min="12805" max="12805" width="2.7109375" style="556" customWidth="1"/>
    <col min="12806" max="12807" width="10.7109375" style="556" customWidth="1"/>
    <col min="12808" max="12809" width="9.140625" style="556"/>
    <col min="12810" max="12811" width="10.7109375" style="556" customWidth="1"/>
    <col min="12812" max="12813" width="9.140625" style="556"/>
    <col min="12814" max="12815" width="11.7109375" style="556" customWidth="1"/>
    <col min="12816" max="12816" width="9.28515625" style="556" bestFit="1" customWidth="1"/>
    <col min="12817" max="12817" width="9.140625" style="556"/>
    <col min="12818" max="12819" width="10.7109375" style="556" customWidth="1"/>
    <col min="12820" max="13057" width="9.140625" style="556"/>
    <col min="13058" max="13058" width="15.7109375" style="556" customWidth="1"/>
    <col min="13059" max="13060" width="10.7109375" style="556" customWidth="1"/>
    <col min="13061" max="13061" width="2.7109375" style="556" customWidth="1"/>
    <col min="13062" max="13063" width="10.7109375" style="556" customWidth="1"/>
    <col min="13064" max="13065" width="9.140625" style="556"/>
    <col min="13066" max="13067" width="10.7109375" style="556" customWidth="1"/>
    <col min="13068" max="13069" width="9.140625" style="556"/>
    <col min="13070" max="13071" width="11.7109375" style="556" customWidth="1"/>
    <col min="13072" max="13072" width="9.28515625" style="556" bestFit="1" customWidth="1"/>
    <col min="13073" max="13073" width="9.140625" style="556"/>
    <col min="13074" max="13075" width="10.7109375" style="556" customWidth="1"/>
    <col min="13076" max="13313" width="9.140625" style="556"/>
    <col min="13314" max="13314" width="15.7109375" style="556" customWidth="1"/>
    <col min="13315" max="13316" width="10.7109375" style="556" customWidth="1"/>
    <col min="13317" max="13317" width="2.7109375" style="556" customWidth="1"/>
    <col min="13318" max="13319" width="10.7109375" style="556" customWidth="1"/>
    <col min="13320" max="13321" width="9.140625" style="556"/>
    <col min="13322" max="13323" width="10.7109375" style="556" customWidth="1"/>
    <col min="13324" max="13325" width="9.140625" style="556"/>
    <col min="13326" max="13327" width="11.7109375" style="556" customWidth="1"/>
    <col min="13328" max="13328" width="9.28515625" style="556" bestFit="1" customWidth="1"/>
    <col min="13329" max="13329" width="9.140625" style="556"/>
    <col min="13330" max="13331" width="10.7109375" style="556" customWidth="1"/>
    <col min="13332" max="13569" width="9.140625" style="556"/>
    <col min="13570" max="13570" width="15.7109375" style="556" customWidth="1"/>
    <col min="13571" max="13572" width="10.7109375" style="556" customWidth="1"/>
    <col min="13573" max="13573" width="2.7109375" style="556" customWidth="1"/>
    <col min="13574" max="13575" width="10.7109375" style="556" customWidth="1"/>
    <col min="13576" max="13577" width="9.140625" style="556"/>
    <col min="13578" max="13579" width="10.7109375" style="556" customWidth="1"/>
    <col min="13580" max="13581" width="9.140625" style="556"/>
    <col min="13582" max="13583" width="11.7109375" style="556" customWidth="1"/>
    <col min="13584" max="13584" width="9.28515625" style="556" bestFit="1" customWidth="1"/>
    <col min="13585" max="13585" width="9.140625" style="556"/>
    <col min="13586" max="13587" width="10.7109375" style="556" customWidth="1"/>
    <col min="13588" max="13825" width="9.140625" style="556"/>
    <col min="13826" max="13826" width="15.7109375" style="556" customWidth="1"/>
    <col min="13827" max="13828" width="10.7109375" style="556" customWidth="1"/>
    <col min="13829" max="13829" width="2.7109375" style="556" customWidth="1"/>
    <col min="13830" max="13831" width="10.7109375" style="556" customWidth="1"/>
    <col min="13832" max="13833" width="9.140625" style="556"/>
    <col min="13834" max="13835" width="10.7109375" style="556" customWidth="1"/>
    <col min="13836" max="13837" width="9.140625" style="556"/>
    <col min="13838" max="13839" width="11.7109375" style="556" customWidth="1"/>
    <col min="13840" max="13840" width="9.28515625" style="556" bestFit="1" customWidth="1"/>
    <col min="13841" max="13841" width="9.140625" style="556"/>
    <col min="13842" max="13843" width="10.7109375" style="556" customWidth="1"/>
    <col min="13844" max="14081" width="9.140625" style="556"/>
    <col min="14082" max="14082" width="15.7109375" style="556" customWidth="1"/>
    <col min="14083" max="14084" width="10.7109375" style="556" customWidth="1"/>
    <col min="14085" max="14085" width="2.7109375" style="556" customWidth="1"/>
    <col min="14086" max="14087" width="10.7109375" style="556" customWidth="1"/>
    <col min="14088" max="14089" width="9.140625" style="556"/>
    <col min="14090" max="14091" width="10.7109375" style="556" customWidth="1"/>
    <col min="14092" max="14093" width="9.140625" style="556"/>
    <col min="14094" max="14095" width="11.7109375" style="556" customWidth="1"/>
    <col min="14096" max="14096" width="9.28515625" style="556" bestFit="1" customWidth="1"/>
    <col min="14097" max="14097" width="9.140625" style="556"/>
    <col min="14098" max="14099" width="10.7109375" style="556" customWidth="1"/>
    <col min="14100" max="14337" width="9.140625" style="556"/>
    <col min="14338" max="14338" width="15.7109375" style="556" customWidth="1"/>
    <col min="14339" max="14340" width="10.7109375" style="556" customWidth="1"/>
    <col min="14341" max="14341" width="2.7109375" style="556" customWidth="1"/>
    <col min="14342" max="14343" width="10.7109375" style="556" customWidth="1"/>
    <col min="14344" max="14345" width="9.140625" style="556"/>
    <col min="14346" max="14347" width="10.7109375" style="556" customWidth="1"/>
    <col min="14348" max="14349" width="9.140625" style="556"/>
    <col min="14350" max="14351" width="11.7109375" style="556" customWidth="1"/>
    <col min="14352" max="14352" width="9.28515625" style="556" bestFit="1" customWidth="1"/>
    <col min="14353" max="14353" width="9.140625" style="556"/>
    <col min="14354" max="14355" width="10.7109375" style="556" customWidth="1"/>
    <col min="14356" max="14593" width="9.140625" style="556"/>
    <col min="14594" max="14594" width="15.7109375" style="556" customWidth="1"/>
    <col min="14595" max="14596" width="10.7109375" style="556" customWidth="1"/>
    <col min="14597" max="14597" width="2.7109375" style="556" customWidth="1"/>
    <col min="14598" max="14599" width="10.7109375" style="556" customWidth="1"/>
    <col min="14600" max="14601" width="9.140625" style="556"/>
    <col min="14602" max="14603" width="10.7109375" style="556" customWidth="1"/>
    <col min="14604" max="14605" width="9.140625" style="556"/>
    <col min="14606" max="14607" width="11.7109375" style="556" customWidth="1"/>
    <col min="14608" max="14608" width="9.28515625" style="556" bestFit="1" customWidth="1"/>
    <col min="14609" max="14609" width="9.140625" style="556"/>
    <col min="14610" max="14611" width="10.7109375" style="556" customWidth="1"/>
    <col min="14612" max="14849" width="9.140625" style="556"/>
    <col min="14850" max="14850" width="15.7109375" style="556" customWidth="1"/>
    <col min="14851" max="14852" width="10.7109375" style="556" customWidth="1"/>
    <col min="14853" max="14853" width="2.7109375" style="556" customWidth="1"/>
    <col min="14854" max="14855" width="10.7109375" style="556" customWidth="1"/>
    <col min="14856" max="14857" width="9.140625" style="556"/>
    <col min="14858" max="14859" width="10.7109375" style="556" customWidth="1"/>
    <col min="14860" max="14861" width="9.140625" style="556"/>
    <col min="14862" max="14863" width="11.7109375" style="556" customWidth="1"/>
    <col min="14864" max="14864" width="9.28515625" style="556" bestFit="1" customWidth="1"/>
    <col min="14865" max="14865" width="9.140625" style="556"/>
    <col min="14866" max="14867" width="10.7109375" style="556" customWidth="1"/>
    <col min="14868" max="15105" width="9.140625" style="556"/>
    <col min="15106" max="15106" width="15.7109375" style="556" customWidth="1"/>
    <col min="15107" max="15108" width="10.7109375" style="556" customWidth="1"/>
    <col min="15109" max="15109" width="2.7109375" style="556" customWidth="1"/>
    <col min="15110" max="15111" width="10.7109375" style="556" customWidth="1"/>
    <col min="15112" max="15113" width="9.140625" style="556"/>
    <col min="15114" max="15115" width="10.7109375" style="556" customWidth="1"/>
    <col min="15116" max="15117" width="9.140625" style="556"/>
    <col min="15118" max="15119" width="11.7109375" style="556" customWidth="1"/>
    <col min="15120" max="15120" width="9.28515625" style="556" bestFit="1" customWidth="1"/>
    <col min="15121" max="15121" width="9.140625" style="556"/>
    <col min="15122" max="15123" width="10.7109375" style="556" customWidth="1"/>
    <col min="15124" max="15361" width="9.140625" style="556"/>
    <col min="15362" max="15362" width="15.7109375" style="556" customWidth="1"/>
    <col min="15363" max="15364" width="10.7109375" style="556" customWidth="1"/>
    <col min="15365" max="15365" width="2.7109375" style="556" customWidth="1"/>
    <col min="15366" max="15367" width="10.7109375" style="556" customWidth="1"/>
    <col min="15368" max="15369" width="9.140625" style="556"/>
    <col min="15370" max="15371" width="10.7109375" style="556" customWidth="1"/>
    <col min="15372" max="15373" width="9.140625" style="556"/>
    <col min="15374" max="15375" width="11.7109375" style="556" customWidth="1"/>
    <col min="15376" max="15376" width="9.28515625" style="556" bestFit="1" customWidth="1"/>
    <col min="15377" max="15377" width="9.140625" style="556"/>
    <col min="15378" max="15379" width="10.7109375" style="556" customWidth="1"/>
    <col min="15380" max="15617" width="9.140625" style="556"/>
    <col min="15618" max="15618" width="15.7109375" style="556" customWidth="1"/>
    <col min="15619" max="15620" width="10.7109375" style="556" customWidth="1"/>
    <col min="15621" max="15621" width="2.7109375" style="556" customWidth="1"/>
    <col min="15622" max="15623" width="10.7109375" style="556" customWidth="1"/>
    <col min="15624" max="15625" width="9.140625" style="556"/>
    <col min="15626" max="15627" width="10.7109375" style="556" customWidth="1"/>
    <col min="15628" max="15629" width="9.140625" style="556"/>
    <col min="15630" max="15631" width="11.7109375" style="556" customWidth="1"/>
    <col min="15632" max="15632" width="9.28515625" style="556" bestFit="1" customWidth="1"/>
    <col min="15633" max="15633" width="9.140625" style="556"/>
    <col min="15634" max="15635" width="10.7109375" style="556" customWidth="1"/>
    <col min="15636" max="15873" width="9.140625" style="556"/>
    <col min="15874" max="15874" width="15.7109375" style="556" customWidth="1"/>
    <col min="15875" max="15876" width="10.7109375" style="556" customWidth="1"/>
    <col min="15877" max="15877" width="2.7109375" style="556" customWidth="1"/>
    <col min="15878" max="15879" width="10.7109375" style="556" customWidth="1"/>
    <col min="15880" max="15881" width="9.140625" style="556"/>
    <col min="15882" max="15883" width="10.7109375" style="556" customWidth="1"/>
    <col min="15884" max="15885" width="9.140625" style="556"/>
    <col min="15886" max="15887" width="11.7109375" style="556" customWidth="1"/>
    <col min="15888" max="15888" width="9.28515625" style="556" bestFit="1" customWidth="1"/>
    <col min="15889" max="15889" width="9.140625" style="556"/>
    <col min="15890" max="15891" width="10.7109375" style="556" customWidth="1"/>
    <col min="15892" max="16129" width="9.140625" style="556"/>
    <col min="16130" max="16130" width="15.7109375" style="556" customWidth="1"/>
    <col min="16131" max="16132" width="10.7109375" style="556" customWidth="1"/>
    <col min="16133" max="16133" width="2.7109375" style="556" customWidth="1"/>
    <col min="16134" max="16135" width="10.7109375" style="556" customWidth="1"/>
    <col min="16136" max="16137" width="9.140625" style="556"/>
    <col min="16138" max="16139" width="10.7109375" style="556" customWidth="1"/>
    <col min="16140" max="16141" width="9.140625" style="556"/>
    <col min="16142" max="16143" width="11.7109375" style="556" customWidth="1"/>
    <col min="16144" max="16144" width="9.28515625" style="556" bestFit="1" customWidth="1"/>
    <col min="16145" max="16145" width="9.140625" style="556"/>
    <col min="16146" max="16147" width="10.7109375" style="556" customWidth="1"/>
    <col min="16148" max="16384" width="9.140625" style="556"/>
  </cols>
  <sheetData>
    <row r="2" spans="2:19" ht="20.25" x14ac:dyDescent="0.3">
      <c r="B2" s="555" t="s">
        <v>824</v>
      </c>
    </row>
    <row r="3" spans="2:19" ht="20.25" x14ac:dyDescent="0.3">
      <c r="C3" s="555" t="s">
        <v>0</v>
      </c>
    </row>
    <row r="4" spans="2:19" ht="13.5" thickBot="1" x14ac:dyDescent="0.25"/>
    <row r="5" spans="2:19" ht="15.75" x14ac:dyDescent="0.25">
      <c r="B5" s="987" t="s">
        <v>813</v>
      </c>
      <c r="C5" s="558" t="s">
        <v>1</v>
      </c>
      <c r="D5" s="558" t="s">
        <v>15</v>
      </c>
      <c r="E5" s="559"/>
      <c r="F5" s="560" t="s">
        <v>473</v>
      </c>
      <c r="G5" s="561" t="s">
        <v>15</v>
      </c>
      <c r="J5" s="562" t="s">
        <v>814</v>
      </c>
      <c r="K5" s="563"/>
      <c r="N5" s="979" t="s">
        <v>815</v>
      </c>
      <c r="O5" s="988"/>
      <c r="R5" s="564" t="s">
        <v>1</v>
      </c>
      <c r="S5" s="931" t="s">
        <v>15</v>
      </c>
    </row>
    <row r="6" spans="2:19" ht="15.75" x14ac:dyDescent="0.25">
      <c r="B6" s="989" t="s">
        <v>816</v>
      </c>
      <c r="C6" s="568" t="s">
        <v>328</v>
      </c>
      <c r="D6" s="568" t="s">
        <v>328</v>
      </c>
      <c r="E6" s="569"/>
      <c r="F6" s="570" t="s">
        <v>3</v>
      </c>
      <c r="G6" s="571" t="s">
        <v>3</v>
      </c>
      <c r="J6" s="635" t="s">
        <v>476</v>
      </c>
      <c r="K6" s="637" t="s">
        <v>477</v>
      </c>
      <c r="N6" s="635" t="s">
        <v>476</v>
      </c>
      <c r="O6" s="637" t="s">
        <v>477</v>
      </c>
      <c r="R6" s="574" t="s">
        <v>3</v>
      </c>
      <c r="S6" s="941" t="s">
        <v>3</v>
      </c>
    </row>
    <row r="7" spans="2:19" x14ac:dyDescent="0.2">
      <c r="B7" s="990" t="s">
        <v>387</v>
      </c>
      <c r="C7" s="578" t="s">
        <v>0</v>
      </c>
      <c r="D7" s="578" t="s">
        <v>0</v>
      </c>
      <c r="E7" s="579"/>
      <c r="F7" s="580" t="s">
        <v>0</v>
      </c>
      <c r="G7" s="581" t="s">
        <v>0</v>
      </c>
      <c r="J7" s="582" t="s">
        <v>483</v>
      </c>
      <c r="K7" s="583" t="s">
        <v>484</v>
      </c>
      <c r="N7" s="582" t="s">
        <v>483</v>
      </c>
      <c r="O7" s="583" t="s">
        <v>484</v>
      </c>
      <c r="R7" s="574" t="s">
        <v>223</v>
      </c>
      <c r="S7" s="941" t="s">
        <v>223</v>
      </c>
    </row>
    <row r="8" spans="2:19" x14ac:dyDescent="0.2">
      <c r="B8" s="567"/>
      <c r="C8" s="569"/>
      <c r="D8" s="569"/>
      <c r="E8" s="569"/>
      <c r="F8" s="586"/>
      <c r="G8" s="587"/>
      <c r="J8" s="572"/>
      <c r="K8" s="573"/>
      <c r="N8" s="572"/>
      <c r="O8" s="810"/>
      <c r="R8" s="593"/>
      <c r="S8" s="638"/>
    </row>
    <row r="9" spans="2:19" x14ac:dyDescent="0.2">
      <c r="B9" s="567"/>
      <c r="C9" s="569"/>
      <c r="D9" s="569"/>
      <c r="E9" s="569"/>
      <c r="F9" s="586"/>
      <c r="G9" s="587"/>
      <c r="J9" s="572"/>
      <c r="K9" s="573"/>
      <c r="N9" s="572"/>
      <c r="O9" s="573"/>
      <c r="R9" s="593"/>
      <c r="S9" s="638"/>
    </row>
    <row r="10" spans="2:19" x14ac:dyDescent="0.2">
      <c r="B10" s="567" t="s">
        <v>485</v>
      </c>
      <c r="C10" s="588">
        <v>0.4</v>
      </c>
      <c r="D10" s="588">
        <v>0.4</v>
      </c>
      <c r="E10" s="569"/>
      <c r="F10" s="589">
        <v>20</v>
      </c>
      <c r="G10" s="590">
        <v>10</v>
      </c>
      <c r="J10" s="591">
        <f>+(C10-D10)*(G10-G$17)/100</f>
        <v>0</v>
      </c>
      <c r="K10" s="592">
        <f>+C10*(F10-G10)/100</f>
        <v>0.04</v>
      </c>
      <c r="N10" s="591">
        <f>+J10*$O$19/$O$147</f>
        <v>0</v>
      </c>
      <c r="O10" s="592">
        <f>+K10*$O$19/$O$147</f>
        <v>3.617253906109711E-2</v>
      </c>
      <c r="R10" s="593">
        <f>+C10*F10</f>
        <v>8</v>
      </c>
      <c r="S10" s="638">
        <f>+D10*G10</f>
        <v>4</v>
      </c>
    </row>
    <row r="11" spans="2:19" x14ac:dyDescent="0.2">
      <c r="B11" s="567"/>
      <c r="C11" s="588"/>
      <c r="D11" s="588"/>
      <c r="E11" s="569"/>
      <c r="F11" s="589"/>
      <c r="G11" s="590"/>
      <c r="J11" s="572"/>
      <c r="K11" s="573"/>
      <c r="N11" s="591"/>
      <c r="O11" s="592"/>
      <c r="R11" s="593"/>
      <c r="S11" s="638" t="s">
        <v>0</v>
      </c>
    </row>
    <row r="12" spans="2:19" x14ac:dyDescent="0.2">
      <c r="B12" s="567" t="s">
        <v>486</v>
      </c>
      <c r="C12" s="588">
        <v>0.3</v>
      </c>
      <c r="D12" s="588">
        <v>0.2</v>
      </c>
      <c r="E12" s="569"/>
      <c r="F12" s="589">
        <v>-5</v>
      </c>
      <c r="G12" s="590">
        <v>-4</v>
      </c>
      <c r="J12" s="591">
        <f>+(C12-D12)*(G12-G$17)/100</f>
        <v>-1.0399999999999998E-2</v>
      </c>
      <c r="K12" s="592">
        <f>+C12*(F12-G12)/100</f>
        <v>-3.0000000000000001E-3</v>
      </c>
      <c r="N12" s="591">
        <f>+J12*$O$19/$O$147</f>
        <v>-9.4048601558852467E-3</v>
      </c>
      <c r="O12" s="592">
        <f>+K12*$O$19/$O$147</f>
        <v>-2.712940429582283E-3</v>
      </c>
      <c r="R12" s="593">
        <f>+C12*F12</f>
        <v>-1.5</v>
      </c>
      <c r="S12" s="638">
        <f>+D12*G12</f>
        <v>-0.8</v>
      </c>
    </row>
    <row r="13" spans="2:19" x14ac:dyDescent="0.2">
      <c r="B13" s="567"/>
      <c r="C13" s="588"/>
      <c r="D13" s="588"/>
      <c r="E13" s="569"/>
      <c r="F13" s="589"/>
      <c r="G13" s="590"/>
      <c r="J13" s="572"/>
      <c r="K13" s="573"/>
      <c r="N13" s="591"/>
      <c r="O13" s="592"/>
      <c r="R13" s="593"/>
      <c r="S13" s="638"/>
    </row>
    <row r="14" spans="2:19" x14ac:dyDescent="0.2">
      <c r="B14" s="567" t="s">
        <v>487</v>
      </c>
      <c r="C14" s="588">
        <v>0.3</v>
      </c>
      <c r="D14" s="588">
        <v>0.4</v>
      </c>
      <c r="E14" s="569"/>
      <c r="F14" s="589">
        <v>6</v>
      </c>
      <c r="G14" s="590">
        <v>8</v>
      </c>
      <c r="J14" s="591">
        <f>+(C14-D14)*(G14-G$17)/100</f>
        <v>-1.6000000000000003E-3</v>
      </c>
      <c r="K14" s="592">
        <f>+C14*(F14-G14)/100</f>
        <v>-6.0000000000000001E-3</v>
      </c>
      <c r="N14" s="591">
        <f>+J14*$O$19/$O$147</f>
        <v>-1.4469015624438847E-3</v>
      </c>
      <c r="O14" s="592">
        <f>+K14*$O$19/$O$147</f>
        <v>-5.425880859164566E-3</v>
      </c>
      <c r="R14" s="593">
        <f>+C14*F14</f>
        <v>1.7999999999999998</v>
      </c>
      <c r="S14" s="638">
        <f>+D14*G14</f>
        <v>3.2</v>
      </c>
    </row>
    <row r="15" spans="2:19" x14ac:dyDescent="0.2">
      <c r="B15" s="567"/>
      <c r="C15" s="588"/>
      <c r="D15" s="588"/>
      <c r="E15" s="569"/>
      <c r="F15" s="586"/>
      <c r="G15" s="587"/>
      <c r="J15" s="572"/>
      <c r="K15" s="573"/>
      <c r="N15" s="572"/>
      <c r="O15" s="573"/>
      <c r="R15" s="593"/>
      <c r="S15" s="638"/>
    </row>
    <row r="16" spans="2:19" x14ac:dyDescent="0.2">
      <c r="B16" s="567"/>
      <c r="C16" s="588"/>
      <c r="D16" s="588"/>
      <c r="E16" s="569"/>
      <c r="F16" s="586"/>
      <c r="G16" s="587"/>
      <c r="J16" s="572"/>
      <c r="K16" s="573"/>
      <c r="N16" s="572"/>
      <c r="O16" s="573"/>
      <c r="R16" s="593"/>
      <c r="S16" s="638"/>
    </row>
    <row r="17" spans="2:19" ht="13.5" thickBot="1" x14ac:dyDescent="0.25">
      <c r="B17" s="595" t="s">
        <v>16</v>
      </c>
      <c r="C17" s="596">
        <f>SUM(C10:C14)</f>
        <v>1</v>
      </c>
      <c r="D17" s="596">
        <f>SUM(D10:D14)</f>
        <v>1</v>
      </c>
      <c r="E17" s="597"/>
      <c r="F17" s="598">
        <f>+R17</f>
        <v>8.3000000000000007</v>
      </c>
      <c r="G17" s="599">
        <f>+S17</f>
        <v>6.4</v>
      </c>
      <c r="H17" s="600"/>
      <c r="I17" s="600"/>
      <c r="J17" s="601">
        <f>SUM(J10:J14)</f>
        <v>-1.1999999999999999E-2</v>
      </c>
      <c r="K17" s="602">
        <f>SUM(K10:K14)</f>
        <v>3.1E-2</v>
      </c>
      <c r="L17" s="600"/>
      <c r="M17" s="600"/>
      <c r="N17" s="601">
        <f>SUM(N10:N14)</f>
        <v>-1.0851761718329132E-2</v>
      </c>
      <c r="O17" s="602">
        <f>SUM(O10:O14)</f>
        <v>2.803371777235026E-2</v>
      </c>
      <c r="R17" s="794">
        <f>SUM(R10:R14)</f>
        <v>8.3000000000000007</v>
      </c>
      <c r="S17" s="907">
        <f>SUM(S10:S14)</f>
        <v>6.4</v>
      </c>
    </row>
    <row r="18" spans="2:19" x14ac:dyDescent="0.2">
      <c r="O18" s="556" t="s">
        <v>0</v>
      </c>
    </row>
    <row r="19" spans="2:19" ht="15.75" x14ac:dyDescent="0.3">
      <c r="N19" s="991" t="s">
        <v>817</v>
      </c>
      <c r="O19" s="992">
        <f>+(LN(1+F17/100)-LN(1+G17/100))/(F17/100-G17/100)</f>
        <v>0.93155668944214842</v>
      </c>
      <c r="R19" s="556" t="s">
        <v>0</v>
      </c>
    </row>
    <row r="20" spans="2:19" ht="13.5" thickBot="1" x14ac:dyDescent="0.25"/>
    <row r="21" spans="2:19" ht="15.75" x14ac:dyDescent="0.25">
      <c r="J21" s="606" t="s">
        <v>488</v>
      </c>
      <c r="K21" s="607"/>
      <c r="L21" s="608">
        <f>+(F17-G17)/100</f>
        <v>1.9000000000000003E-2</v>
      </c>
      <c r="O21" s="993"/>
    </row>
    <row r="22" spans="2:19" x14ac:dyDescent="0.2">
      <c r="J22" s="572"/>
      <c r="K22" s="609"/>
      <c r="L22" s="573"/>
      <c r="N22" s="994" t="s">
        <v>0</v>
      </c>
    </row>
    <row r="23" spans="2:19" x14ac:dyDescent="0.2">
      <c r="J23" s="572" t="s">
        <v>477</v>
      </c>
      <c r="K23" s="609"/>
      <c r="L23" s="610">
        <f>+J17</f>
        <v>-1.1999999999999999E-2</v>
      </c>
      <c r="N23" s="556" t="s">
        <v>0</v>
      </c>
    </row>
    <row r="24" spans="2:19" x14ac:dyDescent="0.2">
      <c r="J24" s="572" t="s">
        <v>531</v>
      </c>
      <c r="K24" s="609"/>
      <c r="L24" s="610">
        <f>+K17</f>
        <v>3.1E-2</v>
      </c>
      <c r="N24" s="556" t="s">
        <v>0</v>
      </c>
    </row>
    <row r="25" spans="2:19" x14ac:dyDescent="0.2">
      <c r="J25" s="572" t="s">
        <v>0</v>
      </c>
      <c r="K25" s="609"/>
      <c r="L25" s="610" t="s">
        <v>0</v>
      </c>
      <c r="N25" s="556" t="s">
        <v>0</v>
      </c>
    </row>
    <row r="26" spans="2:19" ht="13.5" thickBot="1" x14ac:dyDescent="0.25">
      <c r="J26" s="613" t="s">
        <v>524</v>
      </c>
      <c r="K26" s="614"/>
      <c r="L26" s="615">
        <f>+L21-L23-L24</f>
        <v>0</v>
      </c>
      <c r="N26" s="556" t="s">
        <v>0</v>
      </c>
    </row>
    <row r="28" spans="2:19" x14ac:dyDescent="0.2">
      <c r="N28" s="556" t="s">
        <v>0</v>
      </c>
      <c r="O28" s="556" t="s">
        <v>0</v>
      </c>
    </row>
    <row r="36" spans="2:19" ht="13.5" thickBot="1" x14ac:dyDescent="0.25"/>
    <row r="37" spans="2:19" ht="15.75" x14ac:dyDescent="0.25">
      <c r="B37" s="987" t="s">
        <v>813</v>
      </c>
      <c r="C37" s="558" t="s">
        <v>1</v>
      </c>
      <c r="D37" s="558" t="s">
        <v>15</v>
      </c>
      <c r="E37" s="559"/>
      <c r="F37" s="560" t="s">
        <v>473</v>
      </c>
      <c r="G37" s="561" t="s">
        <v>15</v>
      </c>
      <c r="J37" s="562" t="s">
        <v>814</v>
      </c>
      <c r="K37" s="563"/>
      <c r="N37" s="863" t="s">
        <v>815</v>
      </c>
      <c r="O37" s="995"/>
      <c r="R37" s="575" t="s">
        <v>1</v>
      </c>
      <c r="S37" s="575" t="s">
        <v>15</v>
      </c>
    </row>
    <row r="38" spans="2:19" ht="15.75" x14ac:dyDescent="0.25">
      <c r="B38" s="989" t="s">
        <v>816</v>
      </c>
      <c r="C38" s="568" t="s">
        <v>328</v>
      </c>
      <c r="D38" s="568" t="s">
        <v>328</v>
      </c>
      <c r="E38" s="569"/>
      <c r="F38" s="570" t="s">
        <v>3</v>
      </c>
      <c r="G38" s="571" t="s">
        <v>3</v>
      </c>
      <c r="J38" s="635" t="s">
        <v>476</v>
      </c>
      <c r="K38" s="637" t="s">
        <v>477</v>
      </c>
      <c r="N38" s="725" t="s">
        <v>476</v>
      </c>
      <c r="O38" s="875" t="s">
        <v>477</v>
      </c>
      <c r="R38" s="575" t="s">
        <v>3</v>
      </c>
      <c r="S38" s="575" t="s">
        <v>3</v>
      </c>
    </row>
    <row r="39" spans="2:19" x14ac:dyDescent="0.2">
      <c r="B39" s="990" t="s">
        <v>390</v>
      </c>
      <c r="C39" s="579" t="s">
        <v>0</v>
      </c>
      <c r="D39" s="579" t="s">
        <v>0</v>
      </c>
      <c r="E39" s="579"/>
      <c r="F39" s="692" t="s">
        <v>0</v>
      </c>
      <c r="G39" s="695" t="s">
        <v>0</v>
      </c>
      <c r="H39" s="556" t="s">
        <v>0</v>
      </c>
      <c r="J39" s="582" t="s">
        <v>483</v>
      </c>
      <c r="K39" s="583" t="s">
        <v>484</v>
      </c>
      <c r="N39" s="734" t="s">
        <v>483</v>
      </c>
      <c r="O39" s="910" t="s">
        <v>484</v>
      </c>
      <c r="R39" s="575" t="s">
        <v>223</v>
      </c>
      <c r="S39" s="575" t="s">
        <v>223</v>
      </c>
    </row>
    <row r="40" spans="2:19" x14ac:dyDescent="0.2">
      <c r="B40" s="567"/>
      <c r="C40" s="569"/>
      <c r="D40" s="569"/>
      <c r="E40" s="569"/>
      <c r="F40" s="586"/>
      <c r="G40" s="587"/>
      <c r="J40" s="572"/>
      <c r="K40" s="573"/>
      <c r="N40" s="622"/>
      <c r="O40" s="809"/>
      <c r="R40" s="594"/>
      <c r="S40" s="594"/>
    </row>
    <row r="41" spans="2:19" x14ac:dyDescent="0.2">
      <c r="B41" s="567"/>
      <c r="C41" s="569"/>
      <c r="D41" s="569"/>
      <c r="E41" s="569"/>
      <c r="F41" s="586"/>
      <c r="G41" s="587"/>
      <c r="J41" s="572"/>
      <c r="K41" s="573"/>
      <c r="N41" s="622"/>
      <c r="O41" s="609"/>
      <c r="R41" s="594"/>
      <c r="S41" s="594"/>
    </row>
    <row r="42" spans="2:19" x14ac:dyDescent="0.2">
      <c r="B42" s="567" t="s">
        <v>485</v>
      </c>
      <c r="C42" s="588">
        <v>0.7</v>
      </c>
      <c r="D42" s="588">
        <v>0.4</v>
      </c>
      <c r="E42" s="569"/>
      <c r="F42" s="589">
        <v>-5</v>
      </c>
      <c r="G42" s="590">
        <v>-7</v>
      </c>
      <c r="J42" s="591">
        <f>+(C42-D42)*(G42-G$49)/100</f>
        <v>-7.1999999999999963E-3</v>
      </c>
      <c r="K42" s="592">
        <f>+C42*(F42-G42)/100</f>
        <v>1.3999999999999999E-2</v>
      </c>
      <c r="N42" s="746">
        <f>+J42*$O$51/$O$147</f>
        <v>-7.2807586105684014E-3</v>
      </c>
      <c r="O42" s="898">
        <f>+K42*$O$51/$O$147</f>
        <v>1.4157030631660785E-2</v>
      </c>
      <c r="R42" s="594">
        <f>+C42*F42</f>
        <v>-3.5</v>
      </c>
      <c r="S42" s="594">
        <f>+D42*G42</f>
        <v>-2.8000000000000003</v>
      </c>
    </row>
    <row r="43" spans="2:19" x14ac:dyDescent="0.2">
      <c r="B43" s="567"/>
      <c r="C43" s="588"/>
      <c r="D43" s="588"/>
      <c r="E43" s="569"/>
      <c r="F43" s="589"/>
      <c r="G43" s="590"/>
      <c r="J43" s="572"/>
      <c r="K43" s="573"/>
      <c r="N43" s="746"/>
      <c r="O43" s="898"/>
      <c r="R43" s="594"/>
      <c r="S43" s="594" t="s">
        <v>0</v>
      </c>
    </row>
    <row r="44" spans="2:19" x14ac:dyDescent="0.2">
      <c r="B44" s="567" t="s">
        <v>486</v>
      </c>
      <c r="C44" s="588">
        <v>0.2</v>
      </c>
      <c r="D44" s="588">
        <v>0.3</v>
      </c>
      <c r="E44" s="569"/>
      <c r="F44" s="589">
        <v>3</v>
      </c>
      <c r="G44" s="590">
        <v>4</v>
      </c>
      <c r="J44" s="591">
        <f>+(C44-D44)*(G44-G$49)/100</f>
        <v>-8.6E-3</v>
      </c>
      <c r="K44" s="592">
        <f>+C44*(F44-G44)/100</f>
        <v>-2E-3</v>
      </c>
      <c r="N44" s="746">
        <f>+J44*$O$51/$O$147</f>
        <v>-8.6964616737344839E-3</v>
      </c>
      <c r="O44" s="898">
        <f>+K44*$O$51/$O$147</f>
        <v>-2.0224329473801125E-3</v>
      </c>
      <c r="R44" s="594">
        <f>+C44*F44</f>
        <v>0.60000000000000009</v>
      </c>
      <c r="S44" s="594">
        <f>+D44*G44</f>
        <v>1.2</v>
      </c>
    </row>
    <row r="45" spans="2:19" x14ac:dyDescent="0.2">
      <c r="B45" s="567"/>
      <c r="C45" s="588"/>
      <c r="D45" s="588"/>
      <c r="E45" s="569"/>
      <c r="F45" s="589"/>
      <c r="G45" s="590"/>
      <c r="J45" s="572"/>
      <c r="K45" s="573"/>
      <c r="N45" s="746"/>
      <c r="O45" s="898"/>
      <c r="R45" s="594"/>
      <c r="S45" s="594"/>
    </row>
    <row r="46" spans="2:19" x14ac:dyDescent="0.2">
      <c r="B46" s="567" t="s">
        <v>487</v>
      </c>
      <c r="C46" s="588">
        <v>0.1</v>
      </c>
      <c r="D46" s="588">
        <v>0.3</v>
      </c>
      <c r="E46" s="569"/>
      <c r="F46" s="589">
        <v>-5</v>
      </c>
      <c r="G46" s="590">
        <v>-10</v>
      </c>
      <c r="J46" s="591">
        <f>+(C46-D46)*(G46-G$49)/100</f>
        <v>1.0799999999999999E-2</v>
      </c>
      <c r="K46" s="592">
        <f>+C46*(F46-G46)/100</f>
        <v>5.0000000000000001E-3</v>
      </c>
      <c r="N46" s="746">
        <f>+J46*$O$51/$O$147</f>
        <v>1.0921137915852606E-2</v>
      </c>
      <c r="O46" s="898">
        <f>+K46*$O$51/$O$147</f>
        <v>5.0560823684502815E-3</v>
      </c>
      <c r="R46" s="594">
        <f>+C46*F46</f>
        <v>-0.5</v>
      </c>
      <c r="S46" s="594">
        <f>+D46*G46</f>
        <v>-3</v>
      </c>
    </row>
    <row r="47" spans="2:19" x14ac:dyDescent="0.2">
      <c r="B47" s="567"/>
      <c r="C47" s="588"/>
      <c r="D47" s="588"/>
      <c r="E47" s="569"/>
      <c r="F47" s="586"/>
      <c r="G47" s="587"/>
      <c r="J47" s="572"/>
      <c r="K47" s="573"/>
      <c r="N47" s="622"/>
      <c r="O47" s="609"/>
      <c r="R47" s="594"/>
      <c r="S47" s="594"/>
    </row>
    <row r="48" spans="2:19" x14ac:dyDescent="0.2">
      <c r="B48" s="567"/>
      <c r="C48" s="588"/>
      <c r="D48" s="588"/>
      <c r="E48" s="569"/>
      <c r="F48" s="586"/>
      <c r="G48" s="587"/>
      <c r="J48" s="572"/>
      <c r="K48" s="573"/>
      <c r="N48" s="622"/>
      <c r="O48" s="609"/>
      <c r="R48" s="594"/>
      <c r="S48" s="594"/>
    </row>
    <row r="49" spans="2:19" ht="13.5" thickBot="1" x14ac:dyDescent="0.25">
      <c r="B49" s="595" t="s">
        <v>16</v>
      </c>
      <c r="C49" s="596">
        <f>SUM(C42:C46)</f>
        <v>0.99999999999999989</v>
      </c>
      <c r="D49" s="596">
        <f>SUM(D42:D46)</f>
        <v>1</v>
      </c>
      <c r="E49" s="597"/>
      <c r="F49" s="598">
        <f>+R49</f>
        <v>-3.4</v>
      </c>
      <c r="G49" s="599">
        <f>+S49</f>
        <v>-4.6000000000000005</v>
      </c>
      <c r="H49" s="600"/>
      <c r="I49" s="600"/>
      <c r="J49" s="601">
        <f>SUM(J42:J46)</f>
        <v>-4.9999999999999958E-3</v>
      </c>
      <c r="K49" s="602">
        <f>SUM(K42:K46)</f>
        <v>1.6999999999999998E-2</v>
      </c>
      <c r="L49" s="600"/>
      <c r="M49" s="600"/>
      <c r="N49" s="755">
        <f>SUM(N42:N46)</f>
        <v>-5.0560823684502806E-3</v>
      </c>
      <c r="O49" s="756">
        <f>SUM(O42:O46)</f>
        <v>1.7190680052730955E-2</v>
      </c>
      <c r="R49" s="655">
        <f>SUM(R42:R46)</f>
        <v>-3.4</v>
      </c>
      <c r="S49" s="655">
        <f>SUM(S42:S46)</f>
        <v>-4.6000000000000005</v>
      </c>
    </row>
    <row r="51" spans="2:19" ht="15.75" x14ac:dyDescent="0.3">
      <c r="N51" s="991" t="s">
        <v>818</v>
      </c>
      <c r="O51" s="992">
        <f>+(LN(1+F49/100)-LN(1+G49/100))/(F49/100-G49/100)</f>
        <v>1.0416802303526229</v>
      </c>
      <c r="R51" s="556" t="s">
        <v>0</v>
      </c>
    </row>
    <row r="52" spans="2:19" ht="13.5" thickBot="1" x14ac:dyDescent="0.25"/>
    <row r="53" spans="2:19" ht="15.75" x14ac:dyDescent="0.25">
      <c r="J53" s="606" t="s">
        <v>488</v>
      </c>
      <c r="K53" s="607"/>
      <c r="L53" s="608">
        <f>+(F49-G49)/100</f>
        <v>1.2000000000000005E-2</v>
      </c>
    </row>
    <row r="54" spans="2:19" x14ac:dyDescent="0.2">
      <c r="J54" s="572"/>
      <c r="K54" s="609"/>
      <c r="L54" s="573"/>
    </row>
    <row r="55" spans="2:19" x14ac:dyDescent="0.2">
      <c r="J55" s="572" t="s">
        <v>477</v>
      </c>
      <c r="K55" s="609"/>
      <c r="L55" s="610">
        <f>+J49</f>
        <v>-4.9999999999999958E-3</v>
      </c>
    </row>
    <row r="56" spans="2:19" x14ac:dyDescent="0.2">
      <c r="J56" s="572" t="s">
        <v>531</v>
      </c>
      <c r="K56" s="609"/>
      <c r="L56" s="610">
        <f>+K49</f>
        <v>1.6999999999999998E-2</v>
      </c>
    </row>
    <row r="57" spans="2:19" x14ac:dyDescent="0.2">
      <c r="J57" s="572" t="s">
        <v>0</v>
      </c>
      <c r="K57" s="609"/>
      <c r="L57" s="610" t="s">
        <v>0</v>
      </c>
      <c r="N57" s="556" t="s">
        <v>0</v>
      </c>
    </row>
    <row r="58" spans="2:19" ht="13.5" thickBot="1" x14ac:dyDescent="0.25">
      <c r="J58" s="613" t="s">
        <v>524</v>
      </c>
      <c r="K58" s="614"/>
      <c r="L58" s="615">
        <f>+L53-L55-L56</f>
        <v>0</v>
      </c>
      <c r="N58" s="556" t="s">
        <v>0</v>
      </c>
    </row>
    <row r="68" spans="2:19" ht="13.5" thickBot="1" x14ac:dyDescent="0.25"/>
    <row r="69" spans="2:19" ht="15.75" x14ac:dyDescent="0.25">
      <c r="B69" s="987" t="s">
        <v>813</v>
      </c>
      <c r="C69" s="558" t="s">
        <v>1</v>
      </c>
      <c r="D69" s="558" t="s">
        <v>15</v>
      </c>
      <c r="E69" s="559"/>
      <c r="F69" s="560" t="s">
        <v>473</v>
      </c>
      <c r="G69" s="561" t="s">
        <v>15</v>
      </c>
      <c r="J69" s="562" t="s">
        <v>814</v>
      </c>
      <c r="K69" s="563"/>
      <c r="N69" s="863" t="s">
        <v>819</v>
      </c>
      <c r="O69" s="995"/>
      <c r="R69" s="575" t="s">
        <v>1</v>
      </c>
      <c r="S69" s="575" t="s">
        <v>15</v>
      </c>
    </row>
    <row r="70" spans="2:19" ht="15.75" x14ac:dyDescent="0.25">
      <c r="B70" s="989" t="s">
        <v>816</v>
      </c>
      <c r="C70" s="568" t="s">
        <v>328</v>
      </c>
      <c r="D70" s="568" t="s">
        <v>328</v>
      </c>
      <c r="E70" s="569"/>
      <c r="F70" s="570" t="s">
        <v>3</v>
      </c>
      <c r="G70" s="571" t="s">
        <v>3</v>
      </c>
      <c r="J70" s="635" t="s">
        <v>476</v>
      </c>
      <c r="K70" s="637" t="s">
        <v>477</v>
      </c>
      <c r="N70" s="725" t="s">
        <v>476</v>
      </c>
      <c r="O70" s="875" t="s">
        <v>477</v>
      </c>
      <c r="R70" s="575" t="s">
        <v>3</v>
      </c>
      <c r="S70" s="575" t="s">
        <v>3</v>
      </c>
    </row>
    <row r="71" spans="2:19" x14ac:dyDescent="0.2">
      <c r="B71" s="990" t="s">
        <v>391</v>
      </c>
      <c r="C71" s="579" t="s">
        <v>0</v>
      </c>
      <c r="D71" s="579" t="s">
        <v>0</v>
      </c>
      <c r="E71" s="579"/>
      <c r="F71" s="692" t="s">
        <v>0</v>
      </c>
      <c r="G71" s="695" t="s">
        <v>0</v>
      </c>
      <c r="J71" s="582" t="s">
        <v>483</v>
      </c>
      <c r="K71" s="583" t="s">
        <v>484</v>
      </c>
      <c r="N71" s="734" t="s">
        <v>483</v>
      </c>
      <c r="O71" s="910" t="s">
        <v>484</v>
      </c>
      <c r="R71" s="575" t="s">
        <v>223</v>
      </c>
      <c r="S71" s="575" t="s">
        <v>223</v>
      </c>
    </row>
    <row r="72" spans="2:19" x14ac:dyDescent="0.2">
      <c r="B72" s="567"/>
      <c r="C72" s="569"/>
      <c r="D72" s="569"/>
      <c r="E72" s="569"/>
      <c r="F72" s="586"/>
      <c r="G72" s="587"/>
      <c r="J72" s="572"/>
      <c r="K72" s="573"/>
      <c r="N72" s="622"/>
      <c r="O72" s="720"/>
      <c r="R72" s="594"/>
      <c r="S72" s="594"/>
    </row>
    <row r="73" spans="2:19" x14ac:dyDescent="0.2">
      <c r="B73" s="567"/>
      <c r="C73" s="569"/>
      <c r="D73" s="569"/>
      <c r="E73" s="569"/>
      <c r="F73" s="586"/>
      <c r="G73" s="587"/>
      <c r="J73" s="572"/>
      <c r="K73" s="573"/>
      <c r="N73" s="622"/>
      <c r="O73" s="623"/>
      <c r="R73" s="594"/>
      <c r="S73" s="594"/>
    </row>
    <row r="74" spans="2:19" x14ac:dyDescent="0.2">
      <c r="B74" s="567" t="s">
        <v>485</v>
      </c>
      <c r="C74" s="588">
        <v>0.3</v>
      </c>
      <c r="D74" s="588">
        <v>0.5</v>
      </c>
      <c r="E74" s="569"/>
      <c r="F74" s="589">
        <v>-20</v>
      </c>
      <c r="G74" s="590">
        <v>-25</v>
      </c>
      <c r="J74" s="591">
        <f>+(C74-D74)*(G74-G$81)/100</f>
        <v>2.5000000000000001E-2</v>
      </c>
      <c r="K74" s="592">
        <f>+C74*(F74-G74)/100</f>
        <v>1.4999999999999999E-2</v>
      </c>
      <c r="N74" s="746">
        <f>+J74*$O$83/$O$147</f>
        <v>2.6611019798918632E-2</v>
      </c>
      <c r="O74" s="898">
        <f>+K74*$O$83/$O$147</f>
        <v>1.5966611879351177E-2</v>
      </c>
      <c r="R74" s="594">
        <f>+C74*F74</f>
        <v>-6</v>
      </c>
      <c r="S74" s="594">
        <f>+D74*G74</f>
        <v>-12.5</v>
      </c>
    </row>
    <row r="75" spans="2:19" x14ac:dyDescent="0.2">
      <c r="B75" s="567"/>
      <c r="C75" s="588"/>
      <c r="D75" s="588"/>
      <c r="E75" s="569"/>
      <c r="F75" s="589"/>
      <c r="G75" s="590"/>
      <c r="J75" s="572"/>
      <c r="K75" s="573"/>
      <c r="N75" s="746"/>
      <c r="O75" s="898"/>
      <c r="R75" s="594"/>
      <c r="S75" s="594" t="s">
        <v>0</v>
      </c>
    </row>
    <row r="76" spans="2:19" x14ac:dyDescent="0.2">
      <c r="B76" s="567" t="s">
        <v>486</v>
      </c>
      <c r="C76" s="588">
        <v>0.5</v>
      </c>
      <c r="D76" s="588">
        <v>0.4</v>
      </c>
      <c r="E76" s="569"/>
      <c r="F76" s="589">
        <v>8</v>
      </c>
      <c r="G76" s="590">
        <v>5</v>
      </c>
      <c r="J76" s="591">
        <f>+(C76-D76)*(G76-G$81)/100</f>
        <v>1.7499999999999995E-2</v>
      </c>
      <c r="K76" s="592">
        <f>+C76*(F76-G76)/100</f>
        <v>1.4999999999999999E-2</v>
      </c>
      <c r="N76" s="746">
        <f>+J76*$O$83/$O$147</f>
        <v>1.8627713859243035E-2</v>
      </c>
      <c r="O76" s="898">
        <f>+K76*$O$83/$O$147</f>
        <v>1.5966611879351177E-2</v>
      </c>
      <c r="R76" s="594">
        <f>+C76*F76</f>
        <v>4</v>
      </c>
      <c r="S76" s="594">
        <f>+D76*G76</f>
        <v>2</v>
      </c>
    </row>
    <row r="77" spans="2:19" x14ac:dyDescent="0.2">
      <c r="B77" s="567"/>
      <c r="C77" s="588"/>
      <c r="D77" s="588"/>
      <c r="E77" s="569"/>
      <c r="F77" s="589"/>
      <c r="G77" s="590"/>
      <c r="J77" s="572"/>
      <c r="K77" s="573"/>
      <c r="N77" s="746"/>
      <c r="O77" s="898"/>
      <c r="R77" s="594"/>
      <c r="S77" s="594"/>
    </row>
    <row r="78" spans="2:19" x14ac:dyDescent="0.2">
      <c r="B78" s="567" t="s">
        <v>487</v>
      </c>
      <c r="C78" s="588">
        <v>0.2</v>
      </c>
      <c r="D78" s="588">
        <v>0.1</v>
      </c>
      <c r="E78" s="569"/>
      <c r="F78" s="589">
        <v>-15</v>
      </c>
      <c r="G78" s="590">
        <v>-20</v>
      </c>
      <c r="J78" s="591">
        <f>+(C78-D78)*(G78-G$81)/100</f>
        <v>-7.4999999999999997E-3</v>
      </c>
      <c r="K78" s="592">
        <f>+C78*(F78-G78)/100</f>
        <v>0.01</v>
      </c>
      <c r="N78" s="746">
        <f>+J78*$O$83/$O$147</f>
        <v>-7.9833059396755886E-3</v>
      </c>
      <c r="O78" s="898">
        <f>+K78*$O$83/$O$147</f>
        <v>1.0644407919567453E-2</v>
      </c>
      <c r="R78" s="594">
        <f>+C78*F78</f>
        <v>-3</v>
      </c>
      <c r="S78" s="594">
        <f>+D78*G78</f>
        <v>-2</v>
      </c>
    </row>
    <row r="79" spans="2:19" x14ac:dyDescent="0.2">
      <c r="B79" s="567"/>
      <c r="C79" s="588"/>
      <c r="D79" s="588"/>
      <c r="E79" s="569"/>
      <c r="F79" s="586"/>
      <c r="G79" s="587"/>
      <c r="J79" s="572"/>
      <c r="K79" s="573"/>
      <c r="N79" s="622"/>
      <c r="O79" s="623"/>
      <c r="R79" s="594"/>
      <c r="S79" s="594"/>
    </row>
    <row r="80" spans="2:19" x14ac:dyDescent="0.2">
      <c r="B80" s="567"/>
      <c r="C80" s="588"/>
      <c r="D80" s="588"/>
      <c r="E80" s="569"/>
      <c r="F80" s="586"/>
      <c r="G80" s="587"/>
      <c r="J80" s="572"/>
      <c r="K80" s="573"/>
      <c r="N80" s="622"/>
      <c r="O80" s="623"/>
      <c r="R80" s="594"/>
      <c r="S80" s="594"/>
    </row>
    <row r="81" spans="2:19" ht="13.5" thickBot="1" x14ac:dyDescent="0.25">
      <c r="B81" s="595" t="s">
        <v>16</v>
      </c>
      <c r="C81" s="596">
        <f>SUM(C74:C78)</f>
        <v>1</v>
      </c>
      <c r="D81" s="596">
        <f>SUM(D74:D78)</f>
        <v>1</v>
      </c>
      <c r="E81" s="597"/>
      <c r="F81" s="598">
        <f>+R81</f>
        <v>-5</v>
      </c>
      <c r="G81" s="599">
        <f>+S81</f>
        <v>-12.5</v>
      </c>
      <c r="H81" s="600"/>
      <c r="I81" s="600"/>
      <c r="J81" s="601">
        <f>SUM(J74:J78)</f>
        <v>3.4999999999999996E-2</v>
      </c>
      <c r="K81" s="602">
        <f>SUM(K74:K78)</f>
        <v>0.04</v>
      </c>
      <c r="L81" s="600"/>
      <c r="M81" s="600"/>
      <c r="N81" s="755">
        <f>SUM(N74:N78)</f>
        <v>3.7255427718486077E-2</v>
      </c>
      <c r="O81" s="757">
        <f>SUM(O74:O78)</f>
        <v>4.2577631678269806E-2</v>
      </c>
      <c r="R81" s="655">
        <f>SUM(R74:R78)</f>
        <v>-5</v>
      </c>
      <c r="S81" s="655">
        <f>SUM(S74:S78)</f>
        <v>-12.5</v>
      </c>
    </row>
    <row r="83" spans="2:19" ht="15.75" x14ac:dyDescent="0.3">
      <c r="N83" s="991" t="s">
        <v>820</v>
      </c>
      <c r="O83" s="992">
        <f>+(LN(1+F81/100)-LN(1+G81/100))/(F81/100-G81/100)</f>
        <v>1.0965079764929606</v>
      </c>
      <c r="R83" s="556" t="s">
        <v>0</v>
      </c>
    </row>
    <row r="84" spans="2:19" ht="13.5" thickBot="1" x14ac:dyDescent="0.25"/>
    <row r="85" spans="2:19" ht="15.75" x14ac:dyDescent="0.25">
      <c r="J85" s="606" t="s">
        <v>488</v>
      </c>
      <c r="K85" s="607"/>
      <c r="L85" s="608">
        <f>+(F81-G81)/100</f>
        <v>7.4999999999999997E-2</v>
      </c>
    </row>
    <row r="86" spans="2:19" x14ac:dyDescent="0.2">
      <c r="J86" s="572"/>
      <c r="K86" s="609"/>
      <c r="L86" s="573"/>
    </row>
    <row r="87" spans="2:19" x14ac:dyDescent="0.2">
      <c r="J87" s="572" t="s">
        <v>477</v>
      </c>
      <c r="K87" s="609"/>
      <c r="L87" s="610">
        <f>+J81</f>
        <v>3.4999999999999996E-2</v>
      </c>
    </row>
    <row r="88" spans="2:19" x14ac:dyDescent="0.2">
      <c r="J88" s="572" t="s">
        <v>531</v>
      </c>
      <c r="K88" s="609"/>
      <c r="L88" s="610">
        <f>+K81</f>
        <v>0.04</v>
      </c>
    </row>
    <row r="89" spans="2:19" x14ac:dyDescent="0.2">
      <c r="J89" s="572" t="s">
        <v>0</v>
      </c>
      <c r="K89" s="609"/>
      <c r="L89" s="610" t="s">
        <v>0</v>
      </c>
      <c r="N89" s="556" t="s">
        <v>0</v>
      </c>
    </row>
    <row r="90" spans="2:19" ht="13.5" thickBot="1" x14ac:dyDescent="0.25">
      <c r="J90" s="613" t="s">
        <v>524</v>
      </c>
      <c r="K90" s="614"/>
      <c r="L90" s="615">
        <f>+L85-L87-L88</f>
        <v>0</v>
      </c>
      <c r="N90" s="556" t="s">
        <v>0</v>
      </c>
    </row>
    <row r="100" spans="2:19" ht="13.5" thickBot="1" x14ac:dyDescent="0.25"/>
    <row r="101" spans="2:19" ht="15.75" x14ac:dyDescent="0.25">
      <c r="B101" s="987" t="s">
        <v>813</v>
      </c>
      <c r="C101" s="558" t="s">
        <v>1</v>
      </c>
      <c r="D101" s="558" t="s">
        <v>15</v>
      </c>
      <c r="E101" s="559"/>
      <c r="F101" s="560" t="s">
        <v>473</v>
      </c>
      <c r="G101" s="561" t="s">
        <v>15</v>
      </c>
      <c r="J101" s="562" t="s">
        <v>814</v>
      </c>
      <c r="K101" s="563"/>
      <c r="N101" s="863" t="s">
        <v>819</v>
      </c>
      <c r="O101" s="995"/>
      <c r="R101" s="575" t="s">
        <v>1</v>
      </c>
      <c r="S101" s="575" t="s">
        <v>15</v>
      </c>
    </row>
    <row r="102" spans="2:19" ht="15.75" x14ac:dyDescent="0.25">
      <c r="B102" s="989" t="s">
        <v>816</v>
      </c>
      <c r="C102" s="568" t="s">
        <v>328</v>
      </c>
      <c r="D102" s="568" t="s">
        <v>328</v>
      </c>
      <c r="E102" s="569"/>
      <c r="F102" s="570" t="s">
        <v>3</v>
      </c>
      <c r="G102" s="571" t="s">
        <v>3</v>
      </c>
      <c r="J102" s="635" t="s">
        <v>476</v>
      </c>
      <c r="K102" s="637" t="s">
        <v>477</v>
      </c>
      <c r="N102" s="725" t="s">
        <v>476</v>
      </c>
      <c r="O102" s="875" t="s">
        <v>477</v>
      </c>
      <c r="R102" s="575" t="s">
        <v>3</v>
      </c>
      <c r="S102" s="575" t="s">
        <v>3</v>
      </c>
    </row>
    <row r="103" spans="2:19" x14ac:dyDescent="0.2">
      <c r="B103" s="990" t="s">
        <v>392</v>
      </c>
      <c r="C103" s="579" t="s">
        <v>0</v>
      </c>
      <c r="D103" s="579" t="s">
        <v>0</v>
      </c>
      <c r="E103" s="579"/>
      <c r="F103" s="692" t="s">
        <v>0</v>
      </c>
      <c r="G103" s="695" t="s">
        <v>0</v>
      </c>
      <c r="J103" s="582" t="s">
        <v>483</v>
      </c>
      <c r="K103" s="583" t="s">
        <v>484</v>
      </c>
      <c r="N103" s="734" t="s">
        <v>483</v>
      </c>
      <c r="O103" s="910" t="s">
        <v>484</v>
      </c>
      <c r="R103" s="575" t="s">
        <v>223</v>
      </c>
      <c r="S103" s="575" t="s">
        <v>223</v>
      </c>
    </row>
    <row r="104" spans="2:19" x14ac:dyDescent="0.2">
      <c r="B104" s="567"/>
      <c r="C104" s="569"/>
      <c r="D104" s="569"/>
      <c r="E104" s="569"/>
      <c r="F104" s="586"/>
      <c r="G104" s="587"/>
      <c r="J104" s="572"/>
      <c r="K104" s="573"/>
      <c r="N104" s="622"/>
      <c r="O104" s="720"/>
      <c r="R104" s="594"/>
      <c r="S104" s="594"/>
    </row>
    <row r="105" spans="2:19" x14ac:dyDescent="0.2">
      <c r="B105" s="567"/>
      <c r="C105" s="569"/>
      <c r="D105" s="569"/>
      <c r="E105" s="569"/>
      <c r="F105" s="586"/>
      <c r="G105" s="587"/>
      <c r="J105" s="572"/>
      <c r="K105" s="573"/>
      <c r="N105" s="622"/>
      <c r="O105" s="623"/>
      <c r="R105" s="594"/>
      <c r="S105" s="594"/>
    </row>
    <row r="106" spans="2:19" x14ac:dyDescent="0.2">
      <c r="B106" s="567" t="s">
        <v>485</v>
      </c>
      <c r="C106" s="588">
        <v>0.3</v>
      </c>
      <c r="D106" s="588">
        <v>0.4</v>
      </c>
      <c r="E106" s="569"/>
      <c r="F106" s="589">
        <v>10</v>
      </c>
      <c r="G106" s="590">
        <v>5</v>
      </c>
      <c r="J106" s="591">
        <f>+(C106-D106)*(G106-G$113)/100</f>
        <v>-3.0000000000000009E-3</v>
      </c>
      <c r="K106" s="592">
        <f>+C106*(F106-G106)/100</f>
        <v>1.4999999999999999E-2</v>
      </c>
      <c r="N106" s="746">
        <f>+J106*$O$115/$O$147</f>
        <v>-2.8207339637930486E-3</v>
      </c>
      <c r="O106" s="898">
        <f>+K106*$O$115/$O$147</f>
        <v>1.410366981896524E-2</v>
      </c>
      <c r="R106" s="594">
        <f>+C106*F106</f>
        <v>3</v>
      </c>
      <c r="S106" s="594">
        <f>+D106*G106</f>
        <v>2</v>
      </c>
    </row>
    <row r="107" spans="2:19" x14ac:dyDescent="0.2">
      <c r="B107" s="567"/>
      <c r="C107" s="588"/>
      <c r="D107" s="588"/>
      <c r="E107" s="569"/>
      <c r="F107" s="589"/>
      <c r="G107" s="590"/>
      <c r="J107" s="572"/>
      <c r="K107" s="573"/>
      <c r="N107" s="622"/>
      <c r="O107" s="623"/>
      <c r="R107" s="594"/>
      <c r="S107" s="594" t="s">
        <v>0</v>
      </c>
    </row>
    <row r="108" spans="2:19" x14ac:dyDescent="0.2">
      <c r="B108" s="567" t="s">
        <v>486</v>
      </c>
      <c r="C108" s="588">
        <v>0.5</v>
      </c>
      <c r="D108" s="588">
        <v>0.4</v>
      </c>
      <c r="E108" s="569"/>
      <c r="F108" s="589">
        <v>-7</v>
      </c>
      <c r="G108" s="590">
        <v>-5</v>
      </c>
      <c r="J108" s="591">
        <f>+(C108-D108)*(G108-G$113)/100</f>
        <v>-6.9999999999999984E-3</v>
      </c>
      <c r="K108" s="592">
        <f>+C108*(F108-G108)/100</f>
        <v>-0.01</v>
      </c>
      <c r="N108" s="746">
        <f>+J108*$O$115/$O$147</f>
        <v>-6.5817125821837769E-3</v>
      </c>
      <c r="O108" s="898">
        <f>+K108*$O$115/$O$147</f>
        <v>-9.4024465459768263E-3</v>
      </c>
      <c r="R108" s="594">
        <f>+C108*F108</f>
        <v>-3.5</v>
      </c>
      <c r="S108" s="594">
        <f>+D108*G108</f>
        <v>-2</v>
      </c>
    </row>
    <row r="109" spans="2:19" x14ac:dyDescent="0.2">
      <c r="B109" s="567"/>
      <c r="C109" s="588"/>
      <c r="D109" s="588"/>
      <c r="E109" s="569"/>
      <c r="F109" s="589"/>
      <c r="G109" s="590"/>
      <c r="J109" s="572"/>
      <c r="K109" s="573"/>
      <c r="N109" s="622"/>
      <c r="O109" s="623"/>
      <c r="R109" s="594"/>
      <c r="S109" s="594"/>
    </row>
    <row r="110" spans="2:19" x14ac:dyDescent="0.2">
      <c r="B110" s="567" t="s">
        <v>487</v>
      </c>
      <c r="C110" s="588">
        <v>0.2</v>
      </c>
      <c r="D110" s="588">
        <v>0.2</v>
      </c>
      <c r="E110" s="569"/>
      <c r="F110" s="589">
        <v>25</v>
      </c>
      <c r="G110" s="590">
        <v>10</v>
      </c>
      <c r="J110" s="591">
        <f>+(C110-D110)*(G110-G$113)/100</f>
        <v>0</v>
      </c>
      <c r="K110" s="592">
        <f>+C110*(F110-G110)/100</f>
        <v>0.03</v>
      </c>
      <c r="N110" s="746">
        <f>+J110*$O$115/$O$147</f>
        <v>0</v>
      </c>
      <c r="O110" s="898">
        <f>+K110*$O$115/$O$147</f>
        <v>2.8207339637930481E-2</v>
      </c>
      <c r="R110" s="594">
        <f>+C110*F110</f>
        <v>5</v>
      </c>
      <c r="S110" s="594">
        <f>+D110*G110</f>
        <v>2</v>
      </c>
    </row>
    <row r="111" spans="2:19" x14ac:dyDescent="0.2">
      <c r="B111" s="567"/>
      <c r="C111" s="588"/>
      <c r="D111" s="588" t="s">
        <v>0</v>
      </c>
      <c r="E111" s="569"/>
      <c r="F111" s="586"/>
      <c r="G111" s="587"/>
      <c r="J111" s="572"/>
      <c r="K111" s="573"/>
      <c r="N111" s="622"/>
      <c r="O111" s="623"/>
      <c r="R111" s="594"/>
      <c r="S111" s="594"/>
    </row>
    <row r="112" spans="2:19" x14ac:dyDescent="0.2">
      <c r="B112" s="567"/>
      <c r="C112" s="588"/>
      <c r="D112" s="588"/>
      <c r="E112" s="569"/>
      <c r="F112" s="586"/>
      <c r="G112" s="587"/>
      <c r="J112" s="572"/>
      <c r="K112" s="573"/>
      <c r="N112" s="622"/>
      <c r="O112" s="623"/>
      <c r="R112" s="594"/>
      <c r="S112" s="594"/>
    </row>
    <row r="113" spans="2:19" ht="13.5" thickBot="1" x14ac:dyDescent="0.25">
      <c r="B113" s="595" t="s">
        <v>16</v>
      </c>
      <c r="C113" s="596">
        <f>SUM(C106:C110)</f>
        <v>1</v>
      </c>
      <c r="D113" s="596">
        <f>SUM(D106:D111)</f>
        <v>1</v>
      </c>
      <c r="E113" s="752"/>
      <c r="F113" s="598">
        <f>+R113</f>
        <v>4.5</v>
      </c>
      <c r="G113" s="599">
        <f>+S113</f>
        <v>2</v>
      </c>
      <c r="H113" s="600"/>
      <c r="I113" s="600"/>
      <c r="J113" s="601">
        <f>SUM(J106:J110)</f>
        <v>-9.9999999999999985E-3</v>
      </c>
      <c r="K113" s="602">
        <f>SUM(K106:K110)</f>
        <v>3.4999999999999996E-2</v>
      </c>
      <c r="L113" s="600"/>
      <c r="M113" s="600"/>
      <c r="N113" s="755">
        <f>SUM(N106:N110)</f>
        <v>-9.4024465459768246E-3</v>
      </c>
      <c r="O113" s="757">
        <f>SUM(O106:O110)</f>
        <v>3.2908562910918898E-2</v>
      </c>
      <c r="R113" s="655">
        <f>SUM(R106:R110)</f>
        <v>4.5</v>
      </c>
      <c r="S113" s="655">
        <f>SUM(S106:S110)</f>
        <v>2</v>
      </c>
    </row>
    <row r="115" spans="2:19" ht="15.75" x14ac:dyDescent="0.3">
      <c r="N115" s="991" t="s">
        <v>821</v>
      </c>
      <c r="O115" s="992">
        <f>+(LN(1+F113/100)-LN(1+G113/100))/(F113/100-G113/100)</f>
        <v>0.96857032482378125</v>
      </c>
      <c r="R115" s="556" t="s">
        <v>0</v>
      </c>
    </row>
    <row r="116" spans="2:19" ht="13.5" thickBot="1" x14ac:dyDescent="0.25"/>
    <row r="117" spans="2:19" ht="15.75" x14ac:dyDescent="0.25">
      <c r="J117" s="606" t="s">
        <v>488</v>
      </c>
      <c r="K117" s="607"/>
      <c r="L117" s="608">
        <f>+(F113-G113)/100</f>
        <v>2.5000000000000001E-2</v>
      </c>
    </row>
    <row r="118" spans="2:19" x14ac:dyDescent="0.2">
      <c r="J118" s="572"/>
      <c r="K118" s="609"/>
      <c r="L118" s="573"/>
      <c r="N118" s="994" t="s">
        <v>0</v>
      </c>
    </row>
    <row r="119" spans="2:19" x14ac:dyDescent="0.2">
      <c r="J119" s="572" t="s">
        <v>477</v>
      </c>
      <c r="K119" s="609"/>
      <c r="L119" s="610">
        <f>+J113</f>
        <v>-9.9999999999999985E-3</v>
      </c>
    </row>
    <row r="120" spans="2:19" x14ac:dyDescent="0.2">
      <c r="J120" s="572" t="s">
        <v>531</v>
      </c>
      <c r="K120" s="609"/>
      <c r="L120" s="610">
        <f>+K113</f>
        <v>3.4999999999999996E-2</v>
      </c>
    </row>
    <row r="121" spans="2:19" x14ac:dyDescent="0.2">
      <c r="J121" s="572" t="s">
        <v>0</v>
      </c>
      <c r="K121" s="609"/>
      <c r="L121" s="610" t="s">
        <v>0</v>
      </c>
    </row>
    <row r="122" spans="2:19" ht="13.5" thickBot="1" x14ac:dyDescent="0.25">
      <c r="J122" s="613" t="s">
        <v>524</v>
      </c>
      <c r="K122" s="614"/>
      <c r="L122" s="615">
        <f>+L117-L119-L120</f>
        <v>0</v>
      </c>
    </row>
    <row r="125" spans="2:19" x14ac:dyDescent="0.2">
      <c r="N125" s="556" t="s">
        <v>0</v>
      </c>
    </row>
    <row r="132" spans="2:15" ht="13.5" thickBot="1" x14ac:dyDescent="0.25"/>
    <row r="133" spans="2:15" ht="15.75" x14ac:dyDescent="0.25">
      <c r="B133" s="987" t="s">
        <v>813</v>
      </c>
      <c r="C133" s="558" t="s">
        <v>7</v>
      </c>
      <c r="D133" s="558" t="s">
        <v>7</v>
      </c>
      <c r="E133" s="559"/>
      <c r="F133" s="560" t="s">
        <v>473</v>
      </c>
      <c r="G133" s="561" t="s">
        <v>15</v>
      </c>
      <c r="N133" s="979" t="s">
        <v>819</v>
      </c>
      <c r="O133" s="988"/>
    </row>
    <row r="134" spans="2:15" ht="15.75" x14ac:dyDescent="0.25">
      <c r="B134" s="989" t="s">
        <v>816</v>
      </c>
      <c r="C134" s="568" t="s">
        <v>1</v>
      </c>
      <c r="D134" s="568" t="s">
        <v>15</v>
      </c>
      <c r="E134" s="569"/>
      <c r="F134" s="570" t="s">
        <v>3</v>
      </c>
      <c r="G134" s="571" t="s">
        <v>3</v>
      </c>
      <c r="N134" s="635" t="s">
        <v>476</v>
      </c>
      <c r="O134" s="637" t="s">
        <v>477</v>
      </c>
    </row>
    <row r="135" spans="2:15" x14ac:dyDescent="0.2">
      <c r="B135" s="990" t="s">
        <v>822</v>
      </c>
      <c r="C135" s="578" t="s">
        <v>328</v>
      </c>
      <c r="D135" s="578" t="s">
        <v>328</v>
      </c>
      <c r="E135" s="579"/>
      <c r="F135" s="580" t="s">
        <v>1</v>
      </c>
      <c r="G135" s="581" t="s">
        <v>15</v>
      </c>
      <c r="N135" s="582" t="s">
        <v>483</v>
      </c>
      <c r="O135" s="583" t="s">
        <v>484</v>
      </c>
    </row>
    <row r="136" spans="2:15" x14ac:dyDescent="0.2">
      <c r="B136" s="567"/>
      <c r="C136" s="569"/>
      <c r="D136" s="569"/>
      <c r="E136" s="569"/>
      <c r="F136" s="586"/>
      <c r="G136" s="587"/>
      <c r="N136" s="572"/>
      <c r="O136" s="573"/>
    </row>
    <row r="137" spans="2:15" x14ac:dyDescent="0.2">
      <c r="B137" s="567"/>
      <c r="C137" s="569"/>
      <c r="D137" s="569"/>
      <c r="E137" s="569"/>
      <c r="F137" s="586"/>
      <c r="G137" s="587"/>
      <c r="N137" s="572"/>
      <c r="O137" s="573"/>
    </row>
    <row r="138" spans="2:15" x14ac:dyDescent="0.2">
      <c r="B138" s="567" t="s">
        <v>485</v>
      </c>
      <c r="C138" s="588">
        <f>+(C10+C42+C74+C106)/4</f>
        <v>0.42500000000000004</v>
      </c>
      <c r="D138" s="588">
        <f>+(D10+D42+D74+D106)/4</f>
        <v>0.42500000000000004</v>
      </c>
      <c r="E138" s="569"/>
      <c r="F138" s="589">
        <f>((1+F10/100)*(1+F42/100)*(1+F74/100)*(1+F106/100)-1)*100</f>
        <v>0.32000000000000917</v>
      </c>
      <c r="G138" s="590">
        <f>((1+G10/100)*(1+G42/100)*(1+G74/100)*(1+G106/100)-1)*100</f>
        <v>-19.438749999999992</v>
      </c>
      <c r="N138" s="591">
        <f>+N10+N42+N74+N106</f>
        <v>1.6509527224557185E-2</v>
      </c>
      <c r="O138" s="592">
        <f>+O10+O42+O74+O106</f>
        <v>8.039985139107432E-2</v>
      </c>
    </row>
    <row r="139" spans="2:15" x14ac:dyDescent="0.2">
      <c r="B139" s="567"/>
      <c r="C139" s="588"/>
      <c r="D139" s="588"/>
      <c r="E139" s="569"/>
      <c r="F139" s="589"/>
      <c r="G139" s="590"/>
      <c r="N139" s="572"/>
      <c r="O139" s="573"/>
    </row>
    <row r="140" spans="2:15" x14ac:dyDescent="0.2">
      <c r="B140" s="567" t="s">
        <v>486</v>
      </c>
      <c r="C140" s="588">
        <f>+(C12+C44+C76+C108)/4</f>
        <v>0.375</v>
      </c>
      <c r="D140" s="588">
        <f>+(D12+D44+D76+D108)/4</f>
        <v>0.32500000000000001</v>
      </c>
      <c r="E140" s="569"/>
      <c r="F140" s="589">
        <f>((1+F12/100)*(1+F44/100)*(1+F76/100)*(1+F108/100)-1)*100</f>
        <v>-1.719460000000006</v>
      </c>
      <c r="G140" s="590">
        <f>((1+G12/100)*(1+G44/100)*(1+G76/100)*(1+G108/100)-1)*100</f>
        <v>-0.40960000000000996</v>
      </c>
      <c r="N140" s="591">
        <f>+N12+N44+N76+N108</f>
        <v>-6.0553205525604725E-3</v>
      </c>
      <c r="O140" s="592">
        <f>+O12+O44+O76+O108</f>
        <v>1.8287919564119546E-3</v>
      </c>
    </row>
    <row r="141" spans="2:15" x14ac:dyDescent="0.2">
      <c r="B141" s="567"/>
      <c r="C141" s="588"/>
      <c r="D141" s="588"/>
      <c r="E141" s="569"/>
      <c r="F141" s="589"/>
      <c r="G141" s="590"/>
      <c r="N141" s="572"/>
      <c r="O141" s="573"/>
    </row>
    <row r="142" spans="2:15" x14ac:dyDescent="0.2">
      <c r="B142" s="567" t="s">
        <v>487</v>
      </c>
      <c r="C142" s="588">
        <f>+(C14+C46+C78+C110)/4</f>
        <v>0.2</v>
      </c>
      <c r="D142" s="588">
        <f>+(D14+D46+D78+D110)/4</f>
        <v>0.25</v>
      </c>
      <c r="E142" s="569"/>
      <c r="F142" s="589">
        <f>((1+F14/100)*(1+F46/100)*(1+F78/100)*(1+F110/100)-1)*100</f>
        <v>6.9937499999999764</v>
      </c>
      <c r="G142" s="590">
        <f>((1+G14/100)*(1+G46/100)*(1+G78/100)*(1+G110/100)-1)*100</f>
        <v>-14.463999999999988</v>
      </c>
      <c r="N142" s="591">
        <f>+N14+N46+N78+N110</f>
        <v>1.4909304137331325E-3</v>
      </c>
      <c r="O142" s="592">
        <f>+O14+O46+O78+O110</f>
        <v>3.8481949066783649E-2</v>
      </c>
    </row>
    <row r="143" spans="2:15" x14ac:dyDescent="0.2">
      <c r="B143" s="567"/>
      <c r="C143" s="588"/>
      <c r="D143" s="588" t="s">
        <v>0</v>
      </c>
      <c r="E143" s="569"/>
      <c r="F143" s="586"/>
      <c r="G143" s="587"/>
      <c r="N143" s="572"/>
      <c r="O143" s="573"/>
    </row>
    <row r="144" spans="2:15" x14ac:dyDescent="0.2">
      <c r="B144" s="567"/>
      <c r="C144" s="588"/>
      <c r="D144" s="588"/>
      <c r="E144" s="569"/>
      <c r="F144" s="586"/>
      <c r="G144" s="587"/>
      <c r="N144" s="572"/>
      <c r="O144" s="573"/>
    </row>
    <row r="145" spans="2:16" ht="13.5" thickBot="1" x14ac:dyDescent="0.25">
      <c r="B145" s="595" t="s">
        <v>16</v>
      </c>
      <c r="C145" s="596">
        <f>SUM(C138:C142)</f>
        <v>1</v>
      </c>
      <c r="D145" s="596">
        <f>SUM(D138:D143)</f>
        <v>1</v>
      </c>
      <c r="E145" s="752"/>
      <c r="F145" s="598">
        <f>((1+F17/100)*(1+F49/100)*(1+F81/100)*(1+F113/100)-1)*100</f>
        <v>3.859320949999967</v>
      </c>
      <c r="G145" s="599">
        <f>((1+G17/100)*(1+G49/100)*(1+G81/100)*(1+G113/100)-1)*100</f>
        <v>-9.4062519999999932</v>
      </c>
      <c r="H145" s="600"/>
      <c r="N145" s="601">
        <f>SUM(N138:N142)</f>
        <v>1.1945137085729845E-2</v>
      </c>
      <c r="O145" s="602">
        <f>SUM(O138:O142)</f>
        <v>0.12071059241426993</v>
      </c>
    </row>
    <row r="147" spans="2:16" ht="15" x14ac:dyDescent="0.2">
      <c r="N147" s="996" t="s">
        <v>823</v>
      </c>
      <c r="O147" s="997">
        <f>+(LN(1+F145/100)-LN(1+G145/100))/(F145/100-G145/100)</f>
        <v>1.0301258508491269</v>
      </c>
    </row>
    <row r="148" spans="2:16" ht="15" x14ac:dyDescent="0.2">
      <c r="N148" s="998"/>
      <c r="O148" s="999"/>
    </row>
    <row r="149" spans="2:16" ht="15" x14ac:dyDescent="0.2">
      <c r="N149" s="998"/>
      <c r="O149" s="999"/>
    </row>
    <row r="150" spans="2:16" ht="15" x14ac:dyDescent="0.2">
      <c r="N150" s="1000"/>
      <c r="O150" s="1001"/>
    </row>
    <row r="152" spans="2:16" ht="15.75" x14ac:dyDescent="0.25">
      <c r="N152" s="619" t="s">
        <v>488</v>
      </c>
      <c r="O152" s="620"/>
      <c r="P152" s="621">
        <f>+(F145-G145)/100</f>
        <v>0.1326557294999996</v>
      </c>
    </row>
    <row r="153" spans="2:16" x14ac:dyDescent="0.2">
      <c r="N153" s="622"/>
      <c r="O153" s="609"/>
      <c r="P153" s="623"/>
    </row>
    <row r="154" spans="2:16" x14ac:dyDescent="0.2">
      <c r="N154" s="622" t="s">
        <v>477</v>
      </c>
      <c r="O154" s="609"/>
      <c r="P154" s="624">
        <f>+N145</f>
        <v>1.1945137085729845E-2</v>
      </c>
    </row>
    <row r="155" spans="2:16" x14ac:dyDescent="0.2">
      <c r="N155" s="622" t="s">
        <v>531</v>
      </c>
      <c r="O155" s="609"/>
      <c r="P155" s="624">
        <f>+O145</f>
        <v>0.12071059241426993</v>
      </c>
    </row>
    <row r="156" spans="2:16" x14ac:dyDescent="0.2">
      <c r="N156" s="622" t="s">
        <v>0</v>
      </c>
      <c r="O156" s="609"/>
      <c r="P156" s="624" t="s">
        <v>0</v>
      </c>
    </row>
    <row r="157" spans="2:16" x14ac:dyDescent="0.2">
      <c r="N157" s="625" t="s">
        <v>141</v>
      </c>
      <c r="O157" s="626"/>
      <c r="P157" s="627">
        <f>+P152-P154-P155</f>
        <v>-1.8041124150158794E-16</v>
      </c>
    </row>
  </sheetData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8913" r:id="rId4">
          <objectPr defaultSize="0" autoPict="0" r:id="rId5">
            <anchor moveWithCells="1" sizeWithCells="1">
              <from>
                <xdr:col>13</xdr:col>
                <xdr:colOff>0</xdr:colOff>
                <xdr:row>20</xdr:row>
                <xdr:rowOff>0</xdr:rowOff>
              </from>
              <to>
                <xdr:col>15</xdr:col>
                <xdr:colOff>133350</xdr:colOff>
                <xdr:row>22</xdr:row>
                <xdr:rowOff>85725</xdr:rowOff>
              </to>
            </anchor>
          </objectPr>
        </oleObject>
      </mc:Choice>
      <mc:Fallback>
        <oleObject progId="Equation.3" shapeId="38913" r:id="rId4"/>
      </mc:Fallback>
    </mc:AlternateContent>
    <mc:AlternateContent xmlns:mc="http://schemas.openxmlformats.org/markup-compatibility/2006">
      <mc:Choice Requires="x14">
        <oleObject progId="Equation.3" shapeId="38914" r:id="rId6">
          <objectPr defaultSize="0" autoPict="0" r:id="rId7">
            <anchor moveWithCells="1" sizeWithCells="1">
              <from>
                <xdr:col>13</xdr:col>
                <xdr:colOff>57150</xdr:colOff>
                <xdr:row>147</xdr:row>
                <xdr:rowOff>66675</xdr:rowOff>
              </from>
              <to>
                <xdr:col>14</xdr:col>
                <xdr:colOff>695325</xdr:colOff>
                <xdr:row>149</xdr:row>
                <xdr:rowOff>76200</xdr:rowOff>
              </to>
            </anchor>
          </objectPr>
        </oleObject>
      </mc:Choice>
      <mc:Fallback>
        <oleObject progId="Equation.3" shapeId="38914" r:id="rId6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E386-BAD8-492E-B6D4-DDA0ACBD9228}">
  <dimension ref="B2:S168"/>
  <sheetViews>
    <sheetView topLeftCell="A114" workbookViewId="0">
      <selection activeCell="K148" sqref="K148"/>
    </sheetView>
  </sheetViews>
  <sheetFormatPr defaultRowHeight="12.75" x14ac:dyDescent="0.2"/>
  <cols>
    <col min="1" max="1" width="9.140625" style="556"/>
    <col min="2" max="2" width="15.7109375" style="556" customWidth="1"/>
    <col min="3" max="4" width="9.140625" style="556"/>
    <col min="5" max="5" width="2.7109375" style="556" customWidth="1"/>
    <col min="6" max="7" width="10.7109375" style="556" customWidth="1"/>
    <col min="8" max="9" width="9.140625" style="556"/>
    <col min="10" max="11" width="10.7109375" style="556" customWidth="1"/>
    <col min="12" max="13" width="9.140625" style="556"/>
    <col min="14" max="15" width="12.7109375" style="556" customWidth="1"/>
    <col min="16" max="18" width="9.140625" style="556"/>
    <col min="19" max="19" width="10.7109375" style="556" customWidth="1"/>
    <col min="20" max="257" width="9.140625" style="556"/>
    <col min="258" max="258" width="15.7109375" style="556" customWidth="1"/>
    <col min="259" max="260" width="9.140625" style="556"/>
    <col min="261" max="261" width="2.7109375" style="556" customWidth="1"/>
    <col min="262" max="263" width="10.7109375" style="556" customWidth="1"/>
    <col min="264" max="265" width="9.140625" style="556"/>
    <col min="266" max="267" width="10.7109375" style="556" customWidth="1"/>
    <col min="268" max="269" width="9.140625" style="556"/>
    <col min="270" max="271" width="12.7109375" style="556" customWidth="1"/>
    <col min="272" max="274" width="9.140625" style="556"/>
    <col min="275" max="275" width="10.7109375" style="556" customWidth="1"/>
    <col min="276" max="513" width="9.140625" style="556"/>
    <col min="514" max="514" width="15.7109375" style="556" customWidth="1"/>
    <col min="515" max="516" width="9.140625" style="556"/>
    <col min="517" max="517" width="2.7109375" style="556" customWidth="1"/>
    <col min="518" max="519" width="10.7109375" style="556" customWidth="1"/>
    <col min="520" max="521" width="9.140625" style="556"/>
    <col min="522" max="523" width="10.7109375" style="556" customWidth="1"/>
    <col min="524" max="525" width="9.140625" style="556"/>
    <col min="526" max="527" width="12.7109375" style="556" customWidth="1"/>
    <col min="528" max="530" width="9.140625" style="556"/>
    <col min="531" max="531" width="10.7109375" style="556" customWidth="1"/>
    <col min="532" max="769" width="9.140625" style="556"/>
    <col min="770" max="770" width="15.7109375" style="556" customWidth="1"/>
    <col min="771" max="772" width="9.140625" style="556"/>
    <col min="773" max="773" width="2.7109375" style="556" customWidth="1"/>
    <col min="774" max="775" width="10.7109375" style="556" customWidth="1"/>
    <col min="776" max="777" width="9.140625" style="556"/>
    <col min="778" max="779" width="10.7109375" style="556" customWidth="1"/>
    <col min="780" max="781" width="9.140625" style="556"/>
    <col min="782" max="783" width="12.7109375" style="556" customWidth="1"/>
    <col min="784" max="786" width="9.140625" style="556"/>
    <col min="787" max="787" width="10.7109375" style="556" customWidth="1"/>
    <col min="788" max="1025" width="9.140625" style="556"/>
    <col min="1026" max="1026" width="15.7109375" style="556" customWidth="1"/>
    <col min="1027" max="1028" width="9.140625" style="556"/>
    <col min="1029" max="1029" width="2.7109375" style="556" customWidth="1"/>
    <col min="1030" max="1031" width="10.7109375" style="556" customWidth="1"/>
    <col min="1032" max="1033" width="9.140625" style="556"/>
    <col min="1034" max="1035" width="10.7109375" style="556" customWidth="1"/>
    <col min="1036" max="1037" width="9.140625" style="556"/>
    <col min="1038" max="1039" width="12.7109375" style="556" customWidth="1"/>
    <col min="1040" max="1042" width="9.140625" style="556"/>
    <col min="1043" max="1043" width="10.7109375" style="556" customWidth="1"/>
    <col min="1044" max="1281" width="9.140625" style="556"/>
    <col min="1282" max="1282" width="15.7109375" style="556" customWidth="1"/>
    <col min="1283" max="1284" width="9.140625" style="556"/>
    <col min="1285" max="1285" width="2.7109375" style="556" customWidth="1"/>
    <col min="1286" max="1287" width="10.7109375" style="556" customWidth="1"/>
    <col min="1288" max="1289" width="9.140625" style="556"/>
    <col min="1290" max="1291" width="10.7109375" style="556" customWidth="1"/>
    <col min="1292" max="1293" width="9.140625" style="556"/>
    <col min="1294" max="1295" width="12.7109375" style="556" customWidth="1"/>
    <col min="1296" max="1298" width="9.140625" style="556"/>
    <col min="1299" max="1299" width="10.7109375" style="556" customWidth="1"/>
    <col min="1300" max="1537" width="9.140625" style="556"/>
    <col min="1538" max="1538" width="15.7109375" style="556" customWidth="1"/>
    <col min="1539" max="1540" width="9.140625" style="556"/>
    <col min="1541" max="1541" width="2.7109375" style="556" customWidth="1"/>
    <col min="1542" max="1543" width="10.7109375" style="556" customWidth="1"/>
    <col min="1544" max="1545" width="9.140625" style="556"/>
    <col min="1546" max="1547" width="10.7109375" style="556" customWidth="1"/>
    <col min="1548" max="1549" width="9.140625" style="556"/>
    <col min="1550" max="1551" width="12.7109375" style="556" customWidth="1"/>
    <col min="1552" max="1554" width="9.140625" style="556"/>
    <col min="1555" max="1555" width="10.7109375" style="556" customWidth="1"/>
    <col min="1556" max="1793" width="9.140625" style="556"/>
    <col min="1794" max="1794" width="15.7109375" style="556" customWidth="1"/>
    <col min="1795" max="1796" width="9.140625" style="556"/>
    <col min="1797" max="1797" width="2.7109375" style="556" customWidth="1"/>
    <col min="1798" max="1799" width="10.7109375" style="556" customWidth="1"/>
    <col min="1800" max="1801" width="9.140625" style="556"/>
    <col min="1802" max="1803" width="10.7109375" style="556" customWidth="1"/>
    <col min="1804" max="1805" width="9.140625" style="556"/>
    <col min="1806" max="1807" width="12.7109375" style="556" customWidth="1"/>
    <col min="1808" max="1810" width="9.140625" style="556"/>
    <col min="1811" max="1811" width="10.7109375" style="556" customWidth="1"/>
    <col min="1812" max="2049" width="9.140625" style="556"/>
    <col min="2050" max="2050" width="15.7109375" style="556" customWidth="1"/>
    <col min="2051" max="2052" width="9.140625" style="556"/>
    <col min="2053" max="2053" width="2.7109375" style="556" customWidth="1"/>
    <col min="2054" max="2055" width="10.7109375" style="556" customWidth="1"/>
    <col min="2056" max="2057" width="9.140625" style="556"/>
    <col min="2058" max="2059" width="10.7109375" style="556" customWidth="1"/>
    <col min="2060" max="2061" width="9.140625" style="556"/>
    <col min="2062" max="2063" width="12.7109375" style="556" customWidth="1"/>
    <col min="2064" max="2066" width="9.140625" style="556"/>
    <col min="2067" max="2067" width="10.7109375" style="556" customWidth="1"/>
    <col min="2068" max="2305" width="9.140625" style="556"/>
    <col min="2306" max="2306" width="15.7109375" style="556" customWidth="1"/>
    <col min="2307" max="2308" width="9.140625" style="556"/>
    <col min="2309" max="2309" width="2.7109375" style="556" customWidth="1"/>
    <col min="2310" max="2311" width="10.7109375" style="556" customWidth="1"/>
    <col min="2312" max="2313" width="9.140625" style="556"/>
    <col min="2314" max="2315" width="10.7109375" style="556" customWidth="1"/>
    <col min="2316" max="2317" width="9.140625" style="556"/>
    <col min="2318" max="2319" width="12.7109375" style="556" customWidth="1"/>
    <col min="2320" max="2322" width="9.140625" style="556"/>
    <col min="2323" max="2323" width="10.7109375" style="556" customWidth="1"/>
    <col min="2324" max="2561" width="9.140625" style="556"/>
    <col min="2562" max="2562" width="15.7109375" style="556" customWidth="1"/>
    <col min="2563" max="2564" width="9.140625" style="556"/>
    <col min="2565" max="2565" width="2.7109375" style="556" customWidth="1"/>
    <col min="2566" max="2567" width="10.7109375" style="556" customWidth="1"/>
    <col min="2568" max="2569" width="9.140625" style="556"/>
    <col min="2570" max="2571" width="10.7109375" style="556" customWidth="1"/>
    <col min="2572" max="2573" width="9.140625" style="556"/>
    <col min="2574" max="2575" width="12.7109375" style="556" customWidth="1"/>
    <col min="2576" max="2578" width="9.140625" style="556"/>
    <col min="2579" max="2579" width="10.7109375" style="556" customWidth="1"/>
    <col min="2580" max="2817" width="9.140625" style="556"/>
    <col min="2818" max="2818" width="15.7109375" style="556" customWidth="1"/>
    <col min="2819" max="2820" width="9.140625" style="556"/>
    <col min="2821" max="2821" width="2.7109375" style="556" customWidth="1"/>
    <col min="2822" max="2823" width="10.7109375" style="556" customWidth="1"/>
    <col min="2824" max="2825" width="9.140625" style="556"/>
    <col min="2826" max="2827" width="10.7109375" style="556" customWidth="1"/>
    <col min="2828" max="2829" width="9.140625" style="556"/>
    <col min="2830" max="2831" width="12.7109375" style="556" customWidth="1"/>
    <col min="2832" max="2834" width="9.140625" style="556"/>
    <col min="2835" max="2835" width="10.7109375" style="556" customWidth="1"/>
    <col min="2836" max="3073" width="9.140625" style="556"/>
    <col min="3074" max="3074" width="15.7109375" style="556" customWidth="1"/>
    <col min="3075" max="3076" width="9.140625" style="556"/>
    <col min="3077" max="3077" width="2.7109375" style="556" customWidth="1"/>
    <col min="3078" max="3079" width="10.7109375" style="556" customWidth="1"/>
    <col min="3080" max="3081" width="9.140625" style="556"/>
    <col min="3082" max="3083" width="10.7109375" style="556" customWidth="1"/>
    <col min="3084" max="3085" width="9.140625" style="556"/>
    <col min="3086" max="3087" width="12.7109375" style="556" customWidth="1"/>
    <col min="3088" max="3090" width="9.140625" style="556"/>
    <col min="3091" max="3091" width="10.7109375" style="556" customWidth="1"/>
    <col min="3092" max="3329" width="9.140625" style="556"/>
    <col min="3330" max="3330" width="15.7109375" style="556" customWidth="1"/>
    <col min="3331" max="3332" width="9.140625" style="556"/>
    <col min="3333" max="3333" width="2.7109375" style="556" customWidth="1"/>
    <col min="3334" max="3335" width="10.7109375" style="556" customWidth="1"/>
    <col min="3336" max="3337" width="9.140625" style="556"/>
    <col min="3338" max="3339" width="10.7109375" style="556" customWidth="1"/>
    <col min="3340" max="3341" width="9.140625" style="556"/>
    <col min="3342" max="3343" width="12.7109375" style="556" customWidth="1"/>
    <col min="3344" max="3346" width="9.140625" style="556"/>
    <col min="3347" max="3347" width="10.7109375" style="556" customWidth="1"/>
    <col min="3348" max="3585" width="9.140625" style="556"/>
    <col min="3586" max="3586" width="15.7109375" style="556" customWidth="1"/>
    <col min="3587" max="3588" width="9.140625" style="556"/>
    <col min="3589" max="3589" width="2.7109375" style="556" customWidth="1"/>
    <col min="3590" max="3591" width="10.7109375" style="556" customWidth="1"/>
    <col min="3592" max="3593" width="9.140625" style="556"/>
    <col min="3594" max="3595" width="10.7109375" style="556" customWidth="1"/>
    <col min="3596" max="3597" width="9.140625" style="556"/>
    <col min="3598" max="3599" width="12.7109375" style="556" customWidth="1"/>
    <col min="3600" max="3602" width="9.140625" style="556"/>
    <col min="3603" max="3603" width="10.7109375" style="556" customWidth="1"/>
    <col min="3604" max="3841" width="9.140625" style="556"/>
    <col min="3842" max="3842" width="15.7109375" style="556" customWidth="1"/>
    <col min="3843" max="3844" width="9.140625" style="556"/>
    <col min="3845" max="3845" width="2.7109375" style="556" customWidth="1"/>
    <col min="3846" max="3847" width="10.7109375" style="556" customWidth="1"/>
    <col min="3848" max="3849" width="9.140625" style="556"/>
    <col min="3850" max="3851" width="10.7109375" style="556" customWidth="1"/>
    <col min="3852" max="3853" width="9.140625" style="556"/>
    <col min="3854" max="3855" width="12.7109375" style="556" customWidth="1"/>
    <col min="3856" max="3858" width="9.140625" style="556"/>
    <col min="3859" max="3859" width="10.7109375" style="556" customWidth="1"/>
    <col min="3860" max="4097" width="9.140625" style="556"/>
    <col min="4098" max="4098" width="15.7109375" style="556" customWidth="1"/>
    <col min="4099" max="4100" width="9.140625" style="556"/>
    <col min="4101" max="4101" width="2.7109375" style="556" customWidth="1"/>
    <col min="4102" max="4103" width="10.7109375" style="556" customWidth="1"/>
    <col min="4104" max="4105" width="9.140625" style="556"/>
    <col min="4106" max="4107" width="10.7109375" style="556" customWidth="1"/>
    <col min="4108" max="4109" width="9.140625" style="556"/>
    <col min="4110" max="4111" width="12.7109375" style="556" customWidth="1"/>
    <col min="4112" max="4114" width="9.140625" style="556"/>
    <col min="4115" max="4115" width="10.7109375" style="556" customWidth="1"/>
    <col min="4116" max="4353" width="9.140625" style="556"/>
    <col min="4354" max="4354" width="15.7109375" style="556" customWidth="1"/>
    <col min="4355" max="4356" width="9.140625" style="556"/>
    <col min="4357" max="4357" width="2.7109375" style="556" customWidth="1"/>
    <col min="4358" max="4359" width="10.7109375" style="556" customWidth="1"/>
    <col min="4360" max="4361" width="9.140625" style="556"/>
    <col min="4362" max="4363" width="10.7109375" style="556" customWidth="1"/>
    <col min="4364" max="4365" width="9.140625" style="556"/>
    <col min="4366" max="4367" width="12.7109375" style="556" customWidth="1"/>
    <col min="4368" max="4370" width="9.140625" style="556"/>
    <col min="4371" max="4371" width="10.7109375" style="556" customWidth="1"/>
    <col min="4372" max="4609" width="9.140625" style="556"/>
    <col min="4610" max="4610" width="15.7109375" style="556" customWidth="1"/>
    <col min="4611" max="4612" width="9.140625" style="556"/>
    <col min="4613" max="4613" width="2.7109375" style="556" customWidth="1"/>
    <col min="4614" max="4615" width="10.7109375" style="556" customWidth="1"/>
    <col min="4616" max="4617" width="9.140625" style="556"/>
    <col min="4618" max="4619" width="10.7109375" style="556" customWidth="1"/>
    <col min="4620" max="4621" width="9.140625" style="556"/>
    <col min="4622" max="4623" width="12.7109375" style="556" customWidth="1"/>
    <col min="4624" max="4626" width="9.140625" style="556"/>
    <col min="4627" max="4627" width="10.7109375" style="556" customWidth="1"/>
    <col min="4628" max="4865" width="9.140625" style="556"/>
    <col min="4866" max="4866" width="15.7109375" style="556" customWidth="1"/>
    <col min="4867" max="4868" width="9.140625" style="556"/>
    <col min="4869" max="4869" width="2.7109375" style="556" customWidth="1"/>
    <col min="4870" max="4871" width="10.7109375" style="556" customWidth="1"/>
    <col min="4872" max="4873" width="9.140625" style="556"/>
    <col min="4874" max="4875" width="10.7109375" style="556" customWidth="1"/>
    <col min="4876" max="4877" width="9.140625" style="556"/>
    <col min="4878" max="4879" width="12.7109375" style="556" customWidth="1"/>
    <col min="4880" max="4882" width="9.140625" style="556"/>
    <col min="4883" max="4883" width="10.7109375" style="556" customWidth="1"/>
    <col min="4884" max="5121" width="9.140625" style="556"/>
    <col min="5122" max="5122" width="15.7109375" style="556" customWidth="1"/>
    <col min="5123" max="5124" width="9.140625" style="556"/>
    <col min="5125" max="5125" width="2.7109375" style="556" customWidth="1"/>
    <col min="5126" max="5127" width="10.7109375" style="556" customWidth="1"/>
    <col min="5128" max="5129" width="9.140625" style="556"/>
    <col min="5130" max="5131" width="10.7109375" style="556" customWidth="1"/>
    <col min="5132" max="5133" width="9.140625" style="556"/>
    <col min="5134" max="5135" width="12.7109375" style="556" customWidth="1"/>
    <col min="5136" max="5138" width="9.140625" style="556"/>
    <col min="5139" max="5139" width="10.7109375" style="556" customWidth="1"/>
    <col min="5140" max="5377" width="9.140625" style="556"/>
    <col min="5378" max="5378" width="15.7109375" style="556" customWidth="1"/>
    <col min="5379" max="5380" width="9.140625" style="556"/>
    <col min="5381" max="5381" width="2.7109375" style="556" customWidth="1"/>
    <col min="5382" max="5383" width="10.7109375" style="556" customWidth="1"/>
    <col min="5384" max="5385" width="9.140625" style="556"/>
    <col min="5386" max="5387" width="10.7109375" style="556" customWidth="1"/>
    <col min="5388" max="5389" width="9.140625" style="556"/>
    <col min="5390" max="5391" width="12.7109375" style="556" customWidth="1"/>
    <col min="5392" max="5394" width="9.140625" style="556"/>
    <col min="5395" max="5395" width="10.7109375" style="556" customWidth="1"/>
    <col min="5396" max="5633" width="9.140625" style="556"/>
    <col min="5634" max="5634" width="15.7109375" style="556" customWidth="1"/>
    <col min="5635" max="5636" width="9.140625" style="556"/>
    <col min="5637" max="5637" width="2.7109375" style="556" customWidth="1"/>
    <col min="5638" max="5639" width="10.7109375" style="556" customWidth="1"/>
    <col min="5640" max="5641" width="9.140625" style="556"/>
    <col min="5642" max="5643" width="10.7109375" style="556" customWidth="1"/>
    <col min="5644" max="5645" width="9.140625" style="556"/>
    <col min="5646" max="5647" width="12.7109375" style="556" customWidth="1"/>
    <col min="5648" max="5650" width="9.140625" style="556"/>
    <col min="5651" max="5651" width="10.7109375" style="556" customWidth="1"/>
    <col min="5652" max="5889" width="9.140625" style="556"/>
    <col min="5890" max="5890" width="15.7109375" style="556" customWidth="1"/>
    <col min="5891" max="5892" width="9.140625" style="556"/>
    <col min="5893" max="5893" width="2.7109375" style="556" customWidth="1"/>
    <col min="5894" max="5895" width="10.7109375" style="556" customWidth="1"/>
    <col min="5896" max="5897" width="9.140625" style="556"/>
    <col min="5898" max="5899" width="10.7109375" style="556" customWidth="1"/>
    <col min="5900" max="5901" width="9.140625" style="556"/>
    <col min="5902" max="5903" width="12.7109375" style="556" customWidth="1"/>
    <col min="5904" max="5906" width="9.140625" style="556"/>
    <col min="5907" max="5907" width="10.7109375" style="556" customWidth="1"/>
    <col min="5908" max="6145" width="9.140625" style="556"/>
    <col min="6146" max="6146" width="15.7109375" style="556" customWidth="1"/>
    <col min="6147" max="6148" width="9.140625" style="556"/>
    <col min="6149" max="6149" width="2.7109375" style="556" customWidth="1"/>
    <col min="6150" max="6151" width="10.7109375" style="556" customWidth="1"/>
    <col min="6152" max="6153" width="9.140625" style="556"/>
    <col min="6154" max="6155" width="10.7109375" style="556" customWidth="1"/>
    <col min="6156" max="6157" width="9.140625" style="556"/>
    <col min="6158" max="6159" width="12.7109375" style="556" customWidth="1"/>
    <col min="6160" max="6162" width="9.140625" style="556"/>
    <col min="6163" max="6163" width="10.7109375" style="556" customWidth="1"/>
    <col min="6164" max="6401" width="9.140625" style="556"/>
    <col min="6402" max="6402" width="15.7109375" style="556" customWidth="1"/>
    <col min="6403" max="6404" width="9.140625" style="556"/>
    <col min="6405" max="6405" width="2.7109375" style="556" customWidth="1"/>
    <col min="6406" max="6407" width="10.7109375" style="556" customWidth="1"/>
    <col min="6408" max="6409" width="9.140625" style="556"/>
    <col min="6410" max="6411" width="10.7109375" style="556" customWidth="1"/>
    <col min="6412" max="6413" width="9.140625" style="556"/>
    <col min="6414" max="6415" width="12.7109375" style="556" customWidth="1"/>
    <col min="6416" max="6418" width="9.140625" style="556"/>
    <col min="6419" max="6419" width="10.7109375" style="556" customWidth="1"/>
    <col min="6420" max="6657" width="9.140625" style="556"/>
    <col min="6658" max="6658" width="15.7109375" style="556" customWidth="1"/>
    <col min="6659" max="6660" width="9.140625" style="556"/>
    <col min="6661" max="6661" width="2.7109375" style="556" customWidth="1"/>
    <col min="6662" max="6663" width="10.7109375" style="556" customWidth="1"/>
    <col min="6664" max="6665" width="9.140625" style="556"/>
    <col min="6666" max="6667" width="10.7109375" style="556" customWidth="1"/>
    <col min="6668" max="6669" width="9.140625" style="556"/>
    <col min="6670" max="6671" width="12.7109375" style="556" customWidth="1"/>
    <col min="6672" max="6674" width="9.140625" style="556"/>
    <col min="6675" max="6675" width="10.7109375" style="556" customWidth="1"/>
    <col min="6676" max="6913" width="9.140625" style="556"/>
    <col min="6914" max="6914" width="15.7109375" style="556" customWidth="1"/>
    <col min="6915" max="6916" width="9.140625" style="556"/>
    <col min="6917" max="6917" width="2.7109375" style="556" customWidth="1"/>
    <col min="6918" max="6919" width="10.7109375" style="556" customWidth="1"/>
    <col min="6920" max="6921" width="9.140625" style="556"/>
    <col min="6922" max="6923" width="10.7109375" style="556" customWidth="1"/>
    <col min="6924" max="6925" width="9.140625" style="556"/>
    <col min="6926" max="6927" width="12.7109375" style="556" customWidth="1"/>
    <col min="6928" max="6930" width="9.140625" style="556"/>
    <col min="6931" max="6931" width="10.7109375" style="556" customWidth="1"/>
    <col min="6932" max="7169" width="9.140625" style="556"/>
    <col min="7170" max="7170" width="15.7109375" style="556" customWidth="1"/>
    <col min="7171" max="7172" width="9.140625" style="556"/>
    <col min="7173" max="7173" width="2.7109375" style="556" customWidth="1"/>
    <col min="7174" max="7175" width="10.7109375" style="556" customWidth="1"/>
    <col min="7176" max="7177" width="9.140625" style="556"/>
    <col min="7178" max="7179" width="10.7109375" style="556" customWidth="1"/>
    <col min="7180" max="7181" width="9.140625" style="556"/>
    <col min="7182" max="7183" width="12.7109375" style="556" customWidth="1"/>
    <col min="7184" max="7186" width="9.140625" style="556"/>
    <col min="7187" max="7187" width="10.7109375" style="556" customWidth="1"/>
    <col min="7188" max="7425" width="9.140625" style="556"/>
    <col min="7426" max="7426" width="15.7109375" style="556" customWidth="1"/>
    <col min="7427" max="7428" width="9.140625" style="556"/>
    <col min="7429" max="7429" width="2.7109375" style="556" customWidth="1"/>
    <col min="7430" max="7431" width="10.7109375" style="556" customWidth="1"/>
    <col min="7432" max="7433" width="9.140625" style="556"/>
    <col min="7434" max="7435" width="10.7109375" style="556" customWidth="1"/>
    <col min="7436" max="7437" width="9.140625" style="556"/>
    <col min="7438" max="7439" width="12.7109375" style="556" customWidth="1"/>
    <col min="7440" max="7442" width="9.140625" style="556"/>
    <col min="7443" max="7443" width="10.7109375" style="556" customWidth="1"/>
    <col min="7444" max="7681" width="9.140625" style="556"/>
    <col min="7682" max="7682" width="15.7109375" style="556" customWidth="1"/>
    <col min="7683" max="7684" width="9.140625" style="556"/>
    <col min="7685" max="7685" width="2.7109375" style="556" customWidth="1"/>
    <col min="7686" max="7687" width="10.7109375" style="556" customWidth="1"/>
    <col min="7688" max="7689" width="9.140625" style="556"/>
    <col min="7690" max="7691" width="10.7109375" style="556" customWidth="1"/>
    <col min="7692" max="7693" width="9.140625" style="556"/>
    <col min="7694" max="7695" width="12.7109375" style="556" customWidth="1"/>
    <col min="7696" max="7698" width="9.140625" style="556"/>
    <col min="7699" max="7699" width="10.7109375" style="556" customWidth="1"/>
    <col min="7700" max="7937" width="9.140625" style="556"/>
    <col min="7938" max="7938" width="15.7109375" style="556" customWidth="1"/>
    <col min="7939" max="7940" width="9.140625" style="556"/>
    <col min="7941" max="7941" width="2.7109375" style="556" customWidth="1"/>
    <col min="7942" max="7943" width="10.7109375" style="556" customWidth="1"/>
    <col min="7944" max="7945" width="9.140625" style="556"/>
    <col min="7946" max="7947" width="10.7109375" style="556" customWidth="1"/>
    <col min="7948" max="7949" width="9.140625" style="556"/>
    <col min="7950" max="7951" width="12.7109375" style="556" customWidth="1"/>
    <col min="7952" max="7954" width="9.140625" style="556"/>
    <col min="7955" max="7955" width="10.7109375" style="556" customWidth="1"/>
    <col min="7956" max="8193" width="9.140625" style="556"/>
    <col min="8194" max="8194" width="15.7109375" style="556" customWidth="1"/>
    <col min="8195" max="8196" width="9.140625" style="556"/>
    <col min="8197" max="8197" width="2.7109375" style="556" customWidth="1"/>
    <col min="8198" max="8199" width="10.7109375" style="556" customWidth="1"/>
    <col min="8200" max="8201" width="9.140625" style="556"/>
    <col min="8202" max="8203" width="10.7109375" style="556" customWidth="1"/>
    <col min="8204" max="8205" width="9.140625" style="556"/>
    <col min="8206" max="8207" width="12.7109375" style="556" customWidth="1"/>
    <col min="8208" max="8210" width="9.140625" style="556"/>
    <col min="8211" max="8211" width="10.7109375" style="556" customWidth="1"/>
    <col min="8212" max="8449" width="9.140625" style="556"/>
    <col min="8450" max="8450" width="15.7109375" style="556" customWidth="1"/>
    <col min="8451" max="8452" width="9.140625" style="556"/>
    <col min="8453" max="8453" width="2.7109375" style="556" customWidth="1"/>
    <col min="8454" max="8455" width="10.7109375" style="556" customWidth="1"/>
    <col min="8456" max="8457" width="9.140625" style="556"/>
    <col min="8458" max="8459" width="10.7109375" style="556" customWidth="1"/>
    <col min="8460" max="8461" width="9.140625" style="556"/>
    <col min="8462" max="8463" width="12.7109375" style="556" customWidth="1"/>
    <col min="8464" max="8466" width="9.140625" style="556"/>
    <col min="8467" max="8467" width="10.7109375" style="556" customWidth="1"/>
    <col min="8468" max="8705" width="9.140625" style="556"/>
    <col min="8706" max="8706" width="15.7109375" style="556" customWidth="1"/>
    <col min="8707" max="8708" width="9.140625" style="556"/>
    <col min="8709" max="8709" width="2.7109375" style="556" customWidth="1"/>
    <col min="8710" max="8711" width="10.7109375" style="556" customWidth="1"/>
    <col min="8712" max="8713" width="9.140625" style="556"/>
    <col min="8714" max="8715" width="10.7109375" style="556" customWidth="1"/>
    <col min="8716" max="8717" width="9.140625" style="556"/>
    <col min="8718" max="8719" width="12.7109375" style="556" customWidth="1"/>
    <col min="8720" max="8722" width="9.140625" style="556"/>
    <col min="8723" max="8723" width="10.7109375" style="556" customWidth="1"/>
    <col min="8724" max="8961" width="9.140625" style="556"/>
    <col min="8962" max="8962" width="15.7109375" style="556" customWidth="1"/>
    <col min="8963" max="8964" width="9.140625" style="556"/>
    <col min="8965" max="8965" width="2.7109375" style="556" customWidth="1"/>
    <col min="8966" max="8967" width="10.7109375" style="556" customWidth="1"/>
    <col min="8968" max="8969" width="9.140625" style="556"/>
    <col min="8970" max="8971" width="10.7109375" style="556" customWidth="1"/>
    <col min="8972" max="8973" width="9.140625" style="556"/>
    <col min="8974" max="8975" width="12.7109375" style="556" customWidth="1"/>
    <col min="8976" max="8978" width="9.140625" style="556"/>
    <col min="8979" max="8979" width="10.7109375" style="556" customWidth="1"/>
    <col min="8980" max="9217" width="9.140625" style="556"/>
    <col min="9218" max="9218" width="15.7109375" style="556" customWidth="1"/>
    <col min="9219" max="9220" width="9.140625" style="556"/>
    <col min="9221" max="9221" width="2.7109375" style="556" customWidth="1"/>
    <col min="9222" max="9223" width="10.7109375" style="556" customWidth="1"/>
    <col min="9224" max="9225" width="9.140625" style="556"/>
    <col min="9226" max="9227" width="10.7109375" style="556" customWidth="1"/>
    <col min="9228" max="9229" width="9.140625" style="556"/>
    <col min="9230" max="9231" width="12.7109375" style="556" customWidth="1"/>
    <col min="9232" max="9234" width="9.140625" style="556"/>
    <col min="9235" max="9235" width="10.7109375" style="556" customWidth="1"/>
    <col min="9236" max="9473" width="9.140625" style="556"/>
    <col min="9474" max="9474" width="15.7109375" style="556" customWidth="1"/>
    <col min="9475" max="9476" width="9.140625" style="556"/>
    <col min="9477" max="9477" width="2.7109375" style="556" customWidth="1"/>
    <col min="9478" max="9479" width="10.7109375" style="556" customWidth="1"/>
    <col min="9480" max="9481" width="9.140625" style="556"/>
    <col min="9482" max="9483" width="10.7109375" style="556" customWidth="1"/>
    <col min="9484" max="9485" width="9.140625" style="556"/>
    <col min="9486" max="9487" width="12.7109375" style="556" customWidth="1"/>
    <col min="9488" max="9490" width="9.140625" style="556"/>
    <col min="9491" max="9491" width="10.7109375" style="556" customWidth="1"/>
    <col min="9492" max="9729" width="9.140625" style="556"/>
    <col min="9730" max="9730" width="15.7109375" style="556" customWidth="1"/>
    <col min="9731" max="9732" width="9.140625" style="556"/>
    <col min="9733" max="9733" width="2.7109375" style="556" customWidth="1"/>
    <col min="9734" max="9735" width="10.7109375" style="556" customWidth="1"/>
    <col min="9736" max="9737" width="9.140625" style="556"/>
    <col min="9738" max="9739" width="10.7109375" style="556" customWidth="1"/>
    <col min="9740" max="9741" width="9.140625" style="556"/>
    <col min="9742" max="9743" width="12.7109375" style="556" customWidth="1"/>
    <col min="9744" max="9746" width="9.140625" style="556"/>
    <col min="9747" max="9747" width="10.7109375" style="556" customWidth="1"/>
    <col min="9748" max="9985" width="9.140625" style="556"/>
    <col min="9986" max="9986" width="15.7109375" style="556" customWidth="1"/>
    <col min="9987" max="9988" width="9.140625" style="556"/>
    <col min="9989" max="9989" width="2.7109375" style="556" customWidth="1"/>
    <col min="9990" max="9991" width="10.7109375" style="556" customWidth="1"/>
    <col min="9992" max="9993" width="9.140625" style="556"/>
    <col min="9994" max="9995" width="10.7109375" style="556" customWidth="1"/>
    <col min="9996" max="9997" width="9.140625" style="556"/>
    <col min="9998" max="9999" width="12.7109375" style="556" customWidth="1"/>
    <col min="10000" max="10002" width="9.140625" style="556"/>
    <col min="10003" max="10003" width="10.7109375" style="556" customWidth="1"/>
    <col min="10004" max="10241" width="9.140625" style="556"/>
    <col min="10242" max="10242" width="15.7109375" style="556" customWidth="1"/>
    <col min="10243" max="10244" width="9.140625" style="556"/>
    <col min="10245" max="10245" width="2.7109375" style="556" customWidth="1"/>
    <col min="10246" max="10247" width="10.7109375" style="556" customWidth="1"/>
    <col min="10248" max="10249" width="9.140625" style="556"/>
    <col min="10250" max="10251" width="10.7109375" style="556" customWidth="1"/>
    <col min="10252" max="10253" width="9.140625" style="556"/>
    <col min="10254" max="10255" width="12.7109375" style="556" customWidth="1"/>
    <col min="10256" max="10258" width="9.140625" style="556"/>
    <col min="10259" max="10259" width="10.7109375" style="556" customWidth="1"/>
    <col min="10260" max="10497" width="9.140625" style="556"/>
    <col min="10498" max="10498" width="15.7109375" style="556" customWidth="1"/>
    <col min="10499" max="10500" width="9.140625" style="556"/>
    <col min="10501" max="10501" width="2.7109375" style="556" customWidth="1"/>
    <col min="10502" max="10503" width="10.7109375" style="556" customWidth="1"/>
    <col min="10504" max="10505" width="9.140625" style="556"/>
    <col min="10506" max="10507" width="10.7109375" style="556" customWidth="1"/>
    <col min="10508" max="10509" width="9.140625" style="556"/>
    <col min="10510" max="10511" width="12.7109375" style="556" customWidth="1"/>
    <col min="10512" max="10514" width="9.140625" style="556"/>
    <col min="10515" max="10515" width="10.7109375" style="556" customWidth="1"/>
    <col min="10516" max="10753" width="9.140625" style="556"/>
    <col min="10754" max="10754" width="15.7109375" style="556" customWidth="1"/>
    <col min="10755" max="10756" width="9.140625" style="556"/>
    <col min="10757" max="10757" width="2.7109375" style="556" customWidth="1"/>
    <col min="10758" max="10759" width="10.7109375" style="556" customWidth="1"/>
    <col min="10760" max="10761" width="9.140625" style="556"/>
    <col min="10762" max="10763" width="10.7109375" style="556" customWidth="1"/>
    <col min="10764" max="10765" width="9.140625" style="556"/>
    <col min="10766" max="10767" width="12.7109375" style="556" customWidth="1"/>
    <col min="10768" max="10770" width="9.140625" style="556"/>
    <col min="10771" max="10771" width="10.7109375" style="556" customWidth="1"/>
    <col min="10772" max="11009" width="9.140625" style="556"/>
    <col min="11010" max="11010" width="15.7109375" style="556" customWidth="1"/>
    <col min="11011" max="11012" width="9.140625" style="556"/>
    <col min="11013" max="11013" width="2.7109375" style="556" customWidth="1"/>
    <col min="11014" max="11015" width="10.7109375" style="556" customWidth="1"/>
    <col min="11016" max="11017" width="9.140625" style="556"/>
    <col min="11018" max="11019" width="10.7109375" style="556" customWidth="1"/>
    <col min="11020" max="11021" width="9.140625" style="556"/>
    <col min="11022" max="11023" width="12.7109375" style="556" customWidth="1"/>
    <col min="11024" max="11026" width="9.140625" style="556"/>
    <col min="11027" max="11027" width="10.7109375" style="556" customWidth="1"/>
    <col min="11028" max="11265" width="9.140625" style="556"/>
    <col min="11266" max="11266" width="15.7109375" style="556" customWidth="1"/>
    <col min="11267" max="11268" width="9.140625" style="556"/>
    <col min="11269" max="11269" width="2.7109375" style="556" customWidth="1"/>
    <col min="11270" max="11271" width="10.7109375" style="556" customWidth="1"/>
    <col min="11272" max="11273" width="9.140625" style="556"/>
    <col min="11274" max="11275" width="10.7109375" style="556" customWidth="1"/>
    <col min="11276" max="11277" width="9.140625" style="556"/>
    <col min="11278" max="11279" width="12.7109375" style="556" customWidth="1"/>
    <col min="11280" max="11282" width="9.140625" style="556"/>
    <col min="11283" max="11283" width="10.7109375" style="556" customWidth="1"/>
    <col min="11284" max="11521" width="9.140625" style="556"/>
    <col min="11522" max="11522" width="15.7109375" style="556" customWidth="1"/>
    <col min="11523" max="11524" width="9.140625" style="556"/>
    <col min="11525" max="11525" width="2.7109375" style="556" customWidth="1"/>
    <col min="11526" max="11527" width="10.7109375" style="556" customWidth="1"/>
    <col min="11528" max="11529" width="9.140625" style="556"/>
    <col min="11530" max="11531" width="10.7109375" style="556" customWidth="1"/>
    <col min="11532" max="11533" width="9.140625" style="556"/>
    <col min="11534" max="11535" width="12.7109375" style="556" customWidth="1"/>
    <col min="11536" max="11538" width="9.140625" style="556"/>
    <col min="11539" max="11539" width="10.7109375" style="556" customWidth="1"/>
    <col min="11540" max="11777" width="9.140625" style="556"/>
    <col min="11778" max="11778" width="15.7109375" style="556" customWidth="1"/>
    <col min="11779" max="11780" width="9.140625" style="556"/>
    <col min="11781" max="11781" width="2.7109375" style="556" customWidth="1"/>
    <col min="11782" max="11783" width="10.7109375" style="556" customWidth="1"/>
    <col min="11784" max="11785" width="9.140625" style="556"/>
    <col min="11786" max="11787" width="10.7109375" style="556" customWidth="1"/>
    <col min="11788" max="11789" width="9.140625" style="556"/>
    <col min="11790" max="11791" width="12.7109375" style="556" customWidth="1"/>
    <col min="11792" max="11794" width="9.140625" style="556"/>
    <col min="11795" max="11795" width="10.7109375" style="556" customWidth="1"/>
    <col min="11796" max="12033" width="9.140625" style="556"/>
    <col min="12034" max="12034" width="15.7109375" style="556" customWidth="1"/>
    <col min="12035" max="12036" width="9.140625" style="556"/>
    <col min="12037" max="12037" width="2.7109375" style="556" customWidth="1"/>
    <col min="12038" max="12039" width="10.7109375" style="556" customWidth="1"/>
    <col min="12040" max="12041" width="9.140625" style="556"/>
    <col min="12042" max="12043" width="10.7109375" style="556" customWidth="1"/>
    <col min="12044" max="12045" width="9.140625" style="556"/>
    <col min="12046" max="12047" width="12.7109375" style="556" customWidth="1"/>
    <col min="12048" max="12050" width="9.140625" style="556"/>
    <col min="12051" max="12051" width="10.7109375" style="556" customWidth="1"/>
    <col min="12052" max="12289" width="9.140625" style="556"/>
    <col min="12290" max="12290" width="15.7109375" style="556" customWidth="1"/>
    <col min="12291" max="12292" width="9.140625" style="556"/>
    <col min="12293" max="12293" width="2.7109375" style="556" customWidth="1"/>
    <col min="12294" max="12295" width="10.7109375" style="556" customWidth="1"/>
    <col min="12296" max="12297" width="9.140625" style="556"/>
    <col min="12298" max="12299" width="10.7109375" style="556" customWidth="1"/>
    <col min="12300" max="12301" width="9.140625" style="556"/>
    <col min="12302" max="12303" width="12.7109375" style="556" customWidth="1"/>
    <col min="12304" max="12306" width="9.140625" style="556"/>
    <col min="12307" max="12307" width="10.7109375" style="556" customWidth="1"/>
    <col min="12308" max="12545" width="9.140625" style="556"/>
    <col min="12546" max="12546" width="15.7109375" style="556" customWidth="1"/>
    <col min="12547" max="12548" width="9.140625" style="556"/>
    <col min="12549" max="12549" width="2.7109375" style="556" customWidth="1"/>
    <col min="12550" max="12551" width="10.7109375" style="556" customWidth="1"/>
    <col min="12552" max="12553" width="9.140625" style="556"/>
    <col min="12554" max="12555" width="10.7109375" style="556" customWidth="1"/>
    <col min="12556" max="12557" width="9.140625" style="556"/>
    <col min="12558" max="12559" width="12.7109375" style="556" customWidth="1"/>
    <col min="12560" max="12562" width="9.140625" style="556"/>
    <col min="12563" max="12563" width="10.7109375" style="556" customWidth="1"/>
    <col min="12564" max="12801" width="9.140625" style="556"/>
    <col min="12802" max="12802" width="15.7109375" style="556" customWidth="1"/>
    <col min="12803" max="12804" width="9.140625" style="556"/>
    <col min="12805" max="12805" width="2.7109375" style="556" customWidth="1"/>
    <col min="12806" max="12807" width="10.7109375" style="556" customWidth="1"/>
    <col min="12808" max="12809" width="9.140625" style="556"/>
    <col min="12810" max="12811" width="10.7109375" style="556" customWidth="1"/>
    <col min="12812" max="12813" width="9.140625" style="556"/>
    <col min="12814" max="12815" width="12.7109375" style="556" customWidth="1"/>
    <col min="12816" max="12818" width="9.140625" style="556"/>
    <col min="12819" max="12819" width="10.7109375" style="556" customWidth="1"/>
    <col min="12820" max="13057" width="9.140625" style="556"/>
    <col min="13058" max="13058" width="15.7109375" style="556" customWidth="1"/>
    <col min="13059" max="13060" width="9.140625" style="556"/>
    <col min="13061" max="13061" width="2.7109375" style="556" customWidth="1"/>
    <col min="13062" max="13063" width="10.7109375" style="556" customWidth="1"/>
    <col min="13064" max="13065" width="9.140625" style="556"/>
    <col min="13066" max="13067" width="10.7109375" style="556" customWidth="1"/>
    <col min="13068" max="13069" width="9.140625" style="556"/>
    <col min="13070" max="13071" width="12.7109375" style="556" customWidth="1"/>
    <col min="13072" max="13074" width="9.140625" style="556"/>
    <col min="13075" max="13075" width="10.7109375" style="556" customWidth="1"/>
    <col min="13076" max="13313" width="9.140625" style="556"/>
    <col min="13314" max="13314" width="15.7109375" style="556" customWidth="1"/>
    <col min="13315" max="13316" width="9.140625" style="556"/>
    <col min="13317" max="13317" width="2.7109375" style="556" customWidth="1"/>
    <col min="13318" max="13319" width="10.7109375" style="556" customWidth="1"/>
    <col min="13320" max="13321" width="9.140625" style="556"/>
    <col min="13322" max="13323" width="10.7109375" style="556" customWidth="1"/>
    <col min="13324" max="13325" width="9.140625" style="556"/>
    <col min="13326" max="13327" width="12.7109375" style="556" customWidth="1"/>
    <col min="13328" max="13330" width="9.140625" style="556"/>
    <col min="13331" max="13331" width="10.7109375" style="556" customWidth="1"/>
    <col min="13332" max="13569" width="9.140625" style="556"/>
    <col min="13570" max="13570" width="15.7109375" style="556" customWidth="1"/>
    <col min="13571" max="13572" width="9.140625" style="556"/>
    <col min="13573" max="13573" width="2.7109375" style="556" customWidth="1"/>
    <col min="13574" max="13575" width="10.7109375" style="556" customWidth="1"/>
    <col min="13576" max="13577" width="9.140625" style="556"/>
    <col min="13578" max="13579" width="10.7109375" style="556" customWidth="1"/>
    <col min="13580" max="13581" width="9.140625" style="556"/>
    <col min="13582" max="13583" width="12.7109375" style="556" customWidth="1"/>
    <col min="13584" max="13586" width="9.140625" style="556"/>
    <col min="13587" max="13587" width="10.7109375" style="556" customWidth="1"/>
    <col min="13588" max="13825" width="9.140625" style="556"/>
    <col min="13826" max="13826" width="15.7109375" style="556" customWidth="1"/>
    <col min="13827" max="13828" width="9.140625" style="556"/>
    <col min="13829" max="13829" width="2.7109375" style="556" customWidth="1"/>
    <col min="13830" max="13831" width="10.7109375" style="556" customWidth="1"/>
    <col min="13832" max="13833" width="9.140625" style="556"/>
    <col min="13834" max="13835" width="10.7109375" style="556" customWidth="1"/>
    <col min="13836" max="13837" width="9.140625" style="556"/>
    <col min="13838" max="13839" width="12.7109375" style="556" customWidth="1"/>
    <col min="13840" max="13842" width="9.140625" style="556"/>
    <col min="13843" max="13843" width="10.7109375" style="556" customWidth="1"/>
    <col min="13844" max="14081" width="9.140625" style="556"/>
    <col min="14082" max="14082" width="15.7109375" style="556" customWidth="1"/>
    <col min="14083" max="14084" width="9.140625" style="556"/>
    <col min="14085" max="14085" width="2.7109375" style="556" customWidth="1"/>
    <col min="14086" max="14087" width="10.7109375" style="556" customWidth="1"/>
    <col min="14088" max="14089" width="9.140625" style="556"/>
    <col min="14090" max="14091" width="10.7109375" style="556" customWidth="1"/>
    <col min="14092" max="14093" width="9.140625" style="556"/>
    <col min="14094" max="14095" width="12.7109375" style="556" customWidth="1"/>
    <col min="14096" max="14098" width="9.140625" style="556"/>
    <col min="14099" max="14099" width="10.7109375" style="556" customWidth="1"/>
    <col min="14100" max="14337" width="9.140625" style="556"/>
    <col min="14338" max="14338" width="15.7109375" style="556" customWidth="1"/>
    <col min="14339" max="14340" width="9.140625" style="556"/>
    <col min="14341" max="14341" width="2.7109375" style="556" customWidth="1"/>
    <col min="14342" max="14343" width="10.7109375" style="556" customWidth="1"/>
    <col min="14344" max="14345" width="9.140625" style="556"/>
    <col min="14346" max="14347" width="10.7109375" style="556" customWidth="1"/>
    <col min="14348" max="14349" width="9.140625" style="556"/>
    <col min="14350" max="14351" width="12.7109375" style="556" customWidth="1"/>
    <col min="14352" max="14354" width="9.140625" style="556"/>
    <col min="14355" max="14355" width="10.7109375" style="556" customWidth="1"/>
    <col min="14356" max="14593" width="9.140625" style="556"/>
    <col min="14594" max="14594" width="15.7109375" style="556" customWidth="1"/>
    <col min="14595" max="14596" width="9.140625" style="556"/>
    <col min="14597" max="14597" width="2.7109375" style="556" customWidth="1"/>
    <col min="14598" max="14599" width="10.7109375" style="556" customWidth="1"/>
    <col min="14600" max="14601" width="9.140625" style="556"/>
    <col min="14602" max="14603" width="10.7109375" style="556" customWidth="1"/>
    <col min="14604" max="14605" width="9.140625" style="556"/>
    <col min="14606" max="14607" width="12.7109375" style="556" customWidth="1"/>
    <col min="14608" max="14610" width="9.140625" style="556"/>
    <col min="14611" max="14611" width="10.7109375" style="556" customWidth="1"/>
    <col min="14612" max="14849" width="9.140625" style="556"/>
    <col min="14850" max="14850" width="15.7109375" style="556" customWidth="1"/>
    <col min="14851" max="14852" width="9.140625" style="556"/>
    <col min="14853" max="14853" width="2.7109375" style="556" customWidth="1"/>
    <col min="14854" max="14855" width="10.7109375" style="556" customWidth="1"/>
    <col min="14856" max="14857" width="9.140625" style="556"/>
    <col min="14858" max="14859" width="10.7109375" style="556" customWidth="1"/>
    <col min="14860" max="14861" width="9.140625" style="556"/>
    <col min="14862" max="14863" width="12.7109375" style="556" customWidth="1"/>
    <col min="14864" max="14866" width="9.140625" style="556"/>
    <col min="14867" max="14867" width="10.7109375" style="556" customWidth="1"/>
    <col min="14868" max="15105" width="9.140625" style="556"/>
    <col min="15106" max="15106" width="15.7109375" style="556" customWidth="1"/>
    <col min="15107" max="15108" width="9.140625" style="556"/>
    <col min="15109" max="15109" width="2.7109375" style="556" customWidth="1"/>
    <col min="15110" max="15111" width="10.7109375" style="556" customWidth="1"/>
    <col min="15112" max="15113" width="9.140625" style="556"/>
    <col min="15114" max="15115" width="10.7109375" style="556" customWidth="1"/>
    <col min="15116" max="15117" width="9.140625" style="556"/>
    <col min="15118" max="15119" width="12.7109375" style="556" customWidth="1"/>
    <col min="15120" max="15122" width="9.140625" style="556"/>
    <col min="15123" max="15123" width="10.7109375" style="556" customWidth="1"/>
    <col min="15124" max="15361" width="9.140625" style="556"/>
    <col min="15362" max="15362" width="15.7109375" style="556" customWidth="1"/>
    <col min="15363" max="15364" width="9.140625" style="556"/>
    <col min="15365" max="15365" width="2.7109375" style="556" customWidth="1"/>
    <col min="15366" max="15367" width="10.7109375" style="556" customWidth="1"/>
    <col min="15368" max="15369" width="9.140625" style="556"/>
    <col min="15370" max="15371" width="10.7109375" style="556" customWidth="1"/>
    <col min="15372" max="15373" width="9.140625" style="556"/>
    <col min="15374" max="15375" width="12.7109375" style="556" customWidth="1"/>
    <col min="15376" max="15378" width="9.140625" style="556"/>
    <col min="15379" max="15379" width="10.7109375" style="556" customWidth="1"/>
    <col min="15380" max="15617" width="9.140625" style="556"/>
    <col min="15618" max="15618" width="15.7109375" style="556" customWidth="1"/>
    <col min="15619" max="15620" width="9.140625" style="556"/>
    <col min="15621" max="15621" width="2.7109375" style="556" customWidth="1"/>
    <col min="15622" max="15623" width="10.7109375" style="556" customWidth="1"/>
    <col min="15624" max="15625" width="9.140625" style="556"/>
    <col min="15626" max="15627" width="10.7109375" style="556" customWidth="1"/>
    <col min="15628" max="15629" width="9.140625" style="556"/>
    <col min="15630" max="15631" width="12.7109375" style="556" customWidth="1"/>
    <col min="15632" max="15634" width="9.140625" style="556"/>
    <col min="15635" max="15635" width="10.7109375" style="556" customWidth="1"/>
    <col min="15636" max="15873" width="9.140625" style="556"/>
    <col min="15874" max="15874" width="15.7109375" style="556" customWidth="1"/>
    <col min="15875" max="15876" width="9.140625" style="556"/>
    <col min="15877" max="15877" width="2.7109375" style="556" customWidth="1"/>
    <col min="15878" max="15879" width="10.7109375" style="556" customWidth="1"/>
    <col min="15880" max="15881" width="9.140625" style="556"/>
    <col min="15882" max="15883" width="10.7109375" style="556" customWidth="1"/>
    <col min="15884" max="15885" width="9.140625" style="556"/>
    <col min="15886" max="15887" width="12.7109375" style="556" customWidth="1"/>
    <col min="15888" max="15890" width="9.140625" style="556"/>
    <col min="15891" max="15891" width="10.7109375" style="556" customWidth="1"/>
    <col min="15892" max="16129" width="9.140625" style="556"/>
    <col min="16130" max="16130" width="15.7109375" style="556" customWidth="1"/>
    <col min="16131" max="16132" width="9.140625" style="556"/>
    <col min="16133" max="16133" width="2.7109375" style="556" customWidth="1"/>
    <col min="16134" max="16135" width="10.7109375" style="556" customWidth="1"/>
    <col min="16136" max="16137" width="9.140625" style="556"/>
    <col min="16138" max="16139" width="10.7109375" style="556" customWidth="1"/>
    <col min="16140" max="16141" width="9.140625" style="556"/>
    <col min="16142" max="16143" width="12.7109375" style="556" customWidth="1"/>
    <col min="16144" max="16146" width="9.140625" style="556"/>
    <col min="16147" max="16147" width="10.7109375" style="556" customWidth="1"/>
    <col min="16148" max="16384" width="9.140625" style="556"/>
  </cols>
  <sheetData>
    <row r="2" spans="2:19" ht="20.25" x14ac:dyDescent="0.3">
      <c r="B2" s="555" t="s">
        <v>841</v>
      </c>
    </row>
    <row r="3" spans="2:19" ht="20.25" x14ac:dyDescent="0.3">
      <c r="C3" s="555" t="s">
        <v>0</v>
      </c>
    </row>
    <row r="4" spans="2:19" ht="13.5" thickBot="1" x14ac:dyDescent="0.25"/>
    <row r="5" spans="2:19" ht="15.75" x14ac:dyDescent="0.25">
      <c r="B5" s="987" t="s">
        <v>832</v>
      </c>
      <c r="C5" s="558" t="s">
        <v>1</v>
      </c>
      <c r="D5" s="558" t="s">
        <v>15</v>
      </c>
      <c r="E5" s="559"/>
      <c r="F5" s="560" t="s">
        <v>473</v>
      </c>
      <c r="G5" s="561" t="s">
        <v>15</v>
      </c>
      <c r="J5" s="562" t="s">
        <v>814</v>
      </c>
      <c r="K5" s="563"/>
      <c r="N5" s="979" t="s">
        <v>833</v>
      </c>
      <c r="O5" s="988"/>
      <c r="R5" s="564" t="s">
        <v>1</v>
      </c>
      <c r="S5" s="931" t="s">
        <v>15</v>
      </c>
    </row>
    <row r="6" spans="2:19" ht="15.75" x14ac:dyDescent="0.25">
      <c r="B6" s="989" t="s">
        <v>816</v>
      </c>
      <c r="C6" s="568" t="s">
        <v>328</v>
      </c>
      <c r="D6" s="568" t="s">
        <v>328</v>
      </c>
      <c r="E6" s="569"/>
      <c r="F6" s="570" t="s">
        <v>3</v>
      </c>
      <c r="G6" s="571" t="s">
        <v>3</v>
      </c>
      <c r="J6" s="635" t="s">
        <v>476</v>
      </c>
      <c r="K6" s="637" t="s">
        <v>477</v>
      </c>
      <c r="N6" s="635" t="s">
        <v>476</v>
      </c>
      <c r="O6" s="637" t="s">
        <v>477</v>
      </c>
      <c r="R6" s="574" t="s">
        <v>3</v>
      </c>
      <c r="S6" s="941" t="s">
        <v>3</v>
      </c>
    </row>
    <row r="7" spans="2:19" x14ac:dyDescent="0.2">
      <c r="B7" s="990" t="s">
        <v>387</v>
      </c>
      <c r="C7" s="578" t="s">
        <v>0</v>
      </c>
      <c r="D7" s="578" t="s">
        <v>0</v>
      </c>
      <c r="E7" s="579"/>
      <c r="F7" s="580" t="s">
        <v>0</v>
      </c>
      <c r="G7" s="581" t="s">
        <v>0</v>
      </c>
      <c r="J7" s="582" t="s">
        <v>483</v>
      </c>
      <c r="K7" s="583" t="s">
        <v>484</v>
      </c>
      <c r="N7" s="582" t="s">
        <v>483</v>
      </c>
      <c r="O7" s="583" t="s">
        <v>484</v>
      </c>
      <c r="R7" s="574" t="s">
        <v>223</v>
      </c>
      <c r="S7" s="941" t="s">
        <v>223</v>
      </c>
    </row>
    <row r="8" spans="2:19" x14ac:dyDescent="0.2">
      <c r="B8" s="567"/>
      <c r="C8" s="569"/>
      <c r="D8" s="569"/>
      <c r="E8" s="569"/>
      <c r="F8" s="586"/>
      <c r="G8" s="587"/>
      <c r="J8" s="572"/>
      <c r="K8" s="573"/>
      <c r="N8" s="572"/>
      <c r="O8" s="810"/>
      <c r="R8" s="593"/>
      <c r="S8" s="638"/>
    </row>
    <row r="9" spans="2:19" x14ac:dyDescent="0.2">
      <c r="B9" s="567"/>
      <c r="C9" s="569"/>
      <c r="D9" s="569"/>
      <c r="E9" s="569"/>
      <c r="F9" s="586"/>
      <c r="G9" s="587"/>
      <c r="J9" s="572"/>
      <c r="K9" s="573"/>
      <c r="N9" s="572"/>
      <c r="O9" s="573"/>
      <c r="R9" s="593"/>
      <c r="S9" s="638"/>
    </row>
    <row r="10" spans="2:19" x14ac:dyDescent="0.2">
      <c r="B10" s="567" t="s">
        <v>485</v>
      </c>
      <c r="C10" s="588">
        <v>0.4</v>
      </c>
      <c r="D10" s="588">
        <v>0.4</v>
      </c>
      <c r="E10" s="569"/>
      <c r="F10" s="589">
        <v>20</v>
      </c>
      <c r="G10" s="590">
        <v>10</v>
      </c>
      <c r="J10" s="591">
        <f>+(C10-D10)*(G10-G$17)/100</f>
        <v>0</v>
      </c>
      <c r="K10" s="592">
        <f>+C10*(F10-G10)/100</f>
        <v>0.04</v>
      </c>
      <c r="N10" s="591">
        <f>+J10*($O$147+$O$19)</f>
        <v>0</v>
      </c>
      <c r="O10" s="592">
        <f>+K10*($O$147+$O$19)</f>
        <v>3.9633766597436157E-2</v>
      </c>
      <c r="R10" s="593">
        <f>+C10*F10</f>
        <v>8</v>
      </c>
      <c r="S10" s="638">
        <f>+D10*G10</f>
        <v>4</v>
      </c>
    </row>
    <row r="11" spans="2:19" x14ac:dyDescent="0.2">
      <c r="B11" s="567"/>
      <c r="C11" s="588"/>
      <c r="D11" s="588"/>
      <c r="E11" s="569"/>
      <c r="F11" s="589"/>
      <c r="G11" s="590"/>
      <c r="J11" s="572"/>
      <c r="K11" s="573"/>
      <c r="N11" s="591"/>
      <c r="O11" s="592"/>
      <c r="R11" s="593"/>
      <c r="S11" s="638" t="s">
        <v>0</v>
      </c>
    </row>
    <row r="12" spans="2:19" x14ac:dyDescent="0.2">
      <c r="B12" s="567" t="s">
        <v>486</v>
      </c>
      <c r="C12" s="588">
        <v>0.3</v>
      </c>
      <c r="D12" s="588">
        <v>0.2</v>
      </c>
      <c r="E12" s="569"/>
      <c r="F12" s="589">
        <v>-5</v>
      </c>
      <c r="G12" s="590">
        <v>-4</v>
      </c>
      <c r="J12" s="591">
        <f>+(C12-D12)*(G12-G$17)/100</f>
        <v>-1.0399999999999998E-2</v>
      </c>
      <c r="K12" s="592">
        <f>+C12*(F12-G12)/100</f>
        <v>-3.0000000000000001E-3</v>
      </c>
      <c r="N12" s="591">
        <f>+J12*($O$147+$O$19)</f>
        <v>-1.0304779315333398E-2</v>
      </c>
      <c r="O12" s="592">
        <f>+K12*($O$147+$O$19)</f>
        <v>-2.9725324948077117E-3</v>
      </c>
      <c r="R12" s="593">
        <f>+C12*F12</f>
        <v>-1.5</v>
      </c>
      <c r="S12" s="638">
        <f>+D12*G12</f>
        <v>-0.8</v>
      </c>
    </row>
    <row r="13" spans="2:19" x14ac:dyDescent="0.2">
      <c r="B13" s="567"/>
      <c r="C13" s="588"/>
      <c r="D13" s="588"/>
      <c r="E13" s="569"/>
      <c r="F13" s="589"/>
      <c r="G13" s="590"/>
      <c r="J13" s="572"/>
      <c r="K13" s="573"/>
      <c r="N13" s="591"/>
      <c r="O13" s="592"/>
      <c r="R13" s="593"/>
      <c r="S13" s="638"/>
    </row>
    <row r="14" spans="2:19" x14ac:dyDescent="0.2">
      <c r="B14" s="567" t="s">
        <v>487</v>
      </c>
      <c r="C14" s="588">
        <v>0.3</v>
      </c>
      <c r="D14" s="588">
        <v>0.4</v>
      </c>
      <c r="E14" s="569"/>
      <c r="F14" s="589">
        <v>6</v>
      </c>
      <c r="G14" s="590">
        <v>8</v>
      </c>
      <c r="J14" s="591">
        <f>+(C14-D14)*(G14-G$17)/100</f>
        <v>-1.6000000000000003E-3</v>
      </c>
      <c r="K14" s="592">
        <f>+C14*(F14-G14)/100</f>
        <v>-6.0000000000000001E-3</v>
      </c>
      <c r="N14" s="591">
        <f>+J14*($O$147+$O$19)</f>
        <v>-1.5853506638974465E-3</v>
      </c>
      <c r="O14" s="592">
        <f>+K14*($O$147+$O$19)</f>
        <v>-5.9450649896154234E-3</v>
      </c>
      <c r="R14" s="593">
        <f>+C14*F14</f>
        <v>1.7999999999999998</v>
      </c>
      <c r="S14" s="638">
        <f>+D14*G14</f>
        <v>3.2</v>
      </c>
    </row>
    <row r="15" spans="2:19" x14ac:dyDescent="0.2">
      <c r="B15" s="567"/>
      <c r="C15" s="588"/>
      <c r="D15" s="588"/>
      <c r="E15" s="569"/>
      <c r="F15" s="586"/>
      <c r="G15" s="587"/>
      <c r="J15" s="572"/>
      <c r="K15" s="573"/>
      <c r="N15" s="572"/>
      <c r="O15" s="573"/>
      <c r="R15" s="593"/>
      <c r="S15" s="638"/>
    </row>
    <row r="16" spans="2:19" x14ac:dyDescent="0.2">
      <c r="B16" s="567"/>
      <c r="C16" s="588"/>
      <c r="D16" s="588"/>
      <c r="E16" s="569"/>
      <c r="F16" s="586"/>
      <c r="G16" s="587"/>
      <c r="J16" s="572"/>
      <c r="K16" s="573"/>
      <c r="N16" s="572"/>
      <c r="O16" s="573"/>
      <c r="R16" s="593"/>
      <c r="S16" s="638"/>
    </row>
    <row r="17" spans="2:19" ht="13.5" thickBot="1" x14ac:dyDescent="0.25">
      <c r="B17" s="595" t="s">
        <v>16</v>
      </c>
      <c r="C17" s="596">
        <f>SUM(C10:C14)</f>
        <v>1</v>
      </c>
      <c r="D17" s="596">
        <f>SUM(D10:D14)</f>
        <v>1</v>
      </c>
      <c r="E17" s="597"/>
      <c r="F17" s="598">
        <f>+R17</f>
        <v>8.3000000000000007</v>
      </c>
      <c r="G17" s="599">
        <f>+S17</f>
        <v>6.4</v>
      </c>
      <c r="H17" s="600"/>
      <c r="I17" s="600"/>
      <c r="J17" s="601">
        <f>SUM(J10:J14)</f>
        <v>-1.1999999999999999E-2</v>
      </c>
      <c r="K17" s="602">
        <f>SUM(K10:K14)</f>
        <v>3.1E-2</v>
      </c>
      <c r="L17" s="600"/>
      <c r="M17" s="600"/>
      <c r="N17" s="601">
        <f>SUM(N10:N14)</f>
        <v>-1.1890129979230845E-2</v>
      </c>
      <c r="O17" s="602">
        <f>SUM(O10:O14)</f>
        <v>3.0716169113013024E-2</v>
      </c>
      <c r="R17" s="794">
        <f>SUM(R10:R14)</f>
        <v>8.3000000000000007</v>
      </c>
      <c r="S17" s="907">
        <f>SUM(S10:S14)</f>
        <v>6.4</v>
      </c>
    </row>
    <row r="18" spans="2:19" x14ac:dyDescent="0.2">
      <c r="O18" s="556" t="s">
        <v>0</v>
      </c>
    </row>
    <row r="19" spans="2:19" ht="16.5" x14ac:dyDescent="0.3">
      <c r="N19" s="1003" t="s">
        <v>834</v>
      </c>
      <c r="O19" s="992">
        <f>+(F$145/100-G$145/100-O$152/100*O$147)*(F17/100-G17/100)/O$156</f>
        <v>1.271629957208807E-2</v>
      </c>
      <c r="P19" s="556" t="s">
        <v>99</v>
      </c>
      <c r="R19" s="556" t="s">
        <v>0</v>
      </c>
    </row>
    <row r="20" spans="2:19" x14ac:dyDescent="0.2">
      <c r="O20" s="556" t="s">
        <v>0</v>
      </c>
    </row>
    <row r="21" spans="2:19" ht="15.75" x14ac:dyDescent="0.25">
      <c r="J21" s="619" t="s">
        <v>488</v>
      </c>
      <c r="K21" s="620"/>
      <c r="L21" s="621">
        <f>+(F17-G17)/100</f>
        <v>1.9000000000000003E-2</v>
      </c>
      <c r="N21" s="993"/>
      <c r="O21" s="993"/>
    </row>
    <row r="22" spans="2:19" x14ac:dyDescent="0.2">
      <c r="J22" s="622"/>
      <c r="K22" s="609"/>
      <c r="L22" s="623"/>
      <c r="N22" s="994" t="s">
        <v>0</v>
      </c>
    </row>
    <row r="23" spans="2:19" x14ac:dyDescent="0.2">
      <c r="J23" s="622" t="s">
        <v>477</v>
      </c>
      <c r="K23" s="609"/>
      <c r="L23" s="624">
        <f>+J17</f>
        <v>-1.1999999999999999E-2</v>
      </c>
      <c r="N23" s="556" t="s">
        <v>0</v>
      </c>
    </row>
    <row r="24" spans="2:19" x14ac:dyDescent="0.2">
      <c r="J24" s="622" t="s">
        <v>531</v>
      </c>
      <c r="K24" s="609"/>
      <c r="L24" s="624">
        <f>+K17</f>
        <v>3.1E-2</v>
      </c>
      <c r="N24" s="556" t="s">
        <v>0</v>
      </c>
    </row>
    <row r="25" spans="2:19" x14ac:dyDescent="0.2">
      <c r="J25" s="622" t="s">
        <v>0</v>
      </c>
      <c r="K25" s="609"/>
      <c r="L25" s="624" t="s">
        <v>0</v>
      </c>
      <c r="N25" s="556" t="s">
        <v>0</v>
      </c>
    </row>
    <row r="26" spans="2:19" x14ac:dyDescent="0.2">
      <c r="J26" s="625" t="s">
        <v>524</v>
      </c>
      <c r="K26" s="626"/>
      <c r="L26" s="627">
        <f>+L21-L23-L24</f>
        <v>0</v>
      </c>
      <c r="N26" s="556" t="s">
        <v>0</v>
      </c>
    </row>
    <row r="28" spans="2:19" x14ac:dyDescent="0.2">
      <c r="N28" s="556" t="s">
        <v>0</v>
      </c>
      <c r="O28" s="556" t="s">
        <v>0</v>
      </c>
    </row>
    <row r="36" spans="2:19" ht="13.5" thickBot="1" x14ac:dyDescent="0.25"/>
    <row r="37" spans="2:19" ht="15.75" x14ac:dyDescent="0.25">
      <c r="B37" s="987" t="s">
        <v>832</v>
      </c>
      <c r="C37" s="558" t="s">
        <v>1</v>
      </c>
      <c r="D37" s="558" t="s">
        <v>15</v>
      </c>
      <c r="E37" s="559"/>
      <c r="F37" s="560" t="s">
        <v>473</v>
      </c>
      <c r="G37" s="561" t="s">
        <v>15</v>
      </c>
      <c r="J37" s="562" t="s">
        <v>814</v>
      </c>
      <c r="K37" s="563"/>
      <c r="N37" s="863" t="s">
        <v>833</v>
      </c>
      <c r="O37" s="995"/>
      <c r="R37" s="564" t="s">
        <v>1</v>
      </c>
      <c r="S37" s="931" t="s">
        <v>15</v>
      </c>
    </row>
    <row r="38" spans="2:19" ht="15.75" x14ac:dyDescent="0.25">
      <c r="B38" s="989" t="s">
        <v>816</v>
      </c>
      <c r="C38" s="568" t="s">
        <v>328</v>
      </c>
      <c r="D38" s="568" t="s">
        <v>328</v>
      </c>
      <c r="E38" s="569"/>
      <c r="F38" s="570" t="s">
        <v>3</v>
      </c>
      <c r="G38" s="571" t="s">
        <v>3</v>
      </c>
      <c r="J38" s="635" t="s">
        <v>476</v>
      </c>
      <c r="K38" s="637" t="s">
        <v>477</v>
      </c>
      <c r="N38" s="725" t="s">
        <v>476</v>
      </c>
      <c r="O38" s="875" t="s">
        <v>477</v>
      </c>
      <c r="R38" s="574" t="s">
        <v>3</v>
      </c>
      <c r="S38" s="941" t="s">
        <v>3</v>
      </c>
    </row>
    <row r="39" spans="2:19" x14ac:dyDescent="0.2">
      <c r="B39" s="990" t="s">
        <v>390</v>
      </c>
      <c r="C39" s="578" t="s">
        <v>0</v>
      </c>
      <c r="D39" s="578" t="s">
        <v>0</v>
      </c>
      <c r="E39" s="579"/>
      <c r="F39" s="580" t="s">
        <v>0</v>
      </c>
      <c r="G39" s="581" t="s">
        <v>0</v>
      </c>
      <c r="J39" s="582" t="s">
        <v>483</v>
      </c>
      <c r="K39" s="583" t="s">
        <v>484</v>
      </c>
      <c r="N39" s="734" t="s">
        <v>483</v>
      </c>
      <c r="O39" s="910" t="s">
        <v>484</v>
      </c>
      <c r="R39" s="574" t="s">
        <v>223</v>
      </c>
      <c r="S39" s="941" t="s">
        <v>223</v>
      </c>
    </row>
    <row r="40" spans="2:19" x14ac:dyDescent="0.2">
      <c r="B40" s="567"/>
      <c r="C40" s="569"/>
      <c r="D40" s="569"/>
      <c r="E40" s="569"/>
      <c r="F40" s="586"/>
      <c r="G40" s="587"/>
      <c r="J40" s="572"/>
      <c r="K40" s="573"/>
      <c r="N40" s="622"/>
      <c r="O40" s="720"/>
      <c r="R40" s="593"/>
      <c r="S40" s="638"/>
    </row>
    <row r="41" spans="2:19" x14ac:dyDescent="0.2">
      <c r="B41" s="567"/>
      <c r="C41" s="569"/>
      <c r="D41" s="569"/>
      <c r="E41" s="569"/>
      <c r="F41" s="586"/>
      <c r="G41" s="587"/>
      <c r="J41" s="572"/>
      <c r="K41" s="573"/>
      <c r="N41" s="622"/>
      <c r="O41" s="623"/>
      <c r="R41" s="593"/>
      <c r="S41" s="638"/>
    </row>
    <row r="42" spans="2:19" x14ac:dyDescent="0.2">
      <c r="B42" s="567" t="s">
        <v>485</v>
      </c>
      <c r="C42" s="588">
        <v>0.7</v>
      </c>
      <c r="D42" s="588">
        <v>0.4</v>
      </c>
      <c r="E42" s="569"/>
      <c r="F42" s="589">
        <v>-5</v>
      </c>
      <c r="G42" s="590">
        <v>-7</v>
      </c>
      <c r="J42" s="591">
        <f>+(C42-D42)*(G42-G$49)/100</f>
        <v>-7.1999999999999963E-3</v>
      </c>
      <c r="K42" s="592">
        <f>+C42*(F42-G42)/100</f>
        <v>1.3999999999999999E-2</v>
      </c>
      <c r="N42" s="746">
        <f>+J42*($O$147+$O$51)</f>
        <v>-7.1003463297262285E-3</v>
      </c>
      <c r="O42" s="898">
        <f>+K42*($O$147+$O$51)</f>
        <v>1.3806228974467672E-2</v>
      </c>
      <c r="R42" s="593">
        <f>+C42*F42</f>
        <v>-3.5</v>
      </c>
      <c r="S42" s="638">
        <f>+D42*G42</f>
        <v>-2.8000000000000003</v>
      </c>
    </row>
    <row r="43" spans="2:19" x14ac:dyDescent="0.2">
      <c r="B43" s="567"/>
      <c r="C43" s="588"/>
      <c r="D43" s="588"/>
      <c r="E43" s="569"/>
      <c r="F43" s="589"/>
      <c r="G43" s="590"/>
      <c r="J43" s="572"/>
      <c r="K43" s="573"/>
      <c r="N43" s="746"/>
      <c r="O43" s="898"/>
      <c r="R43" s="593"/>
      <c r="S43" s="638" t="s">
        <v>0</v>
      </c>
    </row>
    <row r="44" spans="2:19" x14ac:dyDescent="0.2">
      <c r="B44" s="567" t="s">
        <v>486</v>
      </c>
      <c r="C44" s="588">
        <v>0.2</v>
      </c>
      <c r="D44" s="588">
        <v>0.3</v>
      </c>
      <c r="E44" s="569"/>
      <c r="F44" s="589">
        <v>3</v>
      </c>
      <c r="G44" s="590">
        <v>4</v>
      </c>
      <c r="J44" s="591">
        <f>+(C44-D44)*(G44-G$49)/100</f>
        <v>-8.6E-3</v>
      </c>
      <c r="K44" s="592">
        <f>+C44*(F44-G44)/100</f>
        <v>-2E-3</v>
      </c>
      <c r="N44" s="746">
        <f>+J44*($O$147+$O$51)</f>
        <v>-8.4809692271729988E-3</v>
      </c>
      <c r="O44" s="898">
        <f>+K44*($O$147+$O$51)</f>
        <v>-1.9723184249239535E-3</v>
      </c>
      <c r="R44" s="593">
        <f>+C44*F44</f>
        <v>0.60000000000000009</v>
      </c>
      <c r="S44" s="638">
        <f>+D44*G44</f>
        <v>1.2</v>
      </c>
    </row>
    <row r="45" spans="2:19" x14ac:dyDescent="0.2">
      <c r="B45" s="567"/>
      <c r="C45" s="588"/>
      <c r="D45" s="588"/>
      <c r="E45" s="569"/>
      <c r="F45" s="589"/>
      <c r="G45" s="590"/>
      <c r="J45" s="572"/>
      <c r="K45" s="573"/>
      <c r="N45" s="746"/>
      <c r="O45" s="898"/>
      <c r="R45" s="593"/>
      <c r="S45" s="638"/>
    </row>
    <row r="46" spans="2:19" x14ac:dyDescent="0.2">
      <c r="B46" s="567" t="s">
        <v>487</v>
      </c>
      <c r="C46" s="588">
        <v>0.1</v>
      </c>
      <c r="D46" s="588">
        <v>0.3</v>
      </c>
      <c r="E46" s="569"/>
      <c r="F46" s="589">
        <v>-5</v>
      </c>
      <c r="G46" s="590">
        <v>-10</v>
      </c>
      <c r="J46" s="591">
        <f>+(C46-D46)*(G46-G$49)/100</f>
        <v>1.0799999999999999E-2</v>
      </c>
      <c r="K46" s="592">
        <f>+C46*(F46-G46)/100</f>
        <v>5.0000000000000001E-3</v>
      </c>
      <c r="N46" s="746">
        <f>+J46*($O$147+$O$51)</f>
        <v>1.0650519494589348E-2</v>
      </c>
      <c r="O46" s="898">
        <f>+K46*($O$147+$O$51)</f>
        <v>4.9307960623098833E-3</v>
      </c>
      <c r="R46" s="593">
        <f>+C46*F46</f>
        <v>-0.5</v>
      </c>
      <c r="S46" s="638">
        <f>+D46*G46</f>
        <v>-3</v>
      </c>
    </row>
    <row r="47" spans="2:19" x14ac:dyDescent="0.2">
      <c r="B47" s="567"/>
      <c r="C47" s="588"/>
      <c r="D47" s="588"/>
      <c r="E47" s="569"/>
      <c r="F47" s="586"/>
      <c r="G47" s="587"/>
      <c r="J47" s="572"/>
      <c r="K47" s="573"/>
      <c r="N47" s="622"/>
      <c r="O47" s="623"/>
      <c r="R47" s="593"/>
      <c r="S47" s="638"/>
    </row>
    <row r="48" spans="2:19" x14ac:dyDescent="0.2">
      <c r="B48" s="567"/>
      <c r="C48" s="588"/>
      <c r="D48" s="588"/>
      <c r="E48" s="569"/>
      <c r="F48" s="586"/>
      <c r="G48" s="587"/>
      <c r="J48" s="572"/>
      <c r="K48" s="573"/>
      <c r="N48" s="622"/>
      <c r="O48" s="623"/>
      <c r="R48" s="593"/>
      <c r="S48" s="638"/>
    </row>
    <row r="49" spans="2:19" ht="13.5" thickBot="1" x14ac:dyDescent="0.25">
      <c r="B49" s="595" t="s">
        <v>16</v>
      </c>
      <c r="C49" s="596">
        <f>SUM(C42:C46)</f>
        <v>0.99999999999999989</v>
      </c>
      <c r="D49" s="596">
        <f>SUM(D42:D46)</f>
        <v>1</v>
      </c>
      <c r="E49" s="597"/>
      <c r="F49" s="598">
        <f>+R49</f>
        <v>-3.4</v>
      </c>
      <c r="G49" s="599">
        <f>+S49</f>
        <v>-4.6000000000000005</v>
      </c>
      <c r="H49" s="600"/>
      <c r="I49" s="600"/>
      <c r="J49" s="601">
        <f>SUM(J42:J46)</f>
        <v>-4.9999999999999958E-3</v>
      </c>
      <c r="K49" s="602">
        <f>SUM(K42:K46)</f>
        <v>1.6999999999999998E-2</v>
      </c>
      <c r="L49" s="600"/>
      <c r="M49" s="600"/>
      <c r="N49" s="755">
        <f>SUM(N42:N46)</f>
        <v>-4.9307960623098789E-3</v>
      </c>
      <c r="O49" s="757">
        <f>SUM(O42:O46)</f>
        <v>1.6764706611853603E-2</v>
      </c>
      <c r="R49" s="794">
        <f>SUM(R42:R46)</f>
        <v>-3.4</v>
      </c>
      <c r="S49" s="907">
        <f>SUM(S42:S46)</f>
        <v>-4.6000000000000005</v>
      </c>
    </row>
    <row r="51" spans="2:19" ht="16.5" x14ac:dyDescent="0.3">
      <c r="N51" s="1003" t="s">
        <v>835</v>
      </c>
      <c r="O51" s="992">
        <f>+(F$145/100-G$145/100-O$152/100*O$147)*(F49/100-G49/100)/O$156</f>
        <v>8.0313470981608868E-3</v>
      </c>
      <c r="R51" s="556" t="s">
        <v>0</v>
      </c>
    </row>
    <row r="52" spans="2:19" ht="13.5" thickBot="1" x14ac:dyDescent="0.25">
      <c r="O52" s="556" t="s">
        <v>0</v>
      </c>
    </row>
    <row r="53" spans="2:19" ht="15.75" x14ac:dyDescent="0.25">
      <c r="J53" s="606" t="s">
        <v>488</v>
      </c>
      <c r="K53" s="607"/>
      <c r="L53" s="608">
        <f>+(F49-G49)/100</f>
        <v>1.2000000000000005E-2</v>
      </c>
    </row>
    <row r="54" spans="2:19" x14ac:dyDescent="0.2">
      <c r="J54" s="572"/>
      <c r="K54" s="609"/>
      <c r="L54" s="573"/>
    </row>
    <row r="55" spans="2:19" x14ac:dyDescent="0.2">
      <c r="J55" s="572" t="s">
        <v>477</v>
      </c>
      <c r="K55" s="609"/>
      <c r="L55" s="610">
        <f>+J49</f>
        <v>-4.9999999999999958E-3</v>
      </c>
    </row>
    <row r="56" spans="2:19" x14ac:dyDescent="0.2">
      <c r="J56" s="572" t="s">
        <v>531</v>
      </c>
      <c r="K56" s="609"/>
      <c r="L56" s="610">
        <f>+K49</f>
        <v>1.6999999999999998E-2</v>
      </c>
    </row>
    <row r="57" spans="2:19" x14ac:dyDescent="0.2">
      <c r="J57" s="572" t="s">
        <v>0</v>
      </c>
      <c r="K57" s="609"/>
      <c r="L57" s="610" t="s">
        <v>0</v>
      </c>
      <c r="N57" s="556" t="s">
        <v>0</v>
      </c>
    </row>
    <row r="58" spans="2:19" ht="13.5" thickBot="1" x14ac:dyDescent="0.25">
      <c r="J58" s="613" t="s">
        <v>524</v>
      </c>
      <c r="K58" s="614"/>
      <c r="L58" s="615">
        <f>+L53-L55-L56</f>
        <v>0</v>
      </c>
      <c r="N58" s="556" t="s">
        <v>0</v>
      </c>
    </row>
    <row r="68" spans="2:19" ht="13.5" thickBot="1" x14ac:dyDescent="0.25"/>
    <row r="69" spans="2:19" ht="15.75" x14ac:dyDescent="0.25">
      <c r="B69" s="987" t="s">
        <v>832</v>
      </c>
      <c r="C69" s="558" t="s">
        <v>1</v>
      </c>
      <c r="D69" s="558" t="s">
        <v>15</v>
      </c>
      <c r="E69" s="559"/>
      <c r="F69" s="560" t="s">
        <v>473</v>
      </c>
      <c r="G69" s="561" t="s">
        <v>15</v>
      </c>
      <c r="J69" s="562" t="s">
        <v>814</v>
      </c>
      <c r="K69" s="563"/>
      <c r="N69" s="979" t="s">
        <v>833</v>
      </c>
      <c r="O69" s="988"/>
      <c r="R69" s="564" t="s">
        <v>1</v>
      </c>
      <c r="S69" s="931" t="s">
        <v>15</v>
      </c>
    </row>
    <row r="70" spans="2:19" ht="15.75" x14ac:dyDescent="0.25">
      <c r="B70" s="989" t="s">
        <v>816</v>
      </c>
      <c r="C70" s="568" t="s">
        <v>328</v>
      </c>
      <c r="D70" s="568" t="s">
        <v>328</v>
      </c>
      <c r="E70" s="569"/>
      <c r="F70" s="570" t="s">
        <v>3</v>
      </c>
      <c r="G70" s="571" t="s">
        <v>3</v>
      </c>
      <c r="J70" s="635" t="s">
        <v>476</v>
      </c>
      <c r="K70" s="637" t="s">
        <v>477</v>
      </c>
      <c r="N70" s="635" t="s">
        <v>476</v>
      </c>
      <c r="O70" s="637" t="s">
        <v>477</v>
      </c>
      <c r="R70" s="574" t="s">
        <v>3</v>
      </c>
      <c r="S70" s="941" t="s">
        <v>3</v>
      </c>
    </row>
    <row r="71" spans="2:19" x14ac:dyDescent="0.2">
      <c r="B71" s="990" t="s">
        <v>391</v>
      </c>
      <c r="C71" s="578" t="s">
        <v>0</v>
      </c>
      <c r="D71" s="578" t="s">
        <v>0</v>
      </c>
      <c r="E71" s="579"/>
      <c r="F71" s="580" t="s">
        <v>0</v>
      </c>
      <c r="G71" s="581" t="s">
        <v>0</v>
      </c>
      <c r="J71" s="582" t="s">
        <v>483</v>
      </c>
      <c r="K71" s="583" t="s">
        <v>484</v>
      </c>
      <c r="N71" s="582" t="s">
        <v>483</v>
      </c>
      <c r="O71" s="583" t="s">
        <v>484</v>
      </c>
      <c r="R71" s="574" t="s">
        <v>223</v>
      </c>
      <c r="S71" s="941" t="s">
        <v>223</v>
      </c>
    </row>
    <row r="72" spans="2:19" x14ac:dyDescent="0.2">
      <c r="B72" s="567"/>
      <c r="C72" s="569"/>
      <c r="D72" s="569"/>
      <c r="E72" s="569"/>
      <c r="F72" s="586"/>
      <c r="G72" s="587"/>
      <c r="J72" s="572"/>
      <c r="K72" s="573"/>
      <c r="N72" s="572"/>
      <c r="O72" s="810"/>
      <c r="R72" s="593"/>
      <c r="S72" s="638"/>
    </row>
    <row r="73" spans="2:19" x14ac:dyDescent="0.2">
      <c r="B73" s="567"/>
      <c r="C73" s="569"/>
      <c r="D73" s="569"/>
      <c r="E73" s="569"/>
      <c r="F73" s="586"/>
      <c r="G73" s="587"/>
      <c r="J73" s="572"/>
      <c r="K73" s="573"/>
      <c r="N73" s="572"/>
      <c r="O73" s="573"/>
      <c r="R73" s="593"/>
      <c r="S73" s="638"/>
    </row>
    <row r="74" spans="2:19" x14ac:dyDescent="0.2">
      <c r="B74" s="567" t="s">
        <v>485</v>
      </c>
      <c r="C74" s="588">
        <v>0.3</v>
      </c>
      <c r="D74" s="588">
        <v>0.5</v>
      </c>
      <c r="E74" s="569"/>
      <c r="F74" s="589">
        <v>-20</v>
      </c>
      <c r="G74" s="590">
        <v>-25</v>
      </c>
      <c r="J74" s="591">
        <f>+(C74-D74)*(G74-G$81)/100</f>
        <v>2.5000000000000001E-2</v>
      </c>
      <c r="K74" s="592">
        <f>+C74*(F74-G74)/100</f>
        <v>1.4999999999999999E-2</v>
      </c>
      <c r="N74" s="591">
        <f>+J74*($O$147+$O$83)</f>
        <v>2.5708094618183033E-2</v>
      </c>
      <c r="O74" s="592">
        <f>+K74*($O$147+$O$83)</f>
        <v>1.5424856770909818E-2</v>
      </c>
      <c r="R74" s="593">
        <f>+C74*F74</f>
        <v>-6</v>
      </c>
      <c r="S74" s="638">
        <f>+D74*G74</f>
        <v>-12.5</v>
      </c>
    </row>
    <row r="75" spans="2:19" x14ac:dyDescent="0.2">
      <c r="B75" s="567"/>
      <c r="C75" s="588"/>
      <c r="D75" s="588"/>
      <c r="E75" s="569"/>
      <c r="F75" s="589"/>
      <c r="G75" s="590"/>
      <c r="J75" s="572"/>
      <c r="K75" s="573"/>
      <c r="N75" s="591"/>
      <c r="O75" s="592"/>
      <c r="R75" s="593"/>
      <c r="S75" s="638" t="s">
        <v>0</v>
      </c>
    </row>
    <row r="76" spans="2:19" x14ac:dyDescent="0.2">
      <c r="B76" s="567" t="s">
        <v>486</v>
      </c>
      <c r="C76" s="588">
        <v>0.5</v>
      </c>
      <c r="D76" s="588">
        <v>0.4</v>
      </c>
      <c r="E76" s="569"/>
      <c r="F76" s="589">
        <v>8</v>
      </c>
      <c r="G76" s="590">
        <v>5</v>
      </c>
      <c r="J76" s="591">
        <f>+(C76-D76)*(G76-G$81)/100</f>
        <v>1.7499999999999995E-2</v>
      </c>
      <c r="K76" s="592">
        <f>+C76*(F76-G76)/100</f>
        <v>1.4999999999999999E-2</v>
      </c>
      <c r="N76" s="591">
        <f>+J76*($O$147+$O$83)</f>
        <v>1.7995666232728115E-2</v>
      </c>
      <c r="O76" s="592">
        <f>+K76*($O$147+$O$83)</f>
        <v>1.5424856770909818E-2</v>
      </c>
      <c r="R76" s="593">
        <f>+C76*F76</f>
        <v>4</v>
      </c>
      <c r="S76" s="638">
        <f>+D76*G76</f>
        <v>2</v>
      </c>
    </row>
    <row r="77" spans="2:19" x14ac:dyDescent="0.2">
      <c r="B77" s="567"/>
      <c r="C77" s="588"/>
      <c r="D77" s="588"/>
      <c r="E77" s="569"/>
      <c r="F77" s="589"/>
      <c r="G77" s="590"/>
      <c r="J77" s="572"/>
      <c r="K77" s="573"/>
      <c r="N77" s="591"/>
      <c r="O77" s="592"/>
      <c r="R77" s="593"/>
      <c r="S77" s="638"/>
    </row>
    <row r="78" spans="2:19" x14ac:dyDescent="0.2">
      <c r="B78" s="567" t="s">
        <v>487</v>
      </c>
      <c r="C78" s="588">
        <v>0.2</v>
      </c>
      <c r="D78" s="588">
        <v>0.1</v>
      </c>
      <c r="E78" s="569"/>
      <c r="F78" s="589">
        <v>-15</v>
      </c>
      <c r="G78" s="590">
        <v>-20</v>
      </c>
      <c r="J78" s="591">
        <f>+(C78-D78)*(G78-G$81)/100</f>
        <v>-7.4999999999999997E-3</v>
      </c>
      <c r="K78" s="592">
        <f>+C78*(F78-G78)/100</f>
        <v>0.01</v>
      </c>
      <c r="N78" s="591">
        <f>+J78*($O$147+$O$83)</f>
        <v>-7.7124283854549088E-3</v>
      </c>
      <c r="O78" s="592">
        <f>+K78*($O$147+$O$83)</f>
        <v>1.0283237847273212E-2</v>
      </c>
      <c r="R78" s="593">
        <f>+C78*F78</f>
        <v>-3</v>
      </c>
      <c r="S78" s="638">
        <f>+D78*G78</f>
        <v>-2</v>
      </c>
    </row>
    <row r="79" spans="2:19" x14ac:dyDescent="0.2">
      <c r="B79" s="567"/>
      <c r="C79" s="588"/>
      <c r="D79" s="588"/>
      <c r="E79" s="569"/>
      <c r="F79" s="586"/>
      <c r="G79" s="587"/>
      <c r="J79" s="572"/>
      <c r="K79" s="573"/>
      <c r="N79" s="572"/>
      <c r="O79" s="573"/>
      <c r="R79" s="593"/>
      <c r="S79" s="638"/>
    </row>
    <row r="80" spans="2:19" x14ac:dyDescent="0.2">
      <c r="B80" s="567"/>
      <c r="C80" s="588"/>
      <c r="D80" s="588"/>
      <c r="E80" s="569"/>
      <c r="F80" s="586"/>
      <c r="G80" s="587"/>
      <c r="J80" s="572"/>
      <c r="K80" s="573"/>
      <c r="N80" s="572"/>
      <c r="O80" s="573"/>
      <c r="R80" s="593"/>
      <c r="S80" s="638"/>
    </row>
    <row r="81" spans="2:19" ht="13.5" thickBot="1" x14ac:dyDescent="0.25">
      <c r="B81" s="595" t="s">
        <v>16</v>
      </c>
      <c r="C81" s="596">
        <f>SUM(C74:C78)</f>
        <v>1</v>
      </c>
      <c r="D81" s="596">
        <f>SUM(D74:D78)</f>
        <v>1</v>
      </c>
      <c r="E81" s="597"/>
      <c r="F81" s="598">
        <f>+R81</f>
        <v>-5</v>
      </c>
      <c r="G81" s="599">
        <f>+S81</f>
        <v>-12.5</v>
      </c>
      <c r="H81" s="600"/>
      <c r="I81" s="600"/>
      <c r="J81" s="601">
        <f>SUM(J74:J78)</f>
        <v>3.4999999999999996E-2</v>
      </c>
      <c r="K81" s="602">
        <f>SUM(K74:K78)</f>
        <v>0.04</v>
      </c>
      <c r="L81" s="600"/>
      <c r="M81" s="600"/>
      <c r="N81" s="601">
        <f>SUM(N74:N78)</f>
        <v>3.5991332465456237E-2</v>
      </c>
      <c r="O81" s="602">
        <f>SUM(O74:O78)</f>
        <v>4.1132951389092849E-2</v>
      </c>
      <c r="R81" s="794">
        <f>SUM(R74:R78)</f>
        <v>-5</v>
      </c>
      <c r="S81" s="907">
        <f>SUM(S74:S78)</f>
        <v>-12.5</v>
      </c>
    </row>
    <row r="83" spans="2:19" ht="16.5" x14ac:dyDescent="0.3">
      <c r="N83" s="1003" t="s">
        <v>836</v>
      </c>
      <c r="O83" s="992">
        <f>+(F$145/100-G$145/100-O$152/100*O$147)*(F81/100-G81/100)/O$156</f>
        <v>5.0195919363505523E-2</v>
      </c>
      <c r="R83" s="556" t="s">
        <v>0</v>
      </c>
    </row>
    <row r="84" spans="2:19" ht="13.5" thickBot="1" x14ac:dyDescent="0.25">
      <c r="O84" s="556" t="s">
        <v>0</v>
      </c>
    </row>
    <row r="85" spans="2:19" ht="15.75" x14ac:dyDescent="0.25">
      <c r="J85" s="606" t="s">
        <v>488</v>
      </c>
      <c r="K85" s="607"/>
      <c r="L85" s="608">
        <f>+(F81-G81)/100</f>
        <v>7.4999999999999997E-2</v>
      </c>
    </row>
    <row r="86" spans="2:19" x14ac:dyDescent="0.2">
      <c r="J86" s="572"/>
      <c r="K86" s="609"/>
      <c r="L86" s="573"/>
    </row>
    <row r="87" spans="2:19" x14ac:dyDescent="0.2">
      <c r="J87" s="572" t="s">
        <v>477</v>
      </c>
      <c r="K87" s="609"/>
      <c r="L87" s="610">
        <f>+J81</f>
        <v>3.4999999999999996E-2</v>
      </c>
    </row>
    <row r="88" spans="2:19" x14ac:dyDescent="0.2">
      <c r="J88" s="572" t="s">
        <v>531</v>
      </c>
      <c r="K88" s="609"/>
      <c r="L88" s="610">
        <f>+K81</f>
        <v>0.04</v>
      </c>
    </row>
    <row r="89" spans="2:19" x14ac:dyDescent="0.2">
      <c r="J89" s="572" t="s">
        <v>0</v>
      </c>
      <c r="K89" s="609"/>
      <c r="L89" s="610" t="s">
        <v>0</v>
      </c>
      <c r="N89" s="556" t="s">
        <v>0</v>
      </c>
    </row>
    <row r="90" spans="2:19" ht="13.5" thickBot="1" x14ac:dyDescent="0.25">
      <c r="J90" s="613" t="s">
        <v>524</v>
      </c>
      <c r="K90" s="614"/>
      <c r="L90" s="615">
        <f>+L85-L87-L88</f>
        <v>0</v>
      </c>
      <c r="N90" s="556" t="s">
        <v>0</v>
      </c>
    </row>
    <row r="100" spans="2:19" ht="13.5" thickBot="1" x14ac:dyDescent="0.25"/>
    <row r="101" spans="2:19" ht="15.75" x14ac:dyDescent="0.25">
      <c r="B101" s="987" t="s">
        <v>832</v>
      </c>
      <c r="C101" s="558" t="s">
        <v>1</v>
      </c>
      <c r="D101" s="558" t="s">
        <v>15</v>
      </c>
      <c r="E101" s="559"/>
      <c r="F101" s="560" t="s">
        <v>473</v>
      </c>
      <c r="G101" s="561" t="s">
        <v>15</v>
      </c>
      <c r="J101" s="562" t="s">
        <v>814</v>
      </c>
      <c r="K101" s="563"/>
      <c r="N101" s="979" t="s">
        <v>833</v>
      </c>
      <c r="O101" s="988"/>
      <c r="R101" s="564" t="s">
        <v>1</v>
      </c>
      <c r="S101" s="931" t="s">
        <v>15</v>
      </c>
    </row>
    <row r="102" spans="2:19" ht="15.75" x14ac:dyDescent="0.25">
      <c r="B102" s="989" t="s">
        <v>816</v>
      </c>
      <c r="C102" s="568" t="s">
        <v>328</v>
      </c>
      <c r="D102" s="568" t="s">
        <v>328</v>
      </c>
      <c r="E102" s="569"/>
      <c r="F102" s="570" t="s">
        <v>3</v>
      </c>
      <c r="G102" s="571" t="s">
        <v>3</v>
      </c>
      <c r="J102" s="635" t="s">
        <v>476</v>
      </c>
      <c r="K102" s="637" t="s">
        <v>477</v>
      </c>
      <c r="N102" s="635" t="s">
        <v>476</v>
      </c>
      <c r="O102" s="637" t="s">
        <v>477</v>
      </c>
      <c r="R102" s="574" t="s">
        <v>3</v>
      </c>
      <c r="S102" s="941" t="s">
        <v>3</v>
      </c>
    </row>
    <row r="103" spans="2:19" x14ac:dyDescent="0.2">
      <c r="B103" s="990" t="s">
        <v>392</v>
      </c>
      <c r="C103" s="578" t="s">
        <v>0</v>
      </c>
      <c r="D103" s="578" t="s">
        <v>0</v>
      </c>
      <c r="E103" s="579"/>
      <c r="F103" s="580" t="s">
        <v>0</v>
      </c>
      <c r="G103" s="581" t="s">
        <v>0</v>
      </c>
      <c r="J103" s="582" t="s">
        <v>483</v>
      </c>
      <c r="K103" s="583" t="s">
        <v>484</v>
      </c>
      <c r="N103" s="582" t="s">
        <v>483</v>
      </c>
      <c r="O103" s="583" t="s">
        <v>484</v>
      </c>
      <c r="R103" s="574" t="s">
        <v>223</v>
      </c>
      <c r="S103" s="941" t="s">
        <v>223</v>
      </c>
    </row>
    <row r="104" spans="2:19" x14ac:dyDescent="0.2">
      <c r="B104" s="567"/>
      <c r="C104" s="569"/>
      <c r="D104" s="569"/>
      <c r="E104" s="569"/>
      <c r="F104" s="586"/>
      <c r="G104" s="587"/>
      <c r="J104" s="572"/>
      <c r="K104" s="573"/>
      <c r="N104" s="572"/>
      <c r="O104" s="810"/>
      <c r="R104" s="593"/>
      <c r="S104" s="638"/>
    </row>
    <row r="105" spans="2:19" x14ac:dyDescent="0.2">
      <c r="B105" s="567"/>
      <c r="C105" s="569"/>
      <c r="D105" s="569"/>
      <c r="E105" s="569"/>
      <c r="F105" s="586"/>
      <c r="G105" s="587"/>
      <c r="J105" s="572"/>
      <c r="K105" s="573"/>
      <c r="N105" s="572"/>
      <c r="O105" s="573"/>
      <c r="R105" s="593"/>
      <c r="S105" s="638"/>
    </row>
    <row r="106" spans="2:19" x14ac:dyDescent="0.2">
      <c r="B106" s="567" t="s">
        <v>485</v>
      </c>
      <c r="C106" s="588">
        <v>0.3</v>
      </c>
      <c r="D106" s="588">
        <v>0.4</v>
      </c>
      <c r="E106" s="569"/>
      <c r="F106" s="589">
        <v>10</v>
      </c>
      <c r="G106" s="590">
        <v>5</v>
      </c>
      <c r="J106" s="591">
        <f>+(C106-D106)*(G106-G$113)/100</f>
        <v>-3.0000000000000009E-3</v>
      </c>
      <c r="K106" s="592">
        <f>+C106*(F106-G106)/100</f>
        <v>1.4999999999999999E-2</v>
      </c>
      <c r="N106" s="591">
        <f>+J106*($O$147+$O$115)</f>
        <v>-2.9845795154549537E-3</v>
      </c>
      <c r="O106" s="592">
        <f>+K106*($O$147+$O$115)</f>
        <v>1.4922897577274764E-2</v>
      </c>
      <c r="R106" s="593">
        <f>+C106*F106</f>
        <v>3</v>
      </c>
      <c r="S106" s="638">
        <f>+D106*G106</f>
        <v>2</v>
      </c>
    </row>
    <row r="107" spans="2:19" x14ac:dyDescent="0.2">
      <c r="B107" s="567"/>
      <c r="C107" s="588"/>
      <c r="D107" s="588"/>
      <c r="E107" s="569"/>
      <c r="F107" s="589"/>
      <c r="G107" s="590"/>
      <c r="J107" s="572"/>
      <c r="K107" s="573"/>
      <c r="N107" s="572"/>
      <c r="O107" s="573"/>
      <c r="R107" s="593"/>
      <c r="S107" s="638" t="s">
        <v>0</v>
      </c>
    </row>
    <row r="108" spans="2:19" x14ac:dyDescent="0.2">
      <c r="B108" s="567" t="s">
        <v>486</v>
      </c>
      <c r="C108" s="588">
        <v>0.5</v>
      </c>
      <c r="D108" s="588">
        <v>0.4</v>
      </c>
      <c r="E108" s="569"/>
      <c r="F108" s="589">
        <v>-7</v>
      </c>
      <c r="G108" s="590">
        <v>-5</v>
      </c>
      <c r="J108" s="591">
        <f>+(C108-D108)*(G108-G$113)/100</f>
        <v>-6.9999999999999984E-3</v>
      </c>
      <c r="K108" s="592">
        <f>+C108*(F108-G108)/100</f>
        <v>-0.01</v>
      </c>
      <c r="N108" s="591">
        <f>+J108*($O$147+$O$115)</f>
        <v>-6.9640188693948883E-3</v>
      </c>
      <c r="O108" s="592">
        <f>+K108*($O$147+$O$115)</f>
        <v>-9.9485983848498424E-3</v>
      </c>
      <c r="R108" s="593">
        <f>+C108*F108</f>
        <v>-3.5</v>
      </c>
      <c r="S108" s="638">
        <f>+D108*G108</f>
        <v>-2</v>
      </c>
    </row>
    <row r="109" spans="2:19" x14ac:dyDescent="0.2">
      <c r="B109" s="567"/>
      <c r="C109" s="588"/>
      <c r="D109" s="588"/>
      <c r="E109" s="569"/>
      <c r="F109" s="589"/>
      <c r="G109" s="590"/>
      <c r="J109" s="572"/>
      <c r="K109" s="573"/>
      <c r="N109" s="572"/>
      <c r="O109" s="573"/>
      <c r="R109" s="593"/>
      <c r="S109" s="638"/>
    </row>
    <row r="110" spans="2:19" x14ac:dyDescent="0.2">
      <c r="B110" s="567" t="s">
        <v>487</v>
      </c>
      <c r="C110" s="588">
        <v>0.2</v>
      </c>
      <c r="D110" s="588">
        <v>0.2</v>
      </c>
      <c r="E110" s="569"/>
      <c r="F110" s="589">
        <v>25</v>
      </c>
      <c r="G110" s="590">
        <v>10</v>
      </c>
      <c r="J110" s="591">
        <f>+(C110-D110)*(G110-G$113)/100</f>
        <v>0</v>
      </c>
      <c r="K110" s="592">
        <f>+C110*(F110-G110)/100</f>
        <v>0.03</v>
      </c>
      <c r="N110" s="591">
        <f>+J110*($O$147+$O$115)</f>
        <v>0</v>
      </c>
      <c r="O110" s="592">
        <f>+K110*($O$147+$O$115)</f>
        <v>2.9845795154549527E-2</v>
      </c>
      <c r="R110" s="593">
        <f>+C110*F110</f>
        <v>5</v>
      </c>
      <c r="S110" s="638">
        <f>+D110*G110</f>
        <v>2</v>
      </c>
    </row>
    <row r="111" spans="2:19" x14ac:dyDescent="0.2">
      <c r="B111" s="567"/>
      <c r="C111" s="588"/>
      <c r="D111" s="588" t="s">
        <v>0</v>
      </c>
      <c r="E111" s="569"/>
      <c r="F111" s="586"/>
      <c r="G111" s="587"/>
      <c r="J111" s="572"/>
      <c r="K111" s="573"/>
      <c r="N111" s="572"/>
      <c r="O111" s="573"/>
      <c r="R111" s="593"/>
      <c r="S111" s="638"/>
    </row>
    <row r="112" spans="2:19" x14ac:dyDescent="0.2">
      <c r="B112" s="567"/>
      <c r="C112" s="588"/>
      <c r="D112" s="588"/>
      <c r="E112" s="569"/>
      <c r="F112" s="586"/>
      <c r="G112" s="587"/>
      <c r="J112" s="572"/>
      <c r="K112" s="573"/>
      <c r="N112" s="572"/>
      <c r="O112" s="573"/>
      <c r="R112" s="593"/>
      <c r="S112" s="638"/>
    </row>
    <row r="113" spans="2:19" ht="13.5" thickBot="1" x14ac:dyDescent="0.25">
      <c r="B113" s="595" t="s">
        <v>16</v>
      </c>
      <c r="C113" s="596">
        <f>SUM(C106:C110)</f>
        <v>1</v>
      </c>
      <c r="D113" s="596">
        <f>SUM(D106:D111)</f>
        <v>1</v>
      </c>
      <c r="E113" s="752"/>
      <c r="F113" s="598">
        <f>+R113</f>
        <v>4.5</v>
      </c>
      <c r="G113" s="599">
        <f>+S113</f>
        <v>2</v>
      </c>
      <c r="H113" s="600"/>
      <c r="I113" s="600"/>
      <c r="J113" s="601">
        <f>SUM(J106:J110)</f>
        <v>-9.9999999999999985E-3</v>
      </c>
      <c r="K113" s="602">
        <f>SUM(K106:K110)</f>
        <v>3.4999999999999996E-2</v>
      </c>
      <c r="L113" s="600"/>
      <c r="M113" s="600"/>
      <c r="N113" s="601">
        <f>SUM(N106:N110)</f>
        <v>-9.9485983848498424E-3</v>
      </c>
      <c r="O113" s="602">
        <f>SUM(O106:O110)</f>
        <v>3.4820094346974445E-2</v>
      </c>
      <c r="R113" s="794">
        <f>SUM(R106:R110)</f>
        <v>4.5</v>
      </c>
      <c r="S113" s="907">
        <f>SUM(S106:S110)</f>
        <v>2</v>
      </c>
    </row>
    <row r="115" spans="2:19" ht="16.5" x14ac:dyDescent="0.3">
      <c r="N115" s="1003" t="s">
        <v>837</v>
      </c>
      <c r="O115" s="992">
        <f>+(F$145/100-G$145/100-O$152/100*O$147)*(F113/100-G113/100)/O$156</f>
        <v>1.673197312116851E-2</v>
      </c>
      <c r="R115" s="556" t="s">
        <v>0</v>
      </c>
    </row>
    <row r="116" spans="2:19" x14ac:dyDescent="0.2">
      <c r="O116" s="556" t="s">
        <v>0</v>
      </c>
    </row>
    <row r="117" spans="2:19" ht="15.75" x14ac:dyDescent="0.25">
      <c r="J117" s="619" t="s">
        <v>488</v>
      </c>
      <c r="K117" s="620"/>
      <c r="L117" s="621">
        <f>+(F113-G113)/100</f>
        <v>2.5000000000000001E-2</v>
      </c>
    </row>
    <row r="118" spans="2:19" x14ac:dyDescent="0.2">
      <c r="J118" s="622"/>
      <c r="K118" s="609"/>
      <c r="L118" s="623"/>
      <c r="N118" s="994" t="s">
        <v>0</v>
      </c>
    </row>
    <row r="119" spans="2:19" x14ac:dyDescent="0.2">
      <c r="J119" s="622" t="s">
        <v>477</v>
      </c>
      <c r="K119" s="609"/>
      <c r="L119" s="624">
        <f>+J113</f>
        <v>-9.9999999999999985E-3</v>
      </c>
    </row>
    <row r="120" spans="2:19" x14ac:dyDescent="0.2">
      <c r="J120" s="622" t="s">
        <v>531</v>
      </c>
      <c r="K120" s="609"/>
      <c r="L120" s="624">
        <f>+K113</f>
        <v>3.4999999999999996E-2</v>
      </c>
    </row>
    <row r="121" spans="2:19" x14ac:dyDescent="0.2">
      <c r="J121" s="622" t="s">
        <v>0</v>
      </c>
      <c r="K121" s="609"/>
      <c r="L121" s="624" t="s">
        <v>0</v>
      </c>
    </row>
    <row r="122" spans="2:19" x14ac:dyDescent="0.2">
      <c r="J122" s="625" t="s">
        <v>524</v>
      </c>
      <c r="K122" s="626"/>
      <c r="L122" s="627">
        <f>+L117-L119-L120</f>
        <v>0</v>
      </c>
    </row>
    <row r="125" spans="2:19" x14ac:dyDescent="0.2">
      <c r="N125" s="556" t="s">
        <v>0</v>
      </c>
    </row>
    <row r="132" spans="2:15" ht="13.5" thickBot="1" x14ac:dyDescent="0.25"/>
    <row r="133" spans="2:15" ht="15.75" x14ac:dyDescent="0.25">
      <c r="B133" s="987" t="s">
        <v>832</v>
      </c>
      <c r="C133" s="558" t="s">
        <v>7</v>
      </c>
      <c r="D133" s="558" t="s">
        <v>7</v>
      </c>
      <c r="E133" s="559"/>
      <c r="F133" s="560" t="s">
        <v>473</v>
      </c>
      <c r="G133" s="561" t="s">
        <v>15</v>
      </c>
      <c r="N133" s="863" t="s">
        <v>833</v>
      </c>
      <c r="O133" s="995"/>
    </row>
    <row r="134" spans="2:15" ht="15.75" x14ac:dyDescent="0.25">
      <c r="B134" s="989" t="s">
        <v>816</v>
      </c>
      <c r="C134" s="568" t="s">
        <v>1</v>
      </c>
      <c r="D134" s="568" t="s">
        <v>15</v>
      </c>
      <c r="E134" s="569"/>
      <c r="F134" s="570" t="s">
        <v>3</v>
      </c>
      <c r="G134" s="571" t="s">
        <v>3</v>
      </c>
      <c r="N134" s="725" t="s">
        <v>476</v>
      </c>
      <c r="O134" s="875" t="s">
        <v>477</v>
      </c>
    </row>
    <row r="135" spans="2:15" x14ac:dyDescent="0.2">
      <c r="B135" s="990" t="s">
        <v>822</v>
      </c>
      <c r="C135" s="578" t="s">
        <v>328</v>
      </c>
      <c r="D135" s="578" t="s">
        <v>328</v>
      </c>
      <c r="E135" s="579"/>
      <c r="F135" s="580" t="s">
        <v>0</v>
      </c>
      <c r="G135" s="581" t="s">
        <v>0</v>
      </c>
      <c r="N135" s="734" t="s">
        <v>483</v>
      </c>
      <c r="O135" s="910" t="s">
        <v>484</v>
      </c>
    </row>
    <row r="136" spans="2:15" x14ac:dyDescent="0.2">
      <c r="B136" s="567"/>
      <c r="C136" s="569"/>
      <c r="D136" s="569"/>
      <c r="E136" s="569"/>
      <c r="F136" s="586"/>
      <c r="G136" s="587"/>
      <c r="N136" s="622"/>
      <c r="O136" s="623"/>
    </row>
    <row r="137" spans="2:15" x14ac:dyDescent="0.2">
      <c r="B137" s="567"/>
      <c r="C137" s="569"/>
      <c r="D137" s="569"/>
      <c r="E137" s="569"/>
      <c r="F137" s="586"/>
      <c r="G137" s="587"/>
      <c r="N137" s="622"/>
      <c r="O137" s="623"/>
    </row>
    <row r="138" spans="2:15" x14ac:dyDescent="0.2">
      <c r="B138" s="567" t="s">
        <v>485</v>
      </c>
      <c r="C138" s="588">
        <f>+(C10+C42+C74+C106)/4</f>
        <v>0.42500000000000004</v>
      </c>
      <c r="D138" s="588">
        <f>+(D10+D42+D74+D106)/4</f>
        <v>0.42500000000000004</v>
      </c>
      <c r="E138" s="569"/>
      <c r="F138" s="589">
        <f>((1+F10/100)*(1+F42/100)*(1+F74/100)*(1+F106/100)-1)*100</f>
        <v>0.32000000000000917</v>
      </c>
      <c r="G138" s="590">
        <f>((1+G10/100)*(1+G42/100)*(1+G74/100)*(1+G106/100)-1)*100</f>
        <v>-19.438749999999992</v>
      </c>
      <c r="N138" s="746">
        <f>+N10+N42+N74+N106</f>
        <v>1.562316877300185E-2</v>
      </c>
      <c r="O138" s="898">
        <f>+O10+O42+O74+O106</f>
        <v>8.3787749920088403E-2</v>
      </c>
    </row>
    <row r="139" spans="2:15" x14ac:dyDescent="0.2">
      <c r="B139" s="567"/>
      <c r="C139" s="588"/>
      <c r="D139" s="588"/>
      <c r="E139" s="569"/>
      <c r="F139" s="589"/>
      <c r="G139" s="590"/>
      <c r="N139" s="622"/>
      <c r="O139" s="623"/>
    </row>
    <row r="140" spans="2:15" x14ac:dyDescent="0.2">
      <c r="B140" s="567" t="s">
        <v>486</v>
      </c>
      <c r="C140" s="588">
        <f>+(C12+C44+C76+C108)/4</f>
        <v>0.375</v>
      </c>
      <c r="D140" s="588">
        <f>+(D12+D44+D76+D108)/4</f>
        <v>0.32500000000000001</v>
      </c>
      <c r="E140" s="569"/>
      <c r="F140" s="589">
        <f>((1+F12/100)*(1+F44/100)*(1+F76/100)*(1+F108/100)-1)*100</f>
        <v>-1.719460000000006</v>
      </c>
      <c r="G140" s="590">
        <f>((1+G12/100)*(1+G44/100)*(1+G76/100)*(1+G108/100)-1)*100</f>
        <v>-0.40960000000000996</v>
      </c>
      <c r="N140" s="746">
        <f>+N12+N44+N76+N108</f>
        <v>-7.7541011791731722E-3</v>
      </c>
      <c r="O140" s="898">
        <f>+O12+O44+O76+O108</f>
        <v>5.314074663283104E-4</v>
      </c>
    </row>
    <row r="141" spans="2:15" x14ac:dyDescent="0.2">
      <c r="B141" s="567"/>
      <c r="C141" s="588"/>
      <c r="D141" s="588"/>
      <c r="E141" s="569"/>
      <c r="F141" s="589"/>
      <c r="G141" s="590"/>
      <c r="N141" s="622"/>
      <c r="O141" s="623"/>
    </row>
    <row r="142" spans="2:15" x14ac:dyDescent="0.2">
      <c r="B142" s="567" t="s">
        <v>487</v>
      </c>
      <c r="C142" s="588">
        <f>+(C14+C46+C78+C110)/4</f>
        <v>0.2</v>
      </c>
      <c r="D142" s="588">
        <f>+(D14+D46+D78+D110)/4</f>
        <v>0.25</v>
      </c>
      <c r="E142" s="569"/>
      <c r="F142" s="589">
        <f>((1+F14/100)*(1+F46/100)*(1+F78/100)*(1+F110/100)-1)*100</f>
        <v>6.9937499999999764</v>
      </c>
      <c r="G142" s="590">
        <f>((1+G14/100)*(1+G46/100)*(1+G78/100)*(1+G110/100)-1)*100</f>
        <v>-14.463999999999988</v>
      </c>
      <c r="N142" s="746">
        <f>+N14+N46+N78+N110</f>
        <v>1.3527404452369921E-3</v>
      </c>
      <c r="O142" s="898">
        <f>+O14+O46+O78+O110</f>
        <v>3.9114764074517201E-2</v>
      </c>
    </row>
    <row r="143" spans="2:15" x14ac:dyDescent="0.2">
      <c r="B143" s="567"/>
      <c r="C143" s="588"/>
      <c r="D143" s="588" t="s">
        <v>0</v>
      </c>
      <c r="E143" s="569"/>
      <c r="F143" s="586"/>
      <c r="G143" s="587"/>
      <c r="N143" s="622"/>
      <c r="O143" s="623"/>
    </row>
    <row r="144" spans="2:15" x14ac:dyDescent="0.2">
      <c r="B144" s="567"/>
      <c r="C144" s="588"/>
      <c r="D144" s="588"/>
      <c r="E144" s="569"/>
      <c r="F144" s="586"/>
      <c r="G144" s="587"/>
      <c r="N144" s="622"/>
      <c r="O144" s="623"/>
    </row>
    <row r="145" spans="2:15" ht="13.5" thickBot="1" x14ac:dyDescent="0.25">
      <c r="B145" s="595" t="s">
        <v>16</v>
      </c>
      <c r="C145" s="596">
        <f>SUM(C138:C142)</f>
        <v>1</v>
      </c>
      <c r="D145" s="596">
        <f>SUM(D138:D143)</f>
        <v>1</v>
      </c>
      <c r="E145" s="752"/>
      <c r="F145" s="598">
        <f>((1+F17/100)*(1+F49/100)*(1+F81/100)*(1+F113/100)-1)*100</f>
        <v>3.859320949999967</v>
      </c>
      <c r="G145" s="599">
        <f>((1+G17/100)*(1+G49/100)*(1+G81/100)*(1+G113/100)-1)*100</f>
        <v>-9.4062519999999932</v>
      </c>
      <c r="H145" s="600"/>
      <c r="N145" s="755">
        <f>SUM(N138:N142)</f>
        <v>9.2218080390656688E-3</v>
      </c>
      <c r="O145" s="757">
        <f>SUM(O138:O142)</f>
        <v>0.1234339214609339</v>
      </c>
    </row>
    <row r="147" spans="2:15" ht="15" x14ac:dyDescent="0.2">
      <c r="N147" s="1004" t="s">
        <v>838</v>
      </c>
      <c r="O147" s="997">
        <f>(F145/100-G145/100)/((1+F145/100)^(1/4)-(1+G145/100)^(1/4))/4</f>
        <v>0.9781278653638158</v>
      </c>
    </row>
    <row r="148" spans="2:15" ht="15.75" x14ac:dyDescent="0.25">
      <c r="N148" s="1005"/>
      <c r="O148" s="999"/>
    </row>
    <row r="149" spans="2:15" ht="15.75" x14ac:dyDescent="0.25">
      <c r="N149" s="1005"/>
      <c r="O149" s="999"/>
    </row>
    <row r="150" spans="2:15" ht="15.75" x14ac:dyDescent="0.25">
      <c r="N150" s="1006"/>
      <c r="O150" s="1001"/>
    </row>
    <row r="152" spans="2:15" x14ac:dyDescent="0.2">
      <c r="N152" s="922" t="s">
        <v>839</v>
      </c>
      <c r="O152" s="1007">
        <f>(F17-G17+F49-G49+F81-G81+F113-G113)</f>
        <v>13.100000000000001</v>
      </c>
    </row>
    <row r="153" spans="2:15" x14ac:dyDescent="0.2">
      <c r="N153" s="885"/>
      <c r="O153" s="913"/>
    </row>
    <row r="154" spans="2:15" x14ac:dyDescent="0.2">
      <c r="N154" s="885"/>
      <c r="O154" s="913"/>
    </row>
    <row r="155" spans="2:15" x14ac:dyDescent="0.2">
      <c r="N155" s="885"/>
      <c r="O155" s="886"/>
    </row>
    <row r="156" spans="2:15" x14ac:dyDescent="0.2">
      <c r="N156" s="885" t="s">
        <v>840</v>
      </c>
      <c r="O156" s="1008">
        <f>+(F17/100-G17/100)^(2)+(F49/100-G49/100)^(2)+(F113/100-G113/100)^(2)+(F81/100-G81/100)^(2)</f>
        <v>6.7549999999999997E-3</v>
      </c>
    </row>
    <row r="157" spans="2:15" x14ac:dyDescent="0.2">
      <c r="N157" s="885"/>
      <c r="O157" s="1008"/>
    </row>
    <row r="158" spans="2:15" x14ac:dyDescent="0.2">
      <c r="N158" s="885"/>
      <c r="O158" s="1008"/>
    </row>
    <row r="159" spans="2:15" x14ac:dyDescent="0.2">
      <c r="N159" s="885"/>
      <c r="O159" s="886"/>
    </row>
    <row r="160" spans="2:15" x14ac:dyDescent="0.2">
      <c r="N160" s="923" t="s">
        <v>0</v>
      </c>
      <c r="O160" s="1001">
        <f>(+F145/100-G145/100-O147*O152/100)/O156</f>
        <v>0.66927892484674045</v>
      </c>
    </row>
    <row r="161" spans="14:16" x14ac:dyDescent="0.2">
      <c r="O161" s="556" t="s">
        <v>0</v>
      </c>
    </row>
    <row r="163" spans="14:16" ht="15.75" x14ac:dyDescent="0.25">
      <c r="N163" s="619" t="s">
        <v>488</v>
      </c>
      <c r="O163" s="620"/>
      <c r="P163" s="621">
        <f>+(F145-G145)/100</f>
        <v>0.1326557294999996</v>
      </c>
    </row>
    <row r="164" spans="14:16" x14ac:dyDescent="0.2">
      <c r="N164" s="622"/>
      <c r="O164" s="609"/>
      <c r="P164" s="623"/>
    </row>
    <row r="165" spans="14:16" x14ac:dyDescent="0.2">
      <c r="N165" s="622" t="s">
        <v>477</v>
      </c>
      <c r="O165" s="609"/>
      <c r="P165" s="624">
        <f>+N145</f>
        <v>9.2218080390656688E-3</v>
      </c>
    </row>
    <row r="166" spans="14:16" x14ac:dyDescent="0.2">
      <c r="N166" s="622" t="s">
        <v>531</v>
      </c>
      <c r="O166" s="609"/>
      <c r="P166" s="624">
        <f>+O145</f>
        <v>0.1234339214609339</v>
      </c>
    </row>
    <row r="167" spans="14:16" x14ac:dyDescent="0.2">
      <c r="N167" s="622" t="s">
        <v>0</v>
      </c>
      <c r="O167" s="609"/>
      <c r="P167" s="624" t="s">
        <v>0</v>
      </c>
    </row>
    <row r="168" spans="14:16" x14ac:dyDescent="0.2">
      <c r="N168" s="625" t="s">
        <v>141</v>
      </c>
      <c r="O168" s="626"/>
      <c r="P168" s="627">
        <f>+P163-P165-P166</f>
        <v>0</v>
      </c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39937" r:id="rId3">
          <objectPr defaultSize="0" autoPict="0" r:id="rId4">
            <anchor moveWithCells="1" sizeWithCells="1">
              <from>
                <xdr:col>13</xdr:col>
                <xdr:colOff>95250</xdr:colOff>
                <xdr:row>152</xdr:row>
                <xdr:rowOff>9525</xdr:rowOff>
              </from>
              <to>
                <xdr:col>13</xdr:col>
                <xdr:colOff>781050</xdr:colOff>
                <xdr:row>154</xdr:row>
                <xdr:rowOff>114300</xdr:rowOff>
              </to>
            </anchor>
          </objectPr>
        </oleObject>
      </mc:Choice>
      <mc:Fallback>
        <oleObject progId="Equation.3" shapeId="39937" r:id="rId3"/>
      </mc:Fallback>
    </mc:AlternateContent>
    <mc:AlternateContent xmlns:mc="http://schemas.openxmlformats.org/markup-compatibility/2006">
      <mc:Choice Requires="x14">
        <oleObject progId="Equation.3" shapeId="39938" r:id="rId5">
          <objectPr defaultSize="0" autoPict="0" r:id="rId6">
            <anchor moveWithCells="1" sizeWithCells="1">
              <from>
                <xdr:col>13</xdr:col>
                <xdr:colOff>85725</xdr:colOff>
                <xdr:row>156</xdr:row>
                <xdr:rowOff>28575</xdr:rowOff>
              </from>
              <to>
                <xdr:col>14</xdr:col>
                <xdr:colOff>9525</xdr:colOff>
                <xdr:row>158</xdr:row>
                <xdr:rowOff>133350</xdr:rowOff>
              </to>
            </anchor>
          </objectPr>
        </oleObject>
      </mc:Choice>
      <mc:Fallback>
        <oleObject progId="Equation.3" shapeId="39938" r:id="rId5"/>
      </mc:Fallback>
    </mc:AlternateContent>
    <mc:AlternateContent xmlns:mc="http://schemas.openxmlformats.org/markup-compatibility/2006">
      <mc:Choice Requires="x14">
        <oleObject progId="Equation.3" shapeId="39939" r:id="rId7">
          <objectPr defaultSize="0" autoPict="0" r:id="rId8">
            <anchor moveWithCells="1" sizeWithCells="1">
              <from>
                <xdr:col>13</xdr:col>
                <xdr:colOff>19050</xdr:colOff>
                <xdr:row>20</xdr:row>
                <xdr:rowOff>180975</xdr:rowOff>
              </from>
              <to>
                <xdr:col>16</xdr:col>
                <xdr:colOff>342900</xdr:colOff>
                <xdr:row>26</xdr:row>
                <xdr:rowOff>66675</xdr:rowOff>
              </to>
            </anchor>
          </objectPr>
        </oleObject>
      </mc:Choice>
      <mc:Fallback>
        <oleObject progId="Equation.3" shapeId="39939" r:id="rId7"/>
      </mc:Fallback>
    </mc:AlternateContent>
    <mc:AlternateContent xmlns:mc="http://schemas.openxmlformats.org/markup-compatibility/2006">
      <mc:Choice Requires="x14">
        <oleObject progId="Equation.3" shapeId="39940" r:id="rId9">
          <objectPr defaultSize="0" autoPict="0" r:id="rId10">
            <anchor moveWithCells="1" sizeWithCells="1">
              <from>
                <xdr:col>13</xdr:col>
                <xdr:colOff>38100</xdr:colOff>
                <xdr:row>147</xdr:row>
                <xdr:rowOff>85725</xdr:rowOff>
              </from>
              <to>
                <xdr:col>14</xdr:col>
                <xdr:colOff>819150</xdr:colOff>
                <xdr:row>149</xdr:row>
                <xdr:rowOff>114300</xdr:rowOff>
              </to>
            </anchor>
          </objectPr>
        </oleObject>
      </mc:Choice>
      <mc:Fallback>
        <oleObject progId="Equation.3" shapeId="39940" r:id="rId9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CD6F-B50A-4AB3-B66E-3BBE656A8EBF}">
  <dimension ref="B3:S155"/>
  <sheetViews>
    <sheetView workbookViewId="0">
      <selection activeCell="O26" sqref="O26"/>
    </sheetView>
  </sheetViews>
  <sheetFormatPr defaultRowHeight="12.75" x14ac:dyDescent="0.2"/>
  <cols>
    <col min="1" max="1" width="9.140625" style="556"/>
    <col min="2" max="2" width="15.7109375" style="556" customWidth="1"/>
    <col min="3" max="4" width="10.7109375" style="556" customWidth="1"/>
    <col min="5" max="5" width="2.7109375" style="556" customWidth="1"/>
    <col min="6" max="7" width="10.7109375" style="556" customWidth="1"/>
    <col min="8" max="9" width="9.140625" style="556"/>
    <col min="10" max="11" width="10.7109375" style="556" customWidth="1"/>
    <col min="12" max="13" width="9.140625" style="556"/>
    <col min="14" max="15" width="10.7109375" style="556" customWidth="1"/>
    <col min="16" max="257" width="9.140625" style="556"/>
    <col min="258" max="258" width="15.7109375" style="556" customWidth="1"/>
    <col min="259" max="260" width="10.7109375" style="556" customWidth="1"/>
    <col min="261" max="261" width="2.7109375" style="556" customWidth="1"/>
    <col min="262" max="263" width="10.7109375" style="556" customWidth="1"/>
    <col min="264" max="265" width="9.140625" style="556"/>
    <col min="266" max="267" width="10.7109375" style="556" customWidth="1"/>
    <col min="268" max="269" width="9.140625" style="556"/>
    <col min="270" max="271" width="10.7109375" style="556" customWidth="1"/>
    <col min="272" max="513" width="9.140625" style="556"/>
    <col min="514" max="514" width="15.7109375" style="556" customWidth="1"/>
    <col min="515" max="516" width="10.7109375" style="556" customWidth="1"/>
    <col min="517" max="517" width="2.7109375" style="556" customWidth="1"/>
    <col min="518" max="519" width="10.7109375" style="556" customWidth="1"/>
    <col min="520" max="521" width="9.140625" style="556"/>
    <col min="522" max="523" width="10.7109375" style="556" customWidth="1"/>
    <col min="524" max="525" width="9.140625" style="556"/>
    <col min="526" max="527" width="10.7109375" style="556" customWidth="1"/>
    <col min="528" max="769" width="9.140625" style="556"/>
    <col min="770" max="770" width="15.7109375" style="556" customWidth="1"/>
    <col min="771" max="772" width="10.7109375" style="556" customWidth="1"/>
    <col min="773" max="773" width="2.7109375" style="556" customWidth="1"/>
    <col min="774" max="775" width="10.7109375" style="556" customWidth="1"/>
    <col min="776" max="777" width="9.140625" style="556"/>
    <col min="778" max="779" width="10.7109375" style="556" customWidth="1"/>
    <col min="780" max="781" width="9.140625" style="556"/>
    <col min="782" max="783" width="10.7109375" style="556" customWidth="1"/>
    <col min="784" max="1025" width="9.140625" style="556"/>
    <col min="1026" max="1026" width="15.7109375" style="556" customWidth="1"/>
    <col min="1027" max="1028" width="10.7109375" style="556" customWidth="1"/>
    <col min="1029" max="1029" width="2.7109375" style="556" customWidth="1"/>
    <col min="1030" max="1031" width="10.7109375" style="556" customWidth="1"/>
    <col min="1032" max="1033" width="9.140625" style="556"/>
    <col min="1034" max="1035" width="10.7109375" style="556" customWidth="1"/>
    <col min="1036" max="1037" width="9.140625" style="556"/>
    <col min="1038" max="1039" width="10.7109375" style="556" customWidth="1"/>
    <col min="1040" max="1281" width="9.140625" style="556"/>
    <col min="1282" max="1282" width="15.7109375" style="556" customWidth="1"/>
    <col min="1283" max="1284" width="10.7109375" style="556" customWidth="1"/>
    <col min="1285" max="1285" width="2.7109375" style="556" customWidth="1"/>
    <col min="1286" max="1287" width="10.7109375" style="556" customWidth="1"/>
    <col min="1288" max="1289" width="9.140625" style="556"/>
    <col min="1290" max="1291" width="10.7109375" style="556" customWidth="1"/>
    <col min="1292" max="1293" width="9.140625" style="556"/>
    <col min="1294" max="1295" width="10.7109375" style="556" customWidth="1"/>
    <col min="1296" max="1537" width="9.140625" style="556"/>
    <col min="1538" max="1538" width="15.7109375" style="556" customWidth="1"/>
    <col min="1539" max="1540" width="10.7109375" style="556" customWidth="1"/>
    <col min="1541" max="1541" width="2.7109375" style="556" customWidth="1"/>
    <col min="1542" max="1543" width="10.7109375" style="556" customWidth="1"/>
    <col min="1544" max="1545" width="9.140625" style="556"/>
    <col min="1546" max="1547" width="10.7109375" style="556" customWidth="1"/>
    <col min="1548" max="1549" width="9.140625" style="556"/>
    <col min="1550" max="1551" width="10.7109375" style="556" customWidth="1"/>
    <col min="1552" max="1793" width="9.140625" style="556"/>
    <col min="1794" max="1794" width="15.7109375" style="556" customWidth="1"/>
    <col min="1795" max="1796" width="10.7109375" style="556" customWidth="1"/>
    <col min="1797" max="1797" width="2.7109375" style="556" customWidth="1"/>
    <col min="1798" max="1799" width="10.7109375" style="556" customWidth="1"/>
    <col min="1800" max="1801" width="9.140625" style="556"/>
    <col min="1802" max="1803" width="10.7109375" style="556" customWidth="1"/>
    <col min="1804" max="1805" width="9.140625" style="556"/>
    <col min="1806" max="1807" width="10.7109375" style="556" customWidth="1"/>
    <col min="1808" max="2049" width="9.140625" style="556"/>
    <col min="2050" max="2050" width="15.7109375" style="556" customWidth="1"/>
    <col min="2051" max="2052" width="10.7109375" style="556" customWidth="1"/>
    <col min="2053" max="2053" width="2.7109375" style="556" customWidth="1"/>
    <col min="2054" max="2055" width="10.7109375" style="556" customWidth="1"/>
    <col min="2056" max="2057" width="9.140625" style="556"/>
    <col min="2058" max="2059" width="10.7109375" style="556" customWidth="1"/>
    <col min="2060" max="2061" width="9.140625" style="556"/>
    <col min="2062" max="2063" width="10.7109375" style="556" customWidth="1"/>
    <col min="2064" max="2305" width="9.140625" style="556"/>
    <col min="2306" max="2306" width="15.7109375" style="556" customWidth="1"/>
    <col min="2307" max="2308" width="10.7109375" style="556" customWidth="1"/>
    <col min="2309" max="2309" width="2.7109375" style="556" customWidth="1"/>
    <col min="2310" max="2311" width="10.7109375" style="556" customWidth="1"/>
    <col min="2312" max="2313" width="9.140625" style="556"/>
    <col min="2314" max="2315" width="10.7109375" style="556" customWidth="1"/>
    <col min="2316" max="2317" width="9.140625" style="556"/>
    <col min="2318" max="2319" width="10.7109375" style="556" customWidth="1"/>
    <col min="2320" max="2561" width="9.140625" style="556"/>
    <col min="2562" max="2562" width="15.7109375" style="556" customWidth="1"/>
    <col min="2563" max="2564" width="10.7109375" style="556" customWidth="1"/>
    <col min="2565" max="2565" width="2.7109375" style="556" customWidth="1"/>
    <col min="2566" max="2567" width="10.7109375" style="556" customWidth="1"/>
    <col min="2568" max="2569" width="9.140625" style="556"/>
    <col min="2570" max="2571" width="10.7109375" style="556" customWidth="1"/>
    <col min="2572" max="2573" width="9.140625" style="556"/>
    <col min="2574" max="2575" width="10.7109375" style="556" customWidth="1"/>
    <col min="2576" max="2817" width="9.140625" style="556"/>
    <col min="2818" max="2818" width="15.7109375" style="556" customWidth="1"/>
    <col min="2819" max="2820" width="10.7109375" style="556" customWidth="1"/>
    <col min="2821" max="2821" width="2.7109375" style="556" customWidth="1"/>
    <col min="2822" max="2823" width="10.7109375" style="556" customWidth="1"/>
    <col min="2824" max="2825" width="9.140625" style="556"/>
    <col min="2826" max="2827" width="10.7109375" style="556" customWidth="1"/>
    <col min="2828" max="2829" width="9.140625" style="556"/>
    <col min="2830" max="2831" width="10.7109375" style="556" customWidth="1"/>
    <col min="2832" max="3073" width="9.140625" style="556"/>
    <col min="3074" max="3074" width="15.7109375" style="556" customWidth="1"/>
    <col min="3075" max="3076" width="10.7109375" style="556" customWidth="1"/>
    <col min="3077" max="3077" width="2.7109375" style="556" customWidth="1"/>
    <col min="3078" max="3079" width="10.7109375" style="556" customWidth="1"/>
    <col min="3080" max="3081" width="9.140625" style="556"/>
    <col min="3082" max="3083" width="10.7109375" style="556" customWidth="1"/>
    <col min="3084" max="3085" width="9.140625" style="556"/>
    <col min="3086" max="3087" width="10.7109375" style="556" customWidth="1"/>
    <col min="3088" max="3329" width="9.140625" style="556"/>
    <col min="3330" max="3330" width="15.7109375" style="556" customWidth="1"/>
    <col min="3331" max="3332" width="10.7109375" style="556" customWidth="1"/>
    <col min="3333" max="3333" width="2.7109375" style="556" customWidth="1"/>
    <col min="3334" max="3335" width="10.7109375" style="556" customWidth="1"/>
    <col min="3336" max="3337" width="9.140625" style="556"/>
    <col min="3338" max="3339" width="10.7109375" style="556" customWidth="1"/>
    <col min="3340" max="3341" width="9.140625" style="556"/>
    <col min="3342" max="3343" width="10.7109375" style="556" customWidth="1"/>
    <col min="3344" max="3585" width="9.140625" style="556"/>
    <col min="3586" max="3586" width="15.7109375" style="556" customWidth="1"/>
    <col min="3587" max="3588" width="10.7109375" style="556" customWidth="1"/>
    <col min="3589" max="3589" width="2.7109375" style="556" customWidth="1"/>
    <col min="3590" max="3591" width="10.7109375" style="556" customWidth="1"/>
    <col min="3592" max="3593" width="9.140625" style="556"/>
    <col min="3594" max="3595" width="10.7109375" style="556" customWidth="1"/>
    <col min="3596" max="3597" width="9.140625" style="556"/>
    <col min="3598" max="3599" width="10.7109375" style="556" customWidth="1"/>
    <col min="3600" max="3841" width="9.140625" style="556"/>
    <col min="3842" max="3842" width="15.7109375" style="556" customWidth="1"/>
    <col min="3843" max="3844" width="10.7109375" style="556" customWidth="1"/>
    <col min="3845" max="3845" width="2.7109375" style="556" customWidth="1"/>
    <col min="3846" max="3847" width="10.7109375" style="556" customWidth="1"/>
    <col min="3848" max="3849" width="9.140625" style="556"/>
    <col min="3850" max="3851" width="10.7109375" style="556" customWidth="1"/>
    <col min="3852" max="3853" width="9.140625" style="556"/>
    <col min="3854" max="3855" width="10.7109375" style="556" customWidth="1"/>
    <col min="3856" max="4097" width="9.140625" style="556"/>
    <col min="4098" max="4098" width="15.7109375" style="556" customWidth="1"/>
    <col min="4099" max="4100" width="10.7109375" style="556" customWidth="1"/>
    <col min="4101" max="4101" width="2.7109375" style="556" customWidth="1"/>
    <col min="4102" max="4103" width="10.7109375" style="556" customWidth="1"/>
    <col min="4104" max="4105" width="9.140625" style="556"/>
    <col min="4106" max="4107" width="10.7109375" style="556" customWidth="1"/>
    <col min="4108" max="4109" width="9.140625" style="556"/>
    <col min="4110" max="4111" width="10.7109375" style="556" customWidth="1"/>
    <col min="4112" max="4353" width="9.140625" style="556"/>
    <col min="4354" max="4354" width="15.7109375" style="556" customWidth="1"/>
    <col min="4355" max="4356" width="10.7109375" style="556" customWidth="1"/>
    <col min="4357" max="4357" width="2.7109375" style="556" customWidth="1"/>
    <col min="4358" max="4359" width="10.7109375" style="556" customWidth="1"/>
    <col min="4360" max="4361" width="9.140625" style="556"/>
    <col min="4362" max="4363" width="10.7109375" style="556" customWidth="1"/>
    <col min="4364" max="4365" width="9.140625" style="556"/>
    <col min="4366" max="4367" width="10.7109375" style="556" customWidth="1"/>
    <col min="4368" max="4609" width="9.140625" style="556"/>
    <col min="4610" max="4610" width="15.7109375" style="556" customWidth="1"/>
    <col min="4611" max="4612" width="10.7109375" style="556" customWidth="1"/>
    <col min="4613" max="4613" width="2.7109375" style="556" customWidth="1"/>
    <col min="4614" max="4615" width="10.7109375" style="556" customWidth="1"/>
    <col min="4616" max="4617" width="9.140625" style="556"/>
    <col min="4618" max="4619" width="10.7109375" style="556" customWidth="1"/>
    <col min="4620" max="4621" width="9.140625" style="556"/>
    <col min="4622" max="4623" width="10.7109375" style="556" customWidth="1"/>
    <col min="4624" max="4865" width="9.140625" style="556"/>
    <col min="4866" max="4866" width="15.7109375" style="556" customWidth="1"/>
    <col min="4867" max="4868" width="10.7109375" style="556" customWidth="1"/>
    <col min="4869" max="4869" width="2.7109375" style="556" customWidth="1"/>
    <col min="4870" max="4871" width="10.7109375" style="556" customWidth="1"/>
    <col min="4872" max="4873" width="9.140625" style="556"/>
    <col min="4874" max="4875" width="10.7109375" style="556" customWidth="1"/>
    <col min="4876" max="4877" width="9.140625" style="556"/>
    <col min="4878" max="4879" width="10.7109375" style="556" customWidth="1"/>
    <col min="4880" max="5121" width="9.140625" style="556"/>
    <col min="5122" max="5122" width="15.7109375" style="556" customWidth="1"/>
    <col min="5123" max="5124" width="10.7109375" style="556" customWidth="1"/>
    <col min="5125" max="5125" width="2.7109375" style="556" customWidth="1"/>
    <col min="5126" max="5127" width="10.7109375" style="556" customWidth="1"/>
    <col min="5128" max="5129" width="9.140625" style="556"/>
    <col min="5130" max="5131" width="10.7109375" style="556" customWidth="1"/>
    <col min="5132" max="5133" width="9.140625" style="556"/>
    <col min="5134" max="5135" width="10.7109375" style="556" customWidth="1"/>
    <col min="5136" max="5377" width="9.140625" style="556"/>
    <col min="5378" max="5378" width="15.7109375" style="556" customWidth="1"/>
    <col min="5379" max="5380" width="10.7109375" style="556" customWidth="1"/>
    <col min="5381" max="5381" width="2.7109375" style="556" customWidth="1"/>
    <col min="5382" max="5383" width="10.7109375" style="556" customWidth="1"/>
    <col min="5384" max="5385" width="9.140625" style="556"/>
    <col min="5386" max="5387" width="10.7109375" style="556" customWidth="1"/>
    <col min="5388" max="5389" width="9.140625" style="556"/>
    <col min="5390" max="5391" width="10.7109375" style="556" customWidth="1"/>
    <col min="5392" max="5633" width="9.140625" style="556"/>
    <col min="5634" max="5634" width="15.7109375" style="556" customWidth="1"/>
    <col min="5635" max="5636" width="10.7109375" style="556" customWidth="1"/>
    <col min="5637" max="5637" width="2.7109375" style="556" customWidth="1"/>
    <col min="5638" max="5639" width="10.7109375" style="556" customWidth="1"/>
    <col min="5640" max="5641" width="9.140625" style="556"/>
    <col min="5642" max="5643" width="10.7109375" style="556" customWidth="1"/>
    <col min="5644" max="5645" width="9.140625" style="556"/>
    <col min="5646" max="5647" width="10.7109375" style="556" customWidth="1"/>
    <col min="5648" max="5889" width="9.140625" style="556"/>
    <col min="5890" max="5890" width="15.7109375" style="556" customWidth="1"/>
    <col min="5891" max="5892" width="10.7109375" style="556" customWidth="1"/>
    <col min="5893" max="5893" width="2.7109375" style="556" customWidth="1"/>
    <col min="5894" max="5895" width="10.7109375" style="556" customWidth="1"/>
    <col min="5896" max="5897" width="9.140625" style="556"/>
    <col min="5898" max="5899" width="10.7109375" style="556" customWidth="1"/>
    <col min="5900" max="5901" width="9.140625" style="556"/>
    <col min="5902" max="5903" width="10.7109375" style="556" customWidth="1"/>
    <col min="5904" max="6145" width="9.140625" style="556"/>
    <col min="6146" max="6146" width="15.7109375" style="556" customWidth="1"/>
    <col min="6147" max="6148" width="10.7109375" style="556" customWidth="1"/>
    <col min="6149" max="6149" width="2.7109375" style="556" customWidth="1"/>
    <col min="6150" max="6151" width="10.7109375" style="556" customWidth="1"/>
    <col min="6152" max="6153" width="9.140625" style="556"/>
    <col min="6154" max="6155" width="10.7109375" style="556" customWidth="1"/>
    <col min="6156" max="6157" width="9.140625" style="556"/>
    <col min="6158" max="6159" width="10.7109375" style="556" customWidth="1"/>
    <col min="6160" max="6401" width="9.140625" style="556"/>
    <col min="6402" max="6402" width="15.7109375" style="556" customWidth="1"/>
    <col min="6403" max="6404" width="10.7109375" style="556" customWidth="1"/>
    <col min="6405" max="6405" width="2.7109375" style="556" customWidth="1"/>
    <col min="6406" max="6407" width="10.7109375" style="556" customWidth="1"/>
    <col min="6408" max="6409" width="9.140625" style="556"/>
    <col min="6410" max="6411" width="10.7109375" style="556" customWidth="1"/>
    <col min="6412" max="6413" width="9.140625" style="556"/>
    <col min="6414" max="6415" width="10.7109375" style="556" customWidth="1"/>
    <col min="6416" max="6657" width="9.140625" style="556"/>
    <col min="6658" max="6658" width="15.7109375" style="556" customWidth="1"/>
    <col min="6659" max="6660" width="10.7109375" style="556" customWidth="1"/>
    <col min="6661" max="6661" width="2.7109375" style="556" customWidth="1"/>
    <col min="6662" max="6663" width="10.7109375" style="556" customWidth="1"/>
    <col min="6664" max="6665" width="9.140625" style="556"/>
    <col min="6666" max="6667" width="10.7109375" style="556" customWidth="1"/>
    <col min="6668" max="6669" width="9.140625" style="556"/>
    <col min="6670" max="6671" width="10.7109375" style="556" customWidth="1"/>
    <col min="6672" max="6913" width="9.140625" style="556"/>
    <col min="6914" max="6914" width="15.7109375" style="556" customWidth="1"/>
    <col min="6915" max="6916" width="10.7109375" style="556" customWidth="1"/>
    <col min="6917" max="6917" width="2.7109375" style="556" customWidth="1"/>
    <col min="6918" max="6919" width="10.7109375" style="556" customWidth="1"/>
    <col min="6920" max="6921" width="9.140625" style="556"/>
    <col min="6922" max="6923" width="10.7109375" style="556" customWidth="1"/>
    <col min="6924" max="6925" width="9.140625" style="556"/>
    <col min="6926" max="6927" width="10.7109375" style="556" customWidth="1"/>
    <col min="6928" max="7169" width="9.140625" style="556"/>
    <col min="7170" max="7170" width="15.7109375" style="556" customWidth="1"/>
    <col min="7171" max="7172" width="10.7109375" style="556" customWidth="1"/>
    <col min="7173" max="7173" width="2.7109375" style="556" customWidth="1"/>
    <col min="7174" max="7175" width="10.7109375" style="556" customWidth="1"/>
    <col min="7176" max="7177" width="9.140625" style="556"/>
    <col min="7178" max="7179" width="10.7109375" style="556" customWidth="1"/>
    <col min="7180" max="7181" width="9.140625" style="556"/>
    <col min="7182" max="7183" width="10.7109375" style="556" customWidth="1"/>
    <col min="7184" max="7425" width="9.140625" style="556"/>
    <col min="7426" max="7426" width="15.7109375" style="556" customWidth="1"/>
    <col min="7427" max="7428" width="10.7109375" style="556" customWidth="1"/>
    <col min="7429" max="7429" width="2.7109375" style="556" customWidth="1"/>
    <col min="7430" max="7431" width="10.7109375" style="556" customWidth="1"/>
    <col min="7432" max="7433" width="9.140625" style="556"/>
    <col min="7434" max="7435" width="10.7109375" style="556" customWidth="1"/>
    <col min="7436" max="7437" width="9.140625" style="556"/>
    <col min="7438" max="7439" width="10.7109375" style="556" customWidth="1"/>
    <col min="7440" max="7681" width="9.140625" style="556"/>
    <col min="7682" max="7682" width="15.7109375" style="556" customWidth="1"/>
    <col min="7683" max="7684" width="10.7109375" style="556" customWidth="1"/>
    <col min="7685" max="7685" width="2.7109375" style="556" customWidth="1"/>
    <col min="7686" max="7687" width="10.7109375" style="556" customWidth="1"/>
    <col min="7688" max="7689" width="9.140625" style="556"/>
    <col min="7690" max="7691" width="10.7109375" style="556" customWidth="1"/>
    <col min="7692" max="7693" width="9.140625" style="556"/>
    <col min="7694" max="7695" width="10.7109375" style="556" customWidth="1"/>
    <col min="7696" max="7937" width="9.140625" style="556"/>
    <col min="7938" max="7938" width="15.7109375" style="556" customWidth="1"/>
    <col min="7939" max="7940" width="10.7109375" style="556" customWidth="1"/>
    <col min="7941" max="7941" width="2.7109375" style="556" customWidth="1"/>
    <col min="7942" max="7943" width="10.7109375" style="556" customWidth="1"/>
    <col min="7944" max="7945" width="9.140625" style="556"/>
    <col min="7946" max="7947" width="10.7109375" style="556" customWidth="1"/>
    <col min="7948" max="7949" width="9.140625" style="556"/>
    <col min="7950" max="7951" width="10.7109375" style="556" customWidth="1"/>
    <col min="7952" max="8193" width="9.140625" style="556"/>
    <col min="8194" max="8194" width="15.7109375" style="556" customWidth="1"/>
    <col min="8195" max="8196" width="10.7109375" style="556" customWidth="1"/>
    <col min="8197" max="8197" width="2.7109375" style="556" customWidth="1"/>
    <col min="8198" max="8199" width="10.7109375" style="556" customWidth="1"/>
    <col min="8200" max="8201" width="9.140625" style="556"/>
    <col min="8202" max="8203" width="10.7109375" style="556" customWidth="1"/>
    <col min="8204" max="8205" width="9.140625" style="556"/>
    <col min="8206" max="8207" width="10.7109375" style="556" customWidth="1"/>
    <col min="8208" max="8449" width="9.140625" style="556"/>
    <col min="8450" max="8450" width="15.7109375" style="556" customWidth="1"/>
    <col min="8451" max="8452" width="10.7109375" style="556" customWidth="1"/>
    <col min="8453" max="8453" width="2.7109375" style="556" customWidth="1"/>
    <col min="8454" max="8455" width="10.7109375" style="556" customWidth="1"/>
    <col min="8456" max="8457" width="9.140625" style="556"/>
    <col min="8458" max="8459" width="10.7109375" style="556" customWidth="1"/>
    <col min="8460" max="8461" width="9.140625" style="556"/>
    <col min="8462" max="8463" width="10.7109375" style="556" customWidth="1"/>
    <col min="8464" max="8705" width="9.140625" style="556"/>
    <col min="8706" max="8706" width="15.7109375" style="556" customWidth="1"/>
    <col min="8707" max="8708" width="10.7109375" style="556" customWidth="1"/>
    <col min="8709" max="8709" width="2.7109375" style="556" customWidth="1"/>
    <col min="8710" max="8711" width="10.7109375" style="556" customWidth="1"/>
    <col min="8712" max="8713" width="9.140625" style="556"/>
    <col min="8714" max="8715" width="10.7109375" style="556" customWidth="1"/>
    <col min="8716" max="8717" width="9.140625" style="556"/>
    <col min="8718" max="8719" width="10.7109375" style="556" customWidth="1"/>
    <col min="8720" max="8961" width="9.140625" style="556"/>
    <col min="8962" max="8962" width="15.7109375" style="556" customWidth="1"/>
    <col min="8963" max="8964" width="10.7109375" style="556" customWidth="1"/>
    <col min="8965" max="8965" width="2.7109375" style="556" customWidth="1"/>
    <col min="8966" max="8967" width="10.7109375" style="556" customWidth="1"/>
    <col min="8968" max="8969" width="9.140625" style="556"/>
    <col min="8970" max="8971" width="10.7109375" style="556" customWidth="1"/>
    <col min="8972" max="8973" width="9.140625" style="556"/>
    <col min="8974" max="8975" width="10.7109375" style="556" customWidth="1"/>
    <col min="8976" max="9217" width="9.140625" style="556"/>
    <col min="9218" max="9218" width="15.7109375" style="556" customWidth="1"/>
    <col min="9219" max="9220" width="10.7109375" style="556" customWidth="1"/>
    <col min="9221" max="9221" width="2.7109375" style="556" customWidth="1"/>
    <col min="9222" max="9223" width="10.7109375" style="556" customWidth="1"/>
    <col min="9224" max="9225" width="9.140625" style="556"/>
    <col min="9226" max="9227" width="10.7109375" style="556" customWidth="1"/>
    <col min="9228" max="9229" width="9.140625" style="556"/>
    <col min="9230" max="9231" width="10.7109375" style="556" customWidth="1"/>
    <col min="9232" max="9473" width="9.140625" style="556"/>
    <col min="9474" max="9474" width="15.7109375" style="556" customWidth="1"/>
    <col min="9475" max="9476" width="10.7109375" style="556" customWidth="1"/>
    <col min="9477" max="9477" width="2.7109375" style="556" customWidth="1"/>
    <col min="9478" max="9479" width="10.7109375" style="556" customWidth="1"/>
    <col min="9480" max="9481" width="9.140625" style="556"/>
    <col min="9482" max="9483" width="10.7109375" style="556" customWidth="1"/>
    <col min="9484" max="9485" width="9.140625" style="556"/>
    <col min="9486" max="9487" width="10.7109375" style="556" customWidth="1"/>
    <col min="9488" max="9729" width="9.140625" style="556"/>
    <col min="9730" max="9730" width="15.7109375" style="556" customWidth="1"/>
    <col min="9731" max="9732" width="10.7109375" style="556" customWidth="1"/>
    <col min="9733" max="9733" width="2.7109375" style="556" customWidth="1"/>
    <col min="9734" max="9735" width="10.7109375" style="556" customWidth="1"/>
    <col min="9736" max="9737" width="9.140625" style="556"/>
    <col min="9738" max="9739" width="10.7109375" style="556" customWidth="1"/>
    <col min="9740" max="9741" width="9.140625" style="556"/>
    <col min="9742" max="9743" width="10.7109375" style="556" customWidth="1"/>
    <col min="9744" max="9985" width="9.140625" style="556"/>
    <col min="9986" max="9986" width="15.7109375" style="556" customWidth="1"/>
    <col min="9987" max="9988" width="10.7109375" style="556" customWidth="1"/>
    <col min="9989" max="9989" width="2.7109375" style="556" customWidth="1"/>
    <col min="9990" max="9991" width="10.7109375" style="556" customWidth="1"/>
    <col min="9992" max="9993" width="9.140625" style="556"/>
    <col min="9994" max="9995" width="10.7109375" style="556" customWidth="1"/>
    <col min="9996" max="9997" width="9.140625" style="556"/>
    <col min="9998" max="9999" width="10.7109375" style="556" customWidth="1"/>
    <col min="10000" max="10241" width="9.140625" style="556"/>
    <col min="10242" max="10242" width="15.7109375" style="556" customWidth="1"/>
    <col min="10243" max="10244" width="10.7109375" style="556" customWidth="1"/>
    <col min="10245" max="10245" width="2.7109375" style="556" customWidth="1"/>
    <col min="10246" max="10247" width="10.7109375" style="556" customWidth="1"/>
    <col min="10248" max="10249" width="9.140625" style="556"/>
    <col min="10250" max="10251" width="10.7109375" style="556" customWidth="1"/>
    <col min="10252" max="10253" width="9.140625" style="556"/>
    <col min="10254" max="10255" width="10.7109375" style="556" customWidth="1"/>
    <col min="10256" max="10497" width="9.140625" style="556"/>
    <col min="10498" max="10498" width="15.7109375" style="556" customWidth="1"/>
    <col min="10499" max="10500" width="10.7109375" style="556" customWidth="1"/>
    <col min="10501" max="10501" width="2.7109375" style="556" customWidth="1"/>
    <col min="10502" max="10503" width="10.7109375" style="556" customWidth="1"/>
    <col min="10504" max="10505" width="9.140625" style="556"/>
    <col min="10506" max="10507" width="10.7109375" style="556" customWidth="1"/>
    <col min="10508" max="10509" width="9.140625" style="556"/>
    <col min="10510" max="10511" width="10.7109375" style="556" customWidth="1"/>
    <col min="10512" max="10753" width="9.140625" style="556"/>
    <col min="10754" max="10754" width="15.7109375" style="556" customWidth="1"/>
    <col min="10755" max="10756" width="10.7109375" style="556" customWidth="1"/>
    <col min="10757" max="10757" width="2.7109375" style="556" customWidth="1"/>
    <col min="10758" max="10759" width="10.7109375" style="556" customWidth="1"/>
    <col min="10760" max="10761" width="9.140625" style="556"/>
    <col min="10762" max="10763" width="10.7109375" style="556" customWidth="1"/>
    <col min="10764" max="10765" width="9.140625" style="556"/>
    <col min="10766" max="10767" width="10.7109375" style="556" customWidth="1"/>
    <col min="10768" max="11009" width="9.140625" style="556"/>
    <col min="11010" max="11010" width="15.7109375" style="556" customWidth="1"/>
    <col min="11011" max="11012" width="10.7109375" style="556" customWidth="1"/>
    <col min="11013" max="11013" width="2.7109375" style="556" customWidth="1"/>
    <col min="11014" max="11015" width="10.7109375" style="556" customWidth="1"/>
    <col min="11016" max="11017" width="9.140625" style="556"/>
    <col min="11018" max="11019" width="10.7109375" style="556" customWidth="1"/>
    <col min="11020" max="11021" width="9.140625" style="556"/>
    <col min="11022" max="11023" width="10.7109375" style="556" customWidth="1"/>
    <col min="11024" max="11265" width="9.140625" style="556"/>
    <col min="11266" max="11266" width="15.7109375" style="556" customWidth="1"/>
    <col min="11267" max="11268" width="10.7109375" style="556" customWidth="1"/>
    <col min="11269" max="11269" width="2.7109375" style="556" customWidth="1"/>
    <col min="11270" max="11271" width="10.7109375" style="556" customWidth="1"/>
    <col min="11272" max="11273" width="9.140625" style="556"/>
    <col min="11274" max="11275" width="10.7109375" style="556" customWidth="1"/>
    <col min="11276" max="11277" width="9.140625" style="556"/>
    <col min="11278" max="11279" width="10.7109375" style="556" customWidth="1"/>
    <col min="11280" max="11521" width="9.140625" style="556"/>
    <col min="11522" max="11522" width="15.7109375" style="556" customWidth="1"/>
    <col min="11523" max="11524" width="10.7109375" style="556" customWidth="1"/>
    <col min="11525" max="11525" width="2.7109375" style="556" customWidth="1"/>
    <col min="11526" max="11527" width="10.7109375" style="556" customWidth="1"/>
    <col min="11528" max="11529" width="9.140625" style="556"/>
    <col min="11530" max="11531" width="10.7109375" style="556" customWidth="1"/>
    <col min="11532" max="11533" width="9.140625" style="556"/>
    <col min="11534" max="11535" width="10.7109375" style="556" customWidth="1"/>
    <col min="11536" max="11777" width="9.140625" style="556"/>
    <col min="11778" max="11778" width="15.7109375" style="556" customWidth="1"/>
    <col min="11779" max="11780" width="10.7109375" style="556" customWidth="1"/>
    <col min="11781" max="11781" width="2.7109375" style="556" customWidth="1"/>
    <col min="11782" max="11783" width="10.7109375" style="556" customWidth="1"/>
    <col min="11784" max="11785" width="9.140625" style="556"/>
    <col min="11786" max="11787" width="10.7109375" style="556" customWidth="1"/>
    <col min="11788" max="11789" width="9.140625" style="556"/>
    <col min="11790" max="11791" width="10.7109375" style="556" customWidth="1"/>
    <col min="11792" max="12033" width="9.140625" style="556"/>
    <col min="12034" max="12034" width="15.7109375" style="556" customWidth="1"/>
    <col min="12035" max="12036" width="10.7109375" style="556" customWidth="1"/>
    <col min="12037" max="12037" width="2.7109375" style="556" customWidth="1"/>
    <col min="12038" max="12039" width="10.7109375" style="556" customWidth="1"/>
    <col min="12040" max="12041" width="9.140625" style="556"/>
    <col min="12042" max="12043" width="10.7109375" style="556" customWidth="1"/>
    <col min="12044" max="12045" width="9.140625" style="556"/>
    <col min="12046" max="12047" width="10.7109375" style="556" customWidth="1"/>
    <col min="12048" max="12289" width="9.140625" style="556"/>
    <col min="12290" max="12290" width="15.7109375" style="556" customWidth="1"/>
    <col min="12291" max="12292" width="10.7109375" style="556" customWidth="1"/>
    <col min="12293" max="12293" width="2.7109375" style="556" customWidth="1"/>
    <col min="12294" max="12295" width="10.7109375" style="556" customWidth="1"/>
    <col min="12296" max="12297" width="9.140625" style="556"/>
    <col min="12298" max="12299" width="10.7109375" style="556" customWidth="1"/>
    <col min="12300" max="12301" width="9.140625" style="556"/>
    <col min="12302" max="12303" width="10.7109375" style="556" customWidth="1"/>
    <col min="12304" max="12545" width="9.140625" style="556"/>
    <col min="12546" max="12546" width="15.7109375" style="556" customWidth="1"/>
    <col min="12547" max="12548" width="10.7109375" style="556" customWidth="1"/>
    <col min="12549" max="12549" width="2.7109375" style="556" customWidth="1"/>
    <col min="12550" max="12551" width="10.7109375" style="556" customWidth="1"/>
    <col min="12552" max="12553" width="9.140625" style="556"/>
    <col min="12554" max="12555" width="10.7109375" style="556" customWidth="1"/>
    <col min="12556" max="12557" width="9.140625" style="556"/>
    <col min="12558" max="12559" width="10.7109375" style="556" customWidth="1"/>
    <col min="12560" max="12801" width="9.140625" style="556"/>
    <col min="12802" max="12802" width="15.7109375" style="556" customWidth="1"/>
    <col min="12803" max="12804" width="10.7109375" style="556" customWidth="1"/>
    <col min="12805" max="12805" width="2.7109375" style="556" customWidth="1"/>
    <col min="12806" max="12807" width="10.7109375" style="556" customWidth="1"/>
    <col min="12808" max="12809" width="9.140625" style="556"/>
    <col min="12810" max="12811" width="10.7109375" style="556" customWidth="1"/>
    <col min="12812" max="12813" width="9.140625" style="556"/>
    <col min="12814" max="12815" width="10.7109375" style="556" customWidth="1"/>
    <col min="12816" max="13057" width="9.140625" style="556"/>
    <col min="13058" max="13058" width="15.7109375" style="556" customWidth="1"/>
    <col min="13059" max="13060" width="10.7109375" style="556" customWidth="1"/>
    <col min="13061" max="13061" width="2.7109375" style="556" customWidth="1"/>
    <col min="13062" max="13063" width="10.7109375" style="556" customWidth="1"/>
    <col min="13064" max="13065" width="9.140625" style="556"/>
    <col min="13066" max="13067" width="10.7109375" style="556" customWidth="1"/>
    <col min="13068" max="13069" width="9.140625" style="556"/>
    <col min="13070" max="13071" width="10.7109375" style="556" customWidth="1"/>
    <col min="13072" max="13313" width="9.140625" style="556"/>
    <col min="13314" max="13314" width="15.7109375" style="556" customWidth="1"/>
    <col min="13315" max="13316" width="10.7109375" style="556" customWidth="1"/>
    <col min="13317" max="13317" width="2.7109375" style="556" customWidth="1"/>
    <col min="13318" max="13319" width="10.7109375" style="556" customWidth="1"/>
    <col min="13320" max="13321" width="9.140625" style="556"/>
    <col min="13322" max="13323" width="10.7109375" style="556" customWidth="1"/>
    <col min="13324" max="13325" width="9.140625" style="556"/>
    <col min="13326" max="13327" width="10.7109375" style="556" customWidth="1"/>
    <col min="13328" max="13569" width="9.140625" style="556"/>
    <col min="13570" max="13570" width="15.7109375" style="556" customWidth="1"/>
    <col min="13571" max="13572" width="10.7109375" style="556" customWidth="1"/>
    <col min="13573" max="13573" width="2.7109375" style="556" customWidth="1"/>
    <col min="13574" max="13575" width="10.7109375" style="556" customWidth="1"/>
    <col min="13576" max="13577" width="9.140625" style="556"/>
    <col min="13578" max="13579" width="10.7109375" style="556" customWidth="1"/>
    <col min="13580" max="13581" width="9.140625" style="556"/>
    <col min="13582" max="13583" width="10.7109375" style="556" customWidth="1"/>
    <col min="13584" max="13825" width="9.140625" style="556"/>
    <col min="13826" max="13826" width="15.7109375" style="556" customWidth="1"/>
    <col min="13827" max="13828" width="10.7109375" style="556" customWidth="1"/>
    <col min="13829" max="13829" width="2.7109375" style="556" customWidth="1"/>
    <col min="13830" max="13831" width="10.7109375" style="556" customWidth="1"/>
    <col min="13832" max="13833" width="9.140625" style="556"/>
    <col min="13834" max="13835" width="10.7109375" style="556" customWidth="1"/>
    <col min="13836" max="13837" width="9.140625" style="556"/>
    <col min="13838" max="13839" width="10.7109375" style="556" customWidth="1"/>
    <col min="13840" max="14081" width="9.140625" style="556"/>
    <col min="14082" max="14082" width="15.7109375" style="556" customWidth="1"/>
    <col min="14083" max="14084" width="10.7109375" style="556" customWidth="1"/>
    <col min="14085" max="14085" width="2.7109375" style="556" customWidth="1"/>
    <col min="14086" max="14087" width="10.7109375" style="556" customWidth="1"/>
    <col min="14088" max="14089" width="9.140625" style="556"/>
    <col min="14090" max="14091" width="10.7109375" style="556" customWidth="1"/>
    <col min="14092" max="14093" width="9.140625" style="556"/>
    <col min="14094" max="14095" width="10.7109375" style="556" customWidth="1"/>
    <col min="14096" max="14337" width="9.140625" style="556"/>
    <col min="14338" max="14338" width="15.7109375" style="556" customWidth="1"/>
    <col min="14339" max="14340" width="10.7109375" style="556" customWidth="1"/>
    <col min="14341" max="14341" width="2.7109375" style="556" customWidth="1"/>
    <col min="14342" max="14343" width="10.7109375" style="556" customWidth="1"/>
    <col min="14344" max="14345" width="9.140625" style="556"/>
    <col min="14346" max="14347" width="10.7109375" style="556" customWidth="1"/>
    <col min="14348" max="14349" width="9.140625" style="556"/>
    <col min="14350" max="14351" width="10.7109375" style="556" customWidth="1"/>
    <col min="14352" max="14593" width="9.140625" style="556"/>
    <col min="14594" max="14594" width="15.7109375" style="556" customWidth="1"/>
    <col min="14595" max="14596" width="10.7109375" style="556" customWidth="1"/>
    <col min="14597" max="14597" width="2.7109375" style="556" customWidth="1"/>
    <col min="14598" max="14599" width="10.7109375" style="556" customWidth="1"/>
    <col min="14600" max="14601" width="9.140625" style="556"/>
    <col min="14602" max="14603" width="10.7109375" style="556" customWidth="1"/>
    <col min="14604" max="14605" width="9.140625" style="556"/>
    <col min="14606" max="14607" width="10.7109375" style="556" customWidth="1"/>
    <col min="14608" max="14849" width="9.140625" style="556"/>
    <col min="14850" max="14850" width="15.7109375" style="556" customWidth="1"/>
    <col min="14851" max="14852" width="10.7109375" style="556" customWidth="1"/>
    <col min="14853" max="14853" width="2.7109375" style="556" customWidth="1"/>
    <col min="14854" max="14855" width="10.7109375" style="556" customWidth="1"/>
    <col min="14856" max="14857" width="9.140625" style="556"/>
    <col min="14858" max="14859" width="10.7109375" style="556" customWidth="1"/>
    <col min="14860" max="14861" width="9.140625" style="556"/>
    <col min="14862" max="14863" width="10.7109375" style="556" customWidth="1"/>
    <col min="14864" max="15105" width="9.140625" style="556"/>
    <col min="15106" max="15106" width="15.7109375" style="556" customWidth="1"/>
    <col min="15107" max="15108" width="10.7109375" style="556" customWidth="1"/>
    <col min="15109" max="15109" width="2.7109375" style="556" customWidth="1"/>
    <col min="15110" max="15111" width="10.7109375" style="556" customWidth="1"/>
    <col min="15112" max="15113" width="9.140625" style="556"/>
    <col min="15114" max="15115" width="10.7109375" style="556" customWidth="1"/>
    <col min="15116" max="15117" width="9.140625" style="556"/>
    <col min="15118" max="15119" width="10.7109375" style="556" customWidth="1"/>
    <col min="15120" max="15361" width="9.140625" style="556"/>
    <col min="15362" max="15362" width="15.7109375" style="556" customWidth="1"/>
    <col min="15363" max="15364" width="10.7109375" style="556" customWidth="1"/>
    <col min="15365" max="15365" width="2.7109375" style="556" customWidth="1"/>
    <col min="15366" max="15367" width="10.7109375" style="556" customWidth="1"/>
    <col min="15368" max="15369" width="9.140625" style="556"/>
    <col min="15370" max="15371" width="10.7109375" style="556" customWidth="1"/>
    <col min="15372" max="15373" width="9.140625" style="556"/>
    <col min="15374" max="15375" width="10.7109375" style="556" customWidth="1"/>
    <col min="15376" max="15617" width="9.140625" style="556"/>
    <col min="15618" max="15618" width="15.7109375" style="556" customWidth="1"/>
    <col min="15619" max="15620" width="10.7109375" style="556" customWidth="1"/>
    <col min="15621" max="15621" width="2.7109375" style="556" customWidth="1"/>
    <col min="15622" max="15623" width="10.7109375" style="556" customWidth="1"/>
    <col min="15624" max="15625" width="9.140625" style="556"/>
    <col min="15626" max="15627" width="10.7109375" style="556" customWidth="1"/>
    <col min="15628" max="15629" width="9.140625" style="556"/>
    <col min="15630" max="15631" width="10.7109375" style="556" customWidth="1"/>
    <col min="15632" max="15873" width="9.140625" style="556"/>
    <col min="15874" max="15874" width="15.7109375" style="556" customWidth="1"/>
    <col min="15875" max="15876" width="10.7109375" style="556" customWidth="1"/>
    <col min="15877" max="15877" width="2.7109375" style="556" customWidth="1"/>
    <col min="15878" max="15879" width="10.7109375" style="556" customWidth="1"/>
    <col min="15880" max="15881" width="9.140625" style="556"/>
    <col min="15882" max="15883" width="10.7109375" style="556" customWidth="1"/>
    <col min="15884" max="15885" width="9.140625" style="556"/>
    <col min="15886" max="15887" width="10.7109375" style="556" customWidth="1"/>
    <col min="15888" max="16129" width="9.140625" style="556"/>
    <col min="16130" max="16130" width="15.7109375" style="556" customWidth="1"/>
    <col min="16131" max="16132" width="10.7109375" style="556" customWidth="1"/>
    <col min="16133" max="16133" width="2.7109375" style="556" customWidth="1"/>
    <col min="16134" max="16135" width="10.7109375" style="556" customWidth="1"/>
    <col min="16136" max="16137" width="9.140625" style="556"/>
    <col min="16138" max="16139" width="10.7109375" style="556" customWidth="1"/>
    <col min="16140" max="16141" width="9.140625" style="556"/>
    <col min="16142" max="16143" width="10.7109375" style="556" customWidth="1"/>
    <col min="16144" max="16384" width="9.140625" style="556"/>
  </cols>
  <sheetData>
    <row r="3" spans="2:19" ht="20.25" x14ac:dyDescent="0.3">
      <c r="B3" s="555" t="s">
        <v>842</v>
      </c>
    </row>
    <row r="4" spans="2:19" ht="20.25" x14ac:dyDescent="0.3">
      <c r="C4" s="555" t="s">
        <v>0</v>
      </c>
    </row>
    <row r="5" spans="2:19" ht="13.5" thickBot="1" x14ac:dyDescent="0.25"/>
    <row r="6" spans="2:19" ht="15.75" x14ac:dyDescent="0.25">
      <c r="B6" s="987" t="s">
        <v>830</v>
      </c>
      <c r="C6" s="558" t="s">
        <v>1</v>
      </c>
      <c r="D6" s="558" t="s">
        <v>15</v>
      </c>
      <c r="E6" s="559"/>
      <c r="F6" s="560" t="s">
        <v>473</v>
      </c>
      <c r="G6" s="561" t="s">
        <v>15</v>
      </c>
      <c r="J6" s="562" t="s">
        <v>814</v>
      </c>
      <c r="K6" s="563"/>
      <c r="N6" s="979" t="s">
        <v>831</v>
      </c>
      <c r="O6" s="988"/>
      <c r="R6" s="564" t="s">
        <v>1</v>
      </c>
      <c r="S6" s="931" t="s">
        <v>15</v>
      </c>
    </row>
    <row r="7" spans="2:19" ht="15.75" x14ac:dyDescent="0.25">
      <c r="B7" s="989" t="s">
        <v>800</v>
      </c>
      <c r="C7" s="568" t="s">
        <v>328</v>
      </c>
      <c r="D7" s="568" t="s">
        <v>328</v>
      </c>
      <c r="E7" s="569"/>
      <c r="F7" s="570" t="s">
        <v>3</v>
      </c>
      <c r="G7" s="571" t="s">
        <v>3</v>
      </c>
      <c r="J7" s="635" t="s">
        <v>476</v>
      </c>
      <c r="K7" s="637" t="s">
        <v>477</v>
      </c>
      <c r="N7" s="635" t="s">
        <v>476</v>
      </c>
      <c r="O7" s="637" t="s">
        <v>477</v>
      </c>
      <c r="R7" s="574" t="s">
        <v>3</v>
      </c>
      <c r="S7" s="941" t="s">
        <v>3</v>
      </c>
    </row>
    <row r="8" spans="2:19" x14ac:dyDescent="0.2">
      <c r="B8" s="990" t="s">
        <v>387</v>
      </c>
      <c r="C8" s="578" t="s">
        <v>0</v>
      </c>
      <c r="D8" s="578" t="s">
        <v>0</v>
      </c>
      <c r="E8" s="579"/>
      <c r="F8" s="580" t="s">
        <v>0</v>
      </c>
      <c r="G8" s="581" t="s">
        <v>0</v>
      </c>
      <c r="J8" s="582" t="s">
        <v>483</v>
      </c>
      <c r="K8" s="583" t="s">
        <v>484</v>
      </c>
      <c r="N8" s="582" t="s">
        <v>483</v>
      </c>
      <c r="O8" s="583" t="s">
        <v>484</v>
      </c>
      <c r="R8" s="574" t="s">
        <v>223</v>
      </c>
      <c r="S8" s="941" t="s">
        <v>223</v>
      </c>
    </row>
    <row r="9" spans="2:19" x14ac:dyDescent="0.2">
      <c r="B9" s="567"/>
      <c r="C9" s="569"/>
      <c r="D9" s="569"/>
      <c r="E9" s="569"/>
      <c r="F9" s="586"/>
      <c r="G9" s="587"/>
      <c r="J9" s="572"/>
      <c r="K9" s="573"/>
      <c r="N9" s="572"/>
      <c r="O9" s="810"/>
      <c r="R9" s="593"/>
      <c r="S9" s="638"/>
    </row>
    <row r="10" spans="2:19" x14ac:dyDescent="0.2">
      <c r="B10" s="567"/>
      <c r="C10" s="569"/>
      <c r="D10" s="569"/>
      <c r="E10" s="569"/>
      <c r="F10" s="586"/>
      <c r="G10" s="587"/>
      <c r="J10" s="572"/>
      <c r="K10" s="573"/>
      <c r="N10" s="572"/>
      <c r="O10" s="573"/>
      <c r="R10" s="593"/>
      <c r="S10" s="638"/>
    </row>
    <row r="11" spans="2:19" x14ac:dyDescent="0.2">
      <c r="B11" s="567" t="s">
        <v>485</v>
      </c>
      <c r="C11" s="588">
        <v>0.4</v>
      </c>
      <c r="D11" s="588">
        <v>0.4</v>
      </c>
      <c r="E11" s="569"/>
      <c r="F11" s="589">
        <v>20</v>
      </c>
      <c r="G11" s="590">
        <v>10</v>
      </c>
      <c r="J11" s="591">
        <f>+(C11-D11)*(G11-G$18)/100</f>
        <v>0</v>
      </c>
      <c r="K11" s="592">
        <f>+C11*(F11-G11)/100</f>
        <v>0.04</v>
      </c>
      <c r="N11" s="591">
        <f>+J11*(1+G$50/100)*(1+G$82/100)*(1+G$114/100)</f>
        <v>0</v>
      </c>
      <c r="O11" s="592">
        <f>+K11*(1+G$50/100)*(1+G$82/100)*(1+G$114/100)</f>
        <v>3.4057800000000006E-2</v>
      </c>
      <c r="R11" s="593">
        <f>+C11*F11</f>
        <v>8</v>
      </c>
      <c r="S11" s="638">
        <f>+D11*G11</f>
        <v>4</v>
      </c>
    </row>
    <row r="12" spans="2:19" x14ac:dyDescent="0.2">
      <c r="B12" s="567"/>
      <c r="C12" s="588"/>
      <c r="D12" s="588"/>
      <c r="E12" s="569"/>
      <c r="F12" s="589"/>
      <c r="G12" s="590"/>
      <c r="J12" s="572"/>
      <c r="K12" s="573"/>
      <c r="N12" s="591"/>
      <c r="O12" s="592"/>
      <c r="R12" s="593"/>
      <c r="S12" s="638" t="s">
        <v>0</v>
      </c>
    </row>
    <row r="13" spans="2:19" x14ac:dyDescent="0.2">
      <c r="B13" s="567" t="s">
        <v>486</v>
      </c>
      <c r="C13" s="588">
        <v>0.3</v>
      </c>
      <c r="D13" s="588">
        <v>0.2</v>
      </c>
      <c r="E13" s="569"/>
      <c r="F13" s="589">
        <v>-5</v>
      </c>
      <c r="G13" s="590">
        <v>-4</v>
      </c>
      <c r="J13" s="591">
        <f>+(C13-D13)*(G13-G$18)/100</f>
        <v>-1.0399999999999998E-2</v>
      </c>
      <c r="K13" s="592">
        <f>+C13*(F13-G13)/100</f>
        <v>-3.0000000000000001E-3</v>
      </c>
      <c r="N13" s="591">
        <f>+J13*(1+G$50/100)*(1+G$82/100)*(1+G$114/100)</f>
        <v>-8.8550279999999974E-3</v>
      </c>
      <c r="O13" s="592">
        <f>+K13*(1+G$50/100)*(1+G$82/100)*(1+G$114/100)</f>
        <v>-2.554335E-3</v>
      </c>
      <c r="R13" s="593">
        <f>+C13*F13</f>
        <v>-1.5</v>
      </c>
      <c r="S13" s="638">
        <f>+D13*G13</f>
        <v>-0.8</v>
      </c>
    </row>
    <row r="14" spans="2:19" x14ac:dyDescent="0.2">
      <c r="B14" s="567"/>
      <c r="C14" s="588"/>
      <c r="D14" s="588"/>
      <c r="E14" s="569"/>
      <c r="F14" s="589"/>
      <c r="G14" s="590"/>
      <c r="J14" s="572"/>
      <c r="K14" s="573"/>
      <c r="N14" s="591"/>
      <c r="O14" s="592"/>
      <c r="R14" s="593"/>
      <c r="S14" s="638"/>
    </row>
    <row r="15" spans="2:19" x14ac:dyDescent="0.2">
      <c r="B15" s="567" t="s">
        <v>487</v>
      </c>
      <c r="C15" s="588">
        <v>0.3</v>
      </c>
      <c r="D15" s="588">
        <v>0.4</v>
      </c>
      <c r="E15" s="569"/>
      <c r="F15" s="589">
        <v>6</v>
      </c>
      <c r="G15" s="590">
        <v>8</v>
      </c>
      <c r="J15" s="591">
        <f>+(C15-D15)*(G15-G$18)/100</f>
        <v>-1.6000000000000003E-3</v>
      </c>
      <c r="K15" s="592">
        <f>+C15*(F15-G15)/100</f>
        <v>-6.0000000000000001E-3</v>
      </c>
      <c r="N15" s="591">
        <f>+J15*(1+G$50/100)*(1+G$82/100)*(1+G$114/100)</f>
        <v>-1.3623120000000003E-3</v>
      </c>
      <c r="O15" s="592">
        <f>+K15*(1+G$50/100)*(1+G$82/100)*(1+G$114/100)</f>
        <v>-5.1086700000000001E-3</v>
      </c>
      <c r="R15" s="593">
        <f>+C15*F15</f>
        <v>1.7999999999999998</v>
      </c>
      <c r="S15" s="638">
        <f>+D15*G15</f>
        <v>3.2</v>
      </c>
    </row>
    <row r="16" spans="2:19" x14ac:dyDescent="0.2">
      <c r="B16" s="567"/>
      <c r="C16" s="588"/>
      <c r="D16" s="588"/>
      <c r="E16" s="569"/>
      <c r="F16" s="586"/>
      <c r="G16" s="587"/>
      <c r="J16" s="572"/>
      <c r="K16" s="573"/>
      <c r="N16" s="572"/>
      <c r="O16" s="573"/>
      <c r="R16" s="593"/>
      <c r="S16" s="638"/>
    </row>
    <row r="17" spans="2:19" x14ac:dyDescent="0.2">
      <c r="B17" s="567"/>
      <c r="C17" s="588"/>
      <c r="D17" s="588"/>
      <c r="E17" s="569"/>
      <c r="F17" s="586"/>
      <c r="G17" s="587"/>
      <c r="J17" s="572"/>
      <c r="K17" s="573"/>
      <c r="N17" s="572"/>
      <c r="O17" s="573"/>
      <c r="R17" s="593"/>
      <c r="S17" s="638"/>
    </row>
    <row r="18" spans="2:19" ht="13.5" thickBot="1" x14ac:dyDescent="0.25">
      <c r="B18" s="595" t="s">
        <v>16</v>
      </c>
      <c r="C18" s="596">
        <f>SUM(C11:C15)</f>
        <v>1</v>
      </c>
      <c r="D18" s="596">
        <f>SUM(D11:D15)</f>
        <v>1</v>
      </c>
      <c r="E18" s="597"/>
      <c r="F18" s="598">
        <f>+R18</f>
        <v>8.3000000000000007</v>
      </c>
      <c r="G18" s="599">
        <f>+S18</f>
        <v>6.4</v>
      </c>
      <c r="H18" s="600"/>
      <c r="I18" s="600"/>
      <c r="J18" s="601">
        <f>SUM(J11:J15)</f>
        <v>-1.1999999999999999E-2</v>
      </c>
      <c r="K18" s="602">
        <f>SUM(K11:K15)</f>
        <v>3.1E-2</v>
      </c>
      <c r="L18" s="600"/>
      <c r="M18" s="600"/>
      <c r="N18" s="601">
        <f>SUM(N11:N15)</f>
        <v>-1.0217339999999998E-2</v>
      </c>
      <c r="O18" s="602">
        <f>SUM(O11:O15)</f>
        <v>2.6394795000000009E-2</v>
      </c>
      <c r="R18" s="794">
        <f>SUM(R11:R15)</f>
        <v>8.3000000000000007</v>
      </c>
      <c r="S18" s="907">
        <f>SUM(S11:S15)</f>
        <v>6.4</v>
      </c>
    </row>
    <row r="19" spans="2:19" x14ac:dyDescent="0.2">
      <c r="O19" s="556" t="s">
        <v>0</v>
      </c>
    </row>
    <row r="20" spans="2:19" x14ac:dyDescent="0.2">
      <c r="R20" s="556" t="s">
        <v>0</v>
      </c>
    </row>
    <row r="21" spans="2:19" ht="13.5" thickBot="1" x14ac:dyDescent="0.25"/>
    <row r="22" spans="2:19" ht="15.75" x14ac:dyDescent="0.25">
      <c r="J22" s="606" t="s">
        <v>488</v>
      </c>
      <c r="K22" s="607"/>
      <c r="L22" s="608">
        <f>+(F18-G18)/100</f>
        <v>1.9000000000000003E-2</v>
      </c>
      <c r="N22" s="993" t="s">
        <v>0</v>
      </c>
      <c r="O22" s="993"/>
    </row>
    <row r="23" spans="2:19" x14ac:dyDescent="0.2">
      <c r="J23" s="572"/>
      <c r="K23" s="609"/>
      <c r="L23" s="573"/>
      <c r="N23" s="994" t="s">
        <v>0</v>
      </c>
    </row>
    <row r="24" spans="2:19" x14ac:dyDescent="0.2">
      <c r="J24" s="572" t="s">
        <v>477</v>
      </c>
      <c r="K24" s="609"/>
      <c r="L24" s="610">
        <f>+J18</f>
        <v>-1.1999999999999999E-2</v>
      </c>
      <c r="N24" s="556" t="s">
        <v>0</v>
      </c>
    </row>
    <row r="25" spans="2:19" x14ac:dyDescent="0.2">
      <c r="J25" s="572" t="s">
        <v>531</v>
      </c>
      <c r="K25" s="609"/>
      <c r="L25" s="610">
        <f>+K18</f>
        <v>3.1E-2</v>
      </c>
      <c r="N25" s="556" t="s">
        <v>0</v>
      </c>
    </row>
    <row r="26" spans="2:19" x14ac:dyDescent="0.2">
      <c r="J26" s="572" t="s">
        <v>0</v>
      </c>
      <c r="K26" s="609"/>
      <c r="L26" s="610" t="s">
        <v>0</v>
      </c>
      <c r="N26" s="556" t="s">
        <v>0</v>
      </c>
    </row>
    <row r="27" spans="2:19" ht="13.5" thickBot="1" x14ac:dyDescent="0.25">
      <c r="J27" s="613" t="s">
        <v>524</v>
      </c>
      <c r="K27" s="614"/>
      <c r="L27" s="615">
        <f>+L22-L24-L25</f>
        <v>0</v>
      </c>
      <c r="N27" s="556" t="s">
        <v>0</v>
      </c>
    </row>
    <row r="29" spans="2:19" x14ac:dyDescent="0.2">
      <c r="N29" s="556" t="s">
        <v>0</v>
      </c>
      <c r="O29" s="556" t="s">
        <v>0</v>
      </c>
    </row>
    <row r="37" spans="2:19" ht="13.5" thickBot="1" x14ac:dyDescent="0.25"/>
    <row r="38" spans="2:19" ht="15.75" x14ac:dyDescent="0.25">
      <c r="B38" s="987" t="s">
        <v>830</v>
      </c>
      <c r="C38" s="558" t="s">
        <v>1</v>
      </c>
      <c r="D38" s="558" t="s">
        <v>15</v>
      </c>
      <c r="E38" s="559"/>
      <c r="F38" s="560" t="s">
        <v>473</v>
      </c>
      <c r="G38" s="561" t="s">
        <v>15</v>
      </c>
      <c r="J38" s="562" t="s">
        <v>814</v>
      </c>
      <c r="K38" s="563"/>
      <c r="N38" s="979" t="s">
        <v>831</v>
      </c>
      <c r="O38" s="988"/>
      <c r="R38" s="564" t="s">
        <v>1</v>
      </c>
      <c r="S38" s="931" t="s">
        <v>15</v>
      </c>
    </row>
    <row r="39" spans="2:19" ht="15.75" x14ac:dyDescent="0.25">
      <c r="B39" s="989" t="s">
        <v>800</v>
      </c>
      <c r="C39" s="568" t="s">
        <v>328</v>
      </c>
      <c r="D39" s="568" t="s">
        <v>328</v>
      </c>
      <c r="E39" s="569"/>
      <c r="F39" s="570" t="s">
        <v>3</v>
      </c>
      <c r="G39" s="571" t="s">
        <v>3</v>
      </c>
      <c r="J39" s="635" t="s">
        <v>476</v>
      </c>
      <c r="K39" s="637" t="s">
        <v>477</v>
      </c>
      <c r="N39" s="635" t="s">
        <v>476</v>
      </c>
      <c r="O39" s="637" t="s">
        <v>477</v>
      </c>
      <c r="R39" s="574" t="s">
        <v>3</v>
      </c>
      <c r="S39" s="941" t="s">
        <v>3</v>
      </c>
    </row>
    <row r="40" spans="2:19" x14ac:dyDescent="0.2">
      <c r="B40" s="990" t="s">
        <v>390</v>
      </c>
      <c r="C40" s="578" t="s">
        <v>0</v>
      </c>
      <c r="D40" s="578" t="s">
        <v>0</v>
      </c>
      <c r="E40" s="579"/>
      <c r="F40" s="580" t="s">
        <v>0</v>
      </c>
      <c r="G40" s="581" t="s">
        <v>0</v>
      </c>
      <c r="J40" s="582" t="s">
        <v>483</v>
      </c>
      <c r="K40" s="583" t="s">
        <v>484</v>
      </c>
      <c r="N40" s="582" t="s">
        <v>483</v>
      </c>
      <c r="O40" s="583" t="s">
        <v>484</v>
      </c>
      <c r="R40" s="574" t="s">
        <v>223</v>
      </c>
      <c r="S40" s="941" t="s">
        <v>223</v>
      </c>
    </row>
    <row r="41" spans="2:19" x14ac:dyDescent="0.2">
      <c r="B41" s="567"/>
      <c r="C41" s="569"/>
      <c r="D41" s="569"/>
      <c r="E41" s="569"/>
      <c r="F41" s="586"/>
      <c r="G41" s="587"/>
      <c r="J41" s="572"/>
      <c r="K41" s="573"/>
      <c r="N41" s="808"/>
      <c r="O41" s="810"/>
      <c r="R41" s="593"/>
      <c r="S41" s="638"/>
    </row>
    <row r="42" spans="2:19" x14ac:dyDescent="0.2">
      <c r="B42" s="567"/>
      <c r="C42" s="569"/>
      <c r="D42" s="569"/>
      <c r="E42" s="569"/>
      <c r="F42" s="586"/>
      <c r="G42" s="587"/>
      <c r="J42" s="572"/>
      <c r="K42" s="573"/>
      <c r="N42" s="572"/>
      <c r="O42" s="573"/>
      <c r="R42" s="593"/>
      <c r="S42" s="638"/>
    </row>
    <row r="43" spans="2:19" x14ac:dyDescent="0.2">
      <c r="B43" s="567" t="s">
        <v>485</v>
      </c>
      <c r="C43" s="588">
        <v>0.7</v>
      </c>
      <c r="D43" s="588">
        <v>0.4</v>
      </c>
      <c r="E43" s="569"/>
      <c r="F43" s="589">
        <v>-5</v>
      </c>
      <c r="G43" s="590">
        <v>-7</v>
      </c>
      <c r="J43" s="591">
        <f>+(C43-D43)*(G43-G$50)/100</f>
        <v>-7.1999999999999963E-3</v>
      </c>
      <c r="K43" s="592">
        <f>+C43*(F43-G43)/100</f>
        <v>1.3999999999999999E-2</v>
      </c>
      <c r="N43" s="591">
        <f>+J43*(1+F$18/100)*(1+G$82/100)*(1+G$114/100)</f>
        <v>-6.9593579999999962E-3</v>
      </c>
      <c r="O43" s="592">
        <f>+K43*(1+F$18/100)*(1+G$82/100)*(1+G$114/100)</f>
        <v>1.3532084999999999E-2</v>
      </c>
      <c r="R43" s="593">
        <f>+C43*F43</f>
        <v>-3.5</v>
      </c>
      <c r="S43" s="638">
        <f>+D43*G43</f>
        <v>-2.8000000000000003</v>
      </c>
    </row>
    <row r="44" spans="2:19" x14ac:dyDescent="0.2">
      <c r="B44" s="567"/>
      <c r="C44" s="588"/>
      <c r="D44" s="588"/>
      <c r="E44" s="569"/>
      <c r="F44" s="589"/>
      <c r="G44" s="590"/>
      <c r="J44" s="572"/>
      <c r="K44" s="573"/>
      <c r="N44" s="591"/>
      <c r="O44" s="592"/>
      <c r="R44" s="593"/>
      <c r="S44" s="638" t="s">
        <v>0</v>
      </c>
    </row>
    <row r="45" spans="2:19" x14ac:dyDescent="0.2">
      <c r="B45" s="567" t="s">
        <v>486</v>
      </c>
      <c r="C45" s="588">
        <v>0.2</v>
      </c>
      <c r="D45" s="588">
        <v>0.3</v>
      </c>
      <c r="E45" s="569"/>
      <c r="F45" s="589">
        <v>3</v>
      </c>
      <c r="G45" s="590">
        <v>4</v>
      </c>
      <c r="J45" s="591">
        <f>+(C45-D45)*(G45-G$50)/100</f>
        <v>-8.6E-3</v>
      </c>
      <c r="K45" s="592">
        <f>+C45*(F45-G45)/100</f>
        <v>-2E-3</v>
      </c>
      <c r="N45" s="591">
        <f>+J45*(1+F$18/100)*(1+G$82/100)*(1+G$114/100)</f>
        <v>-8.3125665000000019E-3</v>
      </c>
      <c r="O45" s="592">
        <f>+K45*(1+F$18/100)*(1+G$82/100)*(1+G$114/100)</f>
        <v>-1.933155E-3</v>
      </c>
      <c r="R45" s="593">
        <f>+C45*F45</f>
        <v>0.60000000000000009</v>
      </c>
      <c r="S45" s="638">
        <f>+D45*G45</f>
        <v>1.2</v>
      </c>
    </row>
    <row r="46" spans="2:19" x14ac:dyDescent="0.2">
      <c r="B46" s="567"/>
      <c r="C46" s="588"/>
      <c r="D46" s="588"/>
      <c r="E46" s="569"/>
      <c r="F46" s="589"/>
      <c r="G46" s="590"/>
      <c r="J46" s="572"/>
      <c r="K46" s="573"/>
      <c r="N46" s="591"/>
      <c r="O46" s="592"/>
      <c r="R46" s="593"/>
      <c r="S46" s="638"/>
    </row>
    <row r="47" spans="2:19" x14ac:dyDescent="0.2">
      <c r="B47" s="567" t="s">
        <v>487</v>
      </c>
      <c r="C47" s="588">
        <v>0.1</v>
      </c>
      <c r="D47" s="588">
        <v>0.3</v>
      </c>
      <c r="E47" s="569"/>
      <c r="F47" s="589">
        <v>-5</v>
      </c>
      <c r="G47" s="590">
        <v>-10</v>
      </c>
      <c r="J47" s="591">
        <f>+(C47-D47)*(G47-G$50)/100</f>
        <v>1.0799999999999999E-2</v>
      </c>
      <c r="K47" s="592">
        <f>+C47*(F47-G47)/100</f>
        <v>5.0000000000000001E-3</v>
      </c>
      <c r="N47" s="591">
        <f>+J47*(1+F$18/100)*(1+G$82/100)*(1+G$114/100)</f>
        <v>1.0439037E-2</v>
      </c>
      <c r="O47" s="592">
        <f>+K47*(1+F$18/100)*(1+G$82/100)*(1+G$114/100)</f>
        <v>4.832887499999999E-3</v>
      </c>
      <c r="R47" s="593">
        <f>+C47*F47</f>
        <v>-0.5</v>
      </c>
      <c r="S47" s="638">
        <f>+D47*G47</f>
        <v>-3</v>
      </c>
    </row>
    <row r="48" spans="2:19" x14ac:dyDescent="0.2">
      <c r="B48" s="567"/>
      <c r="C48" s="588"/>
      <c r="D48" s="588"/>
      <c r="E48" s="569"/>
      <c r="F48" s="586"/>
      <c r="G48" s="587"/>
      <c r="J48" s="572"/>
      <c r="K48" s="573"/>
      <c r="N48" s="572"/>
      <c r="O48" s="573"/>
      <c r="R48" s="593"/>
      <c r="S48" s="638"/>
    </row>
    <row r="49" spans="2:19" x14ac:dyDescent="0.2">
      <c r="B49" s="567"/>
      <c r="C49" s="588"/>
      <c r="D49" s="588"/>
      <c r="E49" s="569"/>
      <c r="F49" s="586"/>
      <c r="G49" s="587"/>
      <c r="J49" s="572"/>
      <c r="K49" s="573"/>
      <c r="N49" s="572"/>
      <c r="O49" s="573"/>
      <c r="R49" s="593"/>
      <c r="S49" s="638"/>
    </row>
    <row r="50" spans="2:19" ht="13.5" thickBot="1" x14ac:dyDescent="0.25">
      <c r="B50" s="595" t="s">
        <v>16</v>
      </c>
      <c r="C50" s="596">
        <f>SUM(C43:C47)</f>
        <v>0.99999999999999989</v>
      </c>
      <c r="D50" s="596">
        <f>SUM(D43:D47)</f>
        <v>1</v>
      </c>
      <c r="E50" s="597"/>
      <c r="F50" s="598">
        <f>+R50</f>
        <v>-3.4</v>
      </c>
      <c r="G50" s="599">
        <f>+S50</f>
        <v>-4.6000000000000005</v>
      </c>
      <c r="H50" s="600"/>
      <c r="I50" s="600"/>
      <c r="J50" s="601">
        <f>SUM(J43:J47)</f>
        <v>-4.9999999999999958E-3</v>
      </c>
      <c r="K50" s="602">
        <f>SUM(K43:K47)</f>
        <v>1.6999999999999998E-2</v>
      </c>
      <c r="L50" s="600"/>
      <c r="M50" s="600"/>
      <c r="N50" s="601">
        <f>SUM(N43:N47)</f>
        <v>-4.832887499999999E-3</v>
      </c>
      <c r="O50" s="602">
        <f>SUM(O43:O47)</f>
        <v>1.6431817499999998E-2</v>
      </c>
      <c r="R50" s="794">
        <f>SUM(R43:R47)</f>
        <v>-3.4</v>
      </c>
      <c r="S50" s="907">
        <f>SUM(S43:S47)</f>
        <v>-4.6000000000000005</v>
      </c>
    </row>
    <row r="52" spans="2:19" x14ac:dyDescent="0.2">
      <c r="R52" s="556" t="s">
        <v>0</v>
      </c>
    </row>
    <row r="53" spans="2:19" ht="13.5" thickBot="1" x14ac:dyDescent="0.25"/>
    <row r="54" spans="2:19" ht="15.75" x14ac:dyDescent="0.25">
      <c r="J54" s="606" t="s">
        <v>488</v>
      </c>
      <c r="K54" s="607"/>
      <c r="L54" s="608">
        <f>+(F50-G50)/100</f>
        <v>1.2000000000000005E-2</v>
      </c>
    </row>
    <row r="55" spans="2:19" x14ac:dyDescent="0.2">
      <c r="J55" s="572"/>
      <c r="K55" s="609"/>
      <c r="L55" s="573"/>
    </row>
    <row r="56" spans="2:19" x14ac:dyDescent="0.2">
      <c r="J56" s="572" t="s">
        <v>477</v>
      </c>
      <c r="K56" s="609"/>
      <c r="L56" s="610">
        <f>+J50</f>
        <v>-4.9999999999999958E-3</v>
      </c>
    </row>
    <row r="57" spans="2:19" x14ac:dyDescent="0.2">
      <c r="J57" s="572" t="s">
        <v>531</v>
      </c>
      <c r="K57" s="609"/>
      <c r="L57" s="610">
        <f>+K50</f>
        <v>1.6999999999999998E-2</v>
      </c>
    </row>
    <row r="58" spans="2:19" x14ac:dyDescent="0.2">
      <c r="J58" s="572" t="s">
        <v>0</v>
      </c>
      <c r="K58" s="609"/>
      <c r="L58" s="610" t="s">
        <v>0</v>
      </c>
      <c r="N58" s="556" t="s">
        <v>0</v>
      </c>
    </row>
    <row r="59" spans="2:19" ht="13.5" thickBot="1" x14ac:dyDescent="0.25">
      <c r="J59" s="613" t="s">
        <v>524</v>
      </c>
      <c r="K59" s="614"/>
      <c r="L59" s="615">
        <f>+L54-L56-L57</f>
        <v>0</v>
      </c>
      <c r="N59" s="556" t="s">
        <v>0</v>
      </c>
    </row>
    <row r="69" spans="2:19" ht="13.5" thickBot="1" x14ac:dyDescent="0.25"/>
    <row r="70" spans="2:19" ht="15.75" x14ac:dyDescent="0.25">
      <c r="B70" s="987" t="s">
        <v>830</v>
      </c>
      <c r="C70" s="558" t="s">
        <v>1</v>
      </c>
      <c r="D70" s="558" t="s">
        <v>15</v>
      </c>
      <c r="E70" s="559"/>
      <c r="F70" s="560" t="s">
        <v>473</v>
      </c>
      <c r="G70" s="561" t="s">
        <v>15</v>
      </c>
      <c r="J70" s="562" t="s">
        <v>814</v>
      </c>
      <c r="K70" s="563"/>
      <c r="N70" s="979" t="s">
        <v>831</v>
      </c>
      <c r="O70" s="988"/>
      <c r="R70" s="564" t="s">
        <v>1</v>
      </c>
      <c r="S70" s="931" t="s">
        <v>15</v>
      </c>
    </row>
    <row r="71" spans="2:19" ht="15.75" x14ac:dyDescent="0.25">
      <c r="B71" s="989" t="s">
        <v>800</v>
      </c>
      <c r="C71" s="568" t="s">
        <v>328</v>
      </c>
      <c r="D71" s="568" t="s">
        <v>328</v>
      </c>
      <c r="E71" s="569"/>
      <c r="F71" s="570" t="s">
        <v>3</v>
      </c>
      <c r="G71" s="571" t="s">
        <v>3</v>
      </c>
      <c r="J71" s="635" t="s">
        <v>476</v>
      </c>
      <c r="K71" s="637" t="s">
        <v>477</v>
      </c>
      <c r="N71" s="635" t="s">
        <v>476</v>
      </c>
      <c r="O71" s="637" t="s">
        <v>477</v>
      </c>
      <c r="R71" s="574" t="s">
        <v>3</v>
      </c>
      <c r="S71" s="941" t="s">
        <v>3</v>
      </c>
    </row>
    <row r="72" spans="2:19" x14ac:dyDescent="0.2">
      <c r="B72" s="990" t="s">
        <v>391</v>
      </c>
      <c r="C72" s="578" t="s">
        <v>0</v>
      </c>
      <c r="D72" s="578" t="s">
        <v>0</v>
      </c>
      <c r="E72" s="579"/>
      <c r="F72" s="580" t="s">
        <v>0</v>
      </c>
      <c r="G72" s="581" t="s">
        <v>0</v>
      </c>
      <c r="J72" s="582" t="s">
        <v>483</v>
      </c>
      <c r="K72" s="583" t="s">
        <v>484</v>
      </c>
      <c r="N72" s="582" t="s">
        <v>483</v>
      </c>
      <c r="O72" s="583" t="s">
        <v>484</v>
      </c>
      <c r="R72" s="574" t="s">
        <v>223</v>
      </c>
      <c r="S72" s="941" t="s">
        <v>223</v>
      </c>
    </row>
    <row r="73" spans="2:19" x14ac:dyDescent="0.2">
      <c r="B73" s="567"/>
      <c r="C73" s="569"/>
      <c r="D73" s="569"/>
      <c r="E73" s="569"/>
      <c r="F73" s="586"/>
      <c r="G73" s="587"/>
      <c r="J73" s="572"/>
      <c r="K73" s="573"/>
      <c r="N73" s="572"/>
      <c r="O73" s="810"/>
      <c r="R73" s="593"/>
      <c r="S73" s="638"/>
    </row>
    <row r="74" spans="2:19" x14ac:dyDescent="0.2">
      <c r="B74" s="567"/>
      <c r="C74" s="569"/>
      <c r="D74" s="569"/>
      <c r="E74" s="569"/>
      <c r="F74" s="586"/>
      <c r="G74" s="587"/>
      <c r="J74" s="572"/>
      <c r="K74" s="573"/>
      <c r="N74" s="572"/>
      <c r="O74" s="573"/>
      <c r="R74" s="593"/>
      <c r="S74" s="638"/>
    </row>
    <row r="75" spans="2:19" x14ac:dyDescent="0.2">
      <c r="B75" s="567" t="s">
        <v>485</v>
      </c>
      <c r="C75" s="588">
        <v>0.3</v>
      </c>
      <c r="D75" s="588">
        <v>0.5</v>
      </c>
      <c r="E75" s="569"/>
      <c r="F75" s="589">
        <v>-20</v>
      </c>
      <c r="G75" s="590">
        <v>-25</v>
      </c>
      <c r="J75" s="591">
        <f>+(C75-D75)*(G75-G$82)/100</f>
        <v>2.5000000000000001E-2</v>
      </c>
      <c r="K75" s="592">
        <f>+C75*(F75-G75)/100</f>
        <v>1.4999999999999999E-2</v>
      </c>
      <c r="N75" s="591">
        <f>+J75*(1+F$18/100)*(1+F$50/100)*(1+G$114/100)</f>
        <v>2.6677539000000004E-2</v>
      </c>
      <c r="O75" s="592">
        <f>+K75*(1+F$18/100)*(1+F$50/100)*(1+G$114/100)</f>
        <v>1.60065234E-2</v>
      </c>
      <c r="R75" s="593">
        <f>+C75*F75</f>
        <v>-6</v>
      </c>
      <c r="S75" s="638">
        <f>+D75*G75</f>
        <v>-12.5</v>
      </c>
    </row>
    <row r="76" spans="2:19" x14ac:dyDescent="0.2">
      <c r="B76" s="567"/>
      <c r="C76" s="588"/>
      <c r="D76" s="588"/>
      <c r="E76" s="569"/>
      <c r="F76" s="589"/>
      <c r="G76" s="590"/>
      <c r="J76" s="572"/>
      <c r="K76" s="573"/>
      <c r="N76" s="591"/>
      <c r="O76" s="592"/>
      <c r="R76" s="593"/>
      <c r="S76" s="638" t="s">
        <v>0</v>
      </c>
    </row>
    <row r="77" spans="2:19" x14ac:dyDescent="0.2">
      <c r="B77" s="567" t="s">
        <v>486</v>
      </c>
      <c r="C77" s="588">
        <v>0.5</v>
      </c>
      <c r="D77" s="588">
        <v>0.4</v>
      </c>
      <c r="E77" s="569"/>
      <c r="F77" s="589">
        <v>8</v>
      </c>
      <c r="G77" s="590">
        <v>5</v>
      </c>
      <c r="J77" s="591">
        <f>+(C77-D77)*(G77-G$82)/100</f>
        <v>1.7499999999999995E-2</v>
      </c>
      <c r="K77" s="592">
        <f>+C77*(F77-G77)/100</f>
        <v>1.4999999999999999E-2</v>
      </c>
      <c r="N77" s="591">
        <f>+J77*(1+F$18/100)*(1+F$50/100)*(1+G$114/100)</f>
        <v>1.8674277299999993E-2</v>
      </c>
      <c r="O77" s="592">
        <f>+K77*(1+F$18/100)*(1+F$50/100)*(1+G$114/100)</f>
        <v>1.60065234E-2</v>
      </c>
      <c r="R77" s="593">
        <f>+C77*F77</f>
        <v>4</v>
      </c>
      <c r="S77" s="638">
        <f>+D77*G77</f>
        <v>2</v>
      </c>
    </row>
    <row r="78" spans="2:19" x14ac:dyDescent="0.2">
      <c r="B78" s="567"/>
      <c r="C78" s="588"/>
      <c r="D78" s="588"/>
      <c r="E78" s="569"/>
      <c r="F78" s="589"/>
      <c r="G78" s="590"/>
      <c r="J78" s="572"/>
      <c r="K78" s="573"/>
      <c r="N78" s="591"/>
      <c r="O78" s="592"/>
      <c r="R78" s="593"/>
      <c r="S78" s="638"/>
    </row>
    <row r="79" spans="2:19" x14ac:dyDescent="0.2">
      <c r="B79" s="567" t="s">
        <v>487</v>
      </c>
      <c r="C79" s="588">
        <v>0.2</v>
      </c>
      <c r="D79" s="588">
        <v>0.1</v>
      </c>
      <c r="E79" s="569"/>
      <c r="F79" s="589">
        <v>-15</v>
      </c>
      <c r="G79" s="590">
        <v>-20</v>
      </c>
      <c r="J79" s="591">
        <f>+(C79-D79)*(G79-G$82)/100</f>
        <v>-7.4999999999999997E-3</v>
      </c>
      <c r="K79" s="592">
        <f>+C79*(F79-G79)/100</f>
        <v>0.01</v>
      </c>
      <c r="N79" s="591">
        <f>+J79*(1+F$18/100)*(1+F$50/100)*(1+G$114/100)</f>
        <v>-8.0032617E-3</v>
      </c>
      <c r="O79" s="592">
        <f>+K79*(1+F$18/100)*(1+F$50/100)*(1+G$114/100)</f>
        <v>1.0671015599999998E-2</v>
      </c>
      <c r="R79" s="593">
        <f>+C79*F79</f>
        <v>-3</v>
      </c>
      <c r="S79" s="638">
        <f>+D79*G79</f>
        <v>-2</v>
      </c>
    </row>
    <row r="80" spans="2:19" x14ac:dyDescent="0.2">
      <c r="B80" s="567"/>
      <c r="C80" s="588"/>
      <c r="D80" s="588"/>
      <c r="E80" s="569"/>
      <c r="F80" s="586"/>
      <c r="G80" s="587"/>
      <c r="J80" s="572"/>
      <c r="K80" s="573"/>
      <c r="N80" s="572"/>
      <c r="O80" s="573"/>
      <c r="R80" s="593"/>
      <c r="S80" s="638"/>
    </row>
    <row r="81" spans="2:19" x14ac:dyDescent="0.2">
      <c r="B81" s="567"/>
      <c r="C81" s="588"/>
      <c r="D81" s="588"/>
      <c r="E81" s="569"/>
      <c r="F81" s="586"/>
      <c r="G81" s="587"/>
      <c r="J81" s="572"/>
      <c r="K81" s="573"/>
      <c r="N81" s="572"/>
      <c r="O81" s="573"/>
      <c r="R81" s="593"/>
      <c r="S81" s="638"/>
    </row>
    <row r="82" spans="2:19" ht="13.5" thickBot="1" x14ac:dyDescent="0.25">
      <c r="B82" s="595" t="s">
        <v>16</v>
      </c>
      <c r="C82" s="596">
        <f>SUM(C75:C79)</f>
        <v>1</v>
      </c>
      <c r="D82" s="596">
        <f>SUM(D75:D79)</f>
        <v>1</v>
      </c>
      <c r="E82" s="597"/>
      <c r="F82" s="598">
        <f>+R82</f>
        <v>-5</v>
      </c>
      <c r="G82" s="599">
        <f>+S82</f>
        <v>-12.5</v>
      </c>
      <c r="H82" s="600"/>
      <c r="I82" s="600"/>
      <c r="J82" s="601">
        <f>SUM(J75:J79)</f>
        <v>3.4999999999999996E-2</v>
      </c>
      <c r="K82" s="602">
        <f>SUM(K75:K79)</f>
        <v>0.04</v>
      </c>
      <c r="L82" s="600"/>
      <c r="M82" s="600"/>
      <c r="N82" s="601">
        <f>SUM(N75:N79)</f>
        <v>3.73485546E-2</v>
      </c>
      <c r="O82" s="602">
        <f>SUM(O75:O79)</f>
        <v>4.26840624E-2</v>
      </c>
      <c r="R82" s="794">
        <f>SUM(R75:R79)</f>
        <v>-5</v>
      </c>
      <c r="S82" s="907">
        <f>SUM(S75:S79)</f>
        <v>-12.5</v>
      </c>
    </row>
    <row r="84" spans="2:19" x14ac:dyDescent="0.2">
      <c r="O84" s="556" t="s">
        <v>0</v>
      </c>
      <c r="R84" s="556" t="s">
        <v>0</v>
      </c>
    </row>
    <row r="85" spans="2:19" ht="13.5" thickBot="1" x14ac:dyDescent="0.25"/>
    <row r="86" spans="2:19" ht="15.75" x14ac:dyDescent="0.25">
      <c r="J86" s="606" t="s">
        <v>488</v>
      </c>
      <c r="K86" s="607"/>
      <c r="L86" s="608">
        <f>+(F82-G82)/100</f>
        <v>7.4999999999999997E-2</v>
      </c>
    </row>
    <row r="87" spans="2:19" x14ac:dyDescent="0.2">
      <c r="J87" s="572"/>
      <c r="K87" s="609"/>
      <c r="L87" s="573"/>
    </row>
    <row r="88" spans="2:19" x14ac:dyDescent="0.2">
      <c r="J88" s="572" t="s">
        <v>477</v>
      </c>
      <c r="K88" s="609"/>
      <c r="L88" s="610">
        <f>+J82</f>
        <v>3.4999999999999996E-2</v>
      </c>
    </row>
    <row r="89" spans="2:19" x14ac:dyDescent="0.2">
      <c r="J89" s="572" t="s">
        <v>531</v>
      </c>
      <c r="K89" s="609"/>
      <c r="L89" s="610">
        <f>+K82</f>
        <v>0.04</v>
      </c>
    </row>
    <row r="90" spans="2:19" x14ac:dyDescent="0.2">
      <c r="J90" s="572" t="s">
        <v>0</v>
      </c>
      <c r="K90" s="609"/>
      <c r="L90" s="610" t="s">
        <v>0</v>
      </c>
      <c r="N90" s="556" t="s">
        <v>0</v>
      </c>
    </row>
    <row r="91" spans="2:19" ht="13.5" thickBot="1" x14ac:dyDescent="0.25">
      <c r="J91" s="613" t="s">
        <v>524</v>
      </c>
      <c r="K91" s="614"/>
      <c r="L91" s="615">
        <f>+L86-L88-L89</f>
        <v>0</v>
      </c>
      <c r="N91" s="556" t="s">
        <v>0</v>
      </c>
    </row>
    <row r="101" spans="2:19" ht="13.5" thickBot="1" x14ac:dyDescent="0.25"/>
    <row r="102" spans="2:19" ht="15.75" x14ac:dyDescent="0.25">
      <c r="B102" s="987" t="s">
        <v>830</v>
      </c>
      <c r="C102" s="558" t="s">
        <v>1</v>
      </c>
      <c r="D102" s="558" t="s">
        <v>15</v>
      </c>
      <c r="E102" s="559"/>
      <c r="F102" s="560" t="s">
        <v>473</v>
      </c>
      <c r="G102" s="561" t="s">
        <v>15</v>
      </c>
      <c r="J102" s="562" t="s">
        <v>814</v>
      </c>
      <c r="K102" s="563"/>
      <c r="N102" s="979" t="s">
        <v>831</v>
      </c>
      <c r="O102" s="988"/>
      <c r="R102" s="564" t="s">
        <v>1</v>
      </c>
      <c r="S102" s="931" t="s">
        <v>15</v>
      </c>
    </row>
    <row r="103" spans="2:19" ht="15.75" x14ac:dyDescent="0.25">
      <c r="B103" s="989" t="s">
        <v>800</v>
      </c>
      <c r="C103" s="568" t="s">
        <v>328</v>
      </c>
      <c r="D103" s="568" t="s">
        <v>328</v>
      </c>
      <c r="E103" s="569"/>
      <c r="F103" s="570" t="s">
        <v>3</v>
      </c>
      <c r="G103" s="571" t="s">
        <v>3</v>
      </c>
      <c r="J103" s="635" t="s">
        <v>476</v>
      </c>
      <c r="K103" s="637" t="s">
        <v>477</v>
      </c>
      <c r="N103" s="635" t="s">
        <v>476</v>
      </c>
      <c r="O103" s="637" t="s">
        <v>477</v>
      </c>
      <c r="R103" s="574" t="s">
        <v>3</v>
      </c>
      <c r="S103" s="941" t="s">
        <v>3</v>
      </c>
    </row>
    <row r="104" spans="2:19" x14ac:dyDescent="0.2">
      <c r="B104" s="990" t="s">
        <v>392</v>
      </c>
      <c r="C104" s="578" t="s">
        <v>0</v>
      </c>
      <c r="D104" s="578" t="s">
        <v>0</v>
      </c>
      <c r="E104" s="579"/>
      <c r="F104" s="580" t="s">
        <v>0</v>
      </c>
      <c r="G104" s="581" t="s">
        <v>0</v>
      </c>
      <c r="J104" s="582" t="s">
        <v>483</v>
      </c>
      <c r="K104" s="583" t="s">
        <v>484</v>
      </c>
      <c r="N104" s="582" t="s">
        <v>483</v>
      </c>
      <c r="O104" s="583" t="s">
        <v>484</v>
      </c>
      <c r="R104" s="574" t="s">
        <v>223</v>
      </c>
      <c r="S104" s="941" t="s">
        <v>223</v>
      </c>
    </row>
    <row r="105" spans="2:19" x14ac:dyDescent="0.2">
      <c r="B105" s="567"/>
      <c r="C105" s="569"/>
      <c r="D105" s="569"/>
      <c r="E105" s="569"/>
      <c r="F105" s="586"/>
      <c r="G105" s="587"/>
      <c r="J105" s="572"/>
      <c r="K105" s="573"/>
      <c r="N105" s="572"/>
      <c r="O105" s="810"/>
      <c r="R105" s="593"/>
      <c r="S105" s="638"/>
    </row>
    <row r="106" spans="2:19" x14ac:dyDescent="0.2">
      <c r="B106" s="567"/>
      <c r="C106" s="569"/>
      <c r="D106" s="569"/>
      <c r="E106" s="569"/>
      <c r="F106" s="586"/>
      <c r="G106" s="587"/>
      <c r="J106" s="572"/>
      <c r="K106" s="573"/>
      <c r="N106" s="572"/>
      <c r="O106" s="573"/>
      <c r="R106" s="593"/>
      <c r="S106" s="638"/>
    </row>
    <row r="107" spans="2:19" x14ac:dyDescent="0.2">
      <c r="B107" s="567" t="s">
        <v>485</v>
      </c>
      <c r="C107" s="588">
        <v>0.3</v>
      </c>
      <c r="D107" s="588">
        <v>0.4</v>
      </c>
      <c r="E107" s="569"/>
      <c r="F107" s="589">
        <v>10</v>
      </c>
      <c r="G107" s="590">
        <v>5</v>
      </c>
      <c r="J107" s="591">
        <f>+(C107-D107)*(G107-G$114)/100</f>
        <v>-3.0000000000000009E-3</v>
      </c>
      <c r="K107" s="592">
        <f>+C107*(F107-G107)/100</f>
        <v>1.4999999999999999E-2</v>
      </c>
      <c r="N107" s="591">
        <f>+J107*(1+F$18/100)*(1+F$50/100)*(1+F$82/100)</f>
        <v>-2.9816073000000008E-3</v>
      </c>
      <c r="O107" s="592">
        <f>+K107*(1+F$18/100)*(1+F$50/100)*(1+F$82/100)</f>
        <v>1.4908036499999998E-2</v>
      </c>
      <c r="R107" s="593">
        <f>+C107*F107</f>
        <v>3</v>
      </c>
      <c r="S107" s="638">
        <f>+D107*G107</f>
        <v>2</v>
      </c>
    </row>
    <row r="108" spans="2:19" x14ac:dyDescent="0.2">
      <c r="B108" s="567"/>
      <c r="C108" s="588"/>
      <c r="D108" s="588"/>
      <c r="E108" s="569"/>
      <c r="F108" s="589"/>
      <c r="G108" s="590"/>
      <c r="J108" s="572"/>
      <c r="K108" s="573"/>
      <c r="N108" s="572"/>
      <c r="O108" s="573"/>
      <c r="R108" s="593"/>
      <c r="S108" s="638" t="s">
        <v>0</v>
      </c>
    </row>
    <row r="109" spans="2:19" x14ac:dyDescent="0.2">
      <c r="B109" s="567" t="s">
        <v>486</v>
      </c>
      <c r="C109" s="588">
        <v>0.5</v>
      </c>
      <c r="D109" s="588">
        <v>0.4</v>
      </c>
      <c r="E109" s="569"/>
      <c r="F109" s="589">
        <v>-7</v>
      </c>
      <c r="G109" s="590">
        <v>-5</v>
      </c>
      <c r="J109" s="591">
        <f>+(C109-D109)*(G109-G$114)/100</f>
        <v>-6.9999999999999984E-3</v>
      </c>
      <c r="K109" s="592">
        <f>+C109*(F109-G109)/100</f>
        <v>-0.01</v>
      </c>
      <c r="N109" s="591">
        <f>+J109*(1+F$18/100)*(1+F$50/100)*(1+F$82/100)</f>
        <v>-6.9570836999999983E-3</v>
      </c>
      <c r="O109" s="592">
        <f>+K109*(1+F$18/100)*(1+F$50/100)*(1+F$82/100)</f>
        <v>-9.9386909999999978E-3</v>
      </c>
      <c r="R109" s="593">
        <f>+C109*F109</f>
        <v>-3.5</v>
      </c>
      <c r="S109" s="638">
        <f>+D109*G109</f>
        <v>-2</v>
      </c>
    </row>
    <row r="110" spans="2:19" x14ac:dyDescent="0.2">
      <c r="B110" s="567"/>
      <c r="C110" s="588"/>
      <c r="D110" s="588"/>
      <c r="E110" s="569"/>
      <c r="F110" s="589"/>
      <c r="G110" s="590"/>
      <c r="J110" s="572"/>
      <c r="K110" s="573"/>
      <c r="N110" s="572"/>
      <c r="O110" s="573"/>
      <c r="R110" s="593"/>
      <c r="S110" s="638"/>
    </row>
    <row r="111" spans="2:19" x14ac:dyDescent="0.2">
      <c r="B111" s="567" t="s">
        <v>487</v>
      </c>
      <c r="C111" s="588">
        <v>0.2</v>
      </c>
      <c r="D111" s="588">
        <v>0.2</v>
      </c>
      <c r="E111" s="569"/>
      <c r="F111" s="589">
        <v>25</v>
      </c>
      <c r="G111" s="590">
        <v>10</v>
      </c>
      <c r="J111" s="591">
        <f>+(C111-D111)*(G111-G$114)/100</f>
        <v>0</v>
      </c>
      <c r="K111" s="592">
        <f>+C111*(F111-G111)/100</f>
        <v>0.03</v>
      </c>
      <c r="N111" s="591">
        <f>+J111*(1+F$18/100)*(1+F$50/100)*(1+F$82/100)</f>
        <v>0</v>
      </c>
      <c r="O111" s="592">
        <f>+K111*(1+F$18/100)*(1+F$50/100)*(1+F$82/100)</f>
        <v>2.9816072999999995E-2</v>
      </c>
      <c r="R111" s="593">
        <f>+C111*F111</f>
        <v>5</v>
      </c>
      <c r="S111" s="638">
        <f>+D111*G111</f>
        <v>2</v>
      </c>
    </row>
    <row r="112" spans="2:19" x14ac:dyDescent="0.2">
      <c r="B112" s="567"/>
      <c r="C112" s="588"/>
      <c r="D112" s="588" t="s">
        <v>0</v>
      </c>
      <c r="E112" s="569"/>
      <c r="F112" s="586"/>
      <c r="G112" s="587"/>
      <c r="J112" s="572"/>
      <c r="K112" s="573"/>
      <c r="N112" s="572"/>
      <c r="O112" s="573"/>
      <c r="R112" s="593"/>
      <c r="S112" s="638"/>
    </row>
    <row r="113" spans="2:19" x14ac:dyDescent="0.2">
      <c r="B113" s="567"/>
      <c r="C113" s="588"/>
      <c r="D113" s="588"/>
      <c r="E113" s="569"/>
      <c r="F113" s="586"/>
      <c r="G113" s="587"/>
      <c r="J113" s="572"/>
      <c r="K113" s="573"/>
      <c r="N113" s="572"/>
      <c r="O113" s="573"/>
      <c r="R113" s="593"/>
      <c r="S113" s="638"/>
    </row>
    <row r="114" spans="2:19" ht="13.5" thickBot="1" x14ac:dyDescent="0.25">
      <c r="B114" s="595" t="s">
        <v>16</v>
      </c>
      <c r="C114" s="596">
        <f>SUM(C107:C111)</f>
        <v>1</v>
      </c>
      <c r="D114" s="596">
        <f>SUM(D107:D112)</f>
        <v>1</v>
      </c>
      <c r="E114" s="752"/>
      <c r="F114" s="598">
        <f>+R114</f>
        <v>4.5</v>
      </c>
      <c r="G114" s="599">
        <f>+S114</f>
        <v>2</v>
      </c>
      <c r="H114" s="600"/>
      <c r="I114" s="600"/>
      <c r="J114" s="601">
        <f>SUM(J107:J111)</f>
        <v>-9.9999999999999985E-3</v>
      </c>
      <c r="K114" s="602">
        <f>SUM(K107:K111)</f>
        <v>3.4999999999999996E-2</v>
      </c>
      <c r="L114" s="600"/>
      <c r="M114" s="600"/>
      <c r="N114" s="601">
        <f>SUM(N107:N111)</f>
        <v>-9.9386909999999995E-3</v>
      </c>
      <c r="O114" s="602">
        <f>SUM(O107:O111)</f>
        <v>3.4785418499999998E-2</v>
      </c>
      <c r="R114" s="794">
        <f>SUM(R107:R111)</f>
        <v>4.5</v>
      </c>
      <c r="S114" s="907">
        <f>SUM(S107:S111)</f>
        <v>2</v>
      </c>
    </row>
    <row r="116" spans="2:19" x14ac:dyDescent="0.2">
      <c r="R116" s="556" t="s">
        <v>0</v>
      </c>
    </row>
    <row r="118" spans="2:19" ht="15.75" x14ac:dyDescent="0.25">
      <c r="J118" s="619" t="s">
        <v>488</v>
      </c>
      <c r="K118" s="620"/>
      <c r="L118" s="621">
        <f>+(F114-G114)/100</f>
        <v>2.5000000000000001E-2</v>
      </c>
    </row>
    <row r="119" spans="2:19" x14ac:dyDescent="0.2">
      <c r="J119" s="622"/>
      <c r="K119" s="609"/>
      <c r="L119" s="623"/>
      <c r="N119" s="994" t="s">
        <v>0</v>
      </c>
    </row>
    <row r="120" spans="2:19" x14ac:dyDescent="0.2">
      <c r="J120" s="622" t="s">
        <v>477</v>
      </c>
      <c r="K120" s="609"/>
      <c r="L120" s="624">
        <f>+J114</f>
        <v>-9.9999999999999985E-3</v>
      </c>
    </row>
    <row r="121" spans="2:19" x14ac:dyDescent="0.2">
      <c r="J121" s="622" t="s">
        <v>531</v>
      </c>
      <c r="K121" s="609"/>
      <c r="L121" s="624">
        <f>+K114</f>
        <v>3.4999999999999996E-2</v>
      </c>
    </row>
    <row r="122" spans="2:19" x14ac:dyDescent="0.2">
      <c r="J122" s="622" t="s">
        <v>0</v>
      </c>
      <c r="K122" s="609"/>
      <c r="L122" s="624" t="s">
        <v>0</v>
      </c>
    </row>
    <row r="123" spans="2:19" x14ac:dyDescent="0.2">
      <c r="J123" s="625" t="s">
        <v>524</v>
      </c>
      <c r="K123" s="626"/>
      <c r="L123" s="627">
        <f>+L118-L120-L121</f>
        <v>0</v>
      </c>
    </row>
    <row r="126" spans="2:19" x14ac:dyDescent="0.2">
      <c r="N126" s="556" t="s">
        <v>0</v>
      </c>
    </row>
    <row r="133" spans="2:15" ht="13.5" thickBot="1" x14ac:dyDescent="0.25"/>
    <row r="134" spans="2:15" ht="15.75" x14ac:dyDescent="0.25">
      <c r="B134" s="987" t="s">
        <v>830</v>
      </c>
      <c r="C134" s="558" t="s">
        <v>7</v>
      </c>
      <c r="D134" s="558" t="s">
        <v>7</v>
      </c>
      <c r="E134" s="559"/>
      <c r="F134" s="560" t="s">
        <v>473</v>
      </c>
      <c r="G134" s="561" t="s">
        <v>15</v>
      </c>
      <c r="N134" s="979" t="s">
        <v>831</v>
      </c>
      <c r="O134" s="988"/>
    </row>
    <row r="135" spans="2:15" ht="15.75" x14ac:dyDescent="0.25">
      <c r="B135" s="989" t="s">
        <v>800</v>
      </c>
      <c r="C135" s="568" t="s">
        <v>1</v>
      </c>
      <c r="D135" s="568" t="s">
        <v>15</v>
      </c>
      <c r="E135" s="569"/>
      <c r="F135" s="570" t="s">
        <v>3</v>
      </c>
      <c r="G135" s="571" t="s">
        <v>3</v>
      </c>
      <c r="N135" s="635" t="s">
        <v>476</v>
      </c>
      <c r="O135" s="637" t="s">
        <v>477</v>
      </c>
    </row>
    <row r="136" spans="2:15" x14ac:dyDescent="0.2">
      <c r="B136" s="990" t="s">
        <v>822</v>
      </c>
      <c r="C136" s="578" t="s">
        <v>328</v>
      </c>
      <c r="D136" s="578" t="s">
        <v>328</v>
      </c>
      <c r="E136" s="579"/>
      <c r="F136" s="580" t="s">
        <v>0</v>
      </c>
      <c r="G136" s="581" t="s">
        <v>0</v>
      </c>
      <c r="N136" s="582" t="s">
        <v>483</v>
      </c>
      <c r="O136" s="583" t="s">
        <v>484</v>
      </c>
    </row>
    <row r="137" spans="2:15" x14ac:dyDescent="0.2">
      <c r="B137" s="567"/>
      <c r="C137" s="569"/>
      <c r="D137" s="569"/>
      <c r="E137" s="569"/>
      <c r="F137" s="586"/>
      <c r="G137" s="587"/>
      <c r="N137" s="572"/>
      <c r="O137" s="573"/>
    </row>
    <row r="138" spans="2:15" x14ac:dyDescent="0.2">
      <c r="B138" s="567"/>
      <c r="C138" s="569"/>
      <c r="D138" s="569"/>
      <c r="E138" s="569"/>
      <c r="F138" s="586"/>
      <c r="G138" s="587"/>
      <c r="N138" s="572"/>
      <c r="O138" s="573"/>
    </row>
    <row r="139" spans="2:15" x14ac:dyDescent="0.2">
      <c r="B139" s="567" t="s">
        <v>485</v>
      </c>
      <c r="C139" s="588">
        <f>+(C11+C43+C75+C107)/4</f>
        <v>0.42500000000000004</v>
      </c>
      <c r="D139" s="588">
        <f>+(D11+D43+D75+D107)/4</f>
        <v>0.42500000000000004</v>
      </c>
      <c r="E139" s="569"/>
      <c r="F139" s="589">
        <f>((1+F11/100)*(1+F43/100)*(1+F75/100)*(1+F107/100)-1)*100</f>
        <v>0.32000000000000917</v>
      </c>
      <c r="G139" s="590">
        <f>((1+G11/100)*(1+G43/100)*(1+G75/100)*(1+G107/100)-1)*100</f>
        <v>-19.438749999999992</v>
      </c>
      <c r="N139" s="591">
        <f>+N11+N43+N75+N107</f>
        <v>1.6736573700000007E-2</v>
      </c>
      <c r="O139" s="592">
        <f>+O11+O43+O75+O107</f>
        <v>7.8504444899999998E-2</v>
      </c>
    </row>
    <row r="140" spans="2:15" x14ac:dyDescent="0.2">
      <c r="B140" s="567"/>
      <c r="C140" s="588"/>
      <c r="D140" s="588"/>
      <c r="E140" s="569"/>
      <c r="F140" s="589"/>
      <c r="G140" s="590"/>
      <c r="N140" s="572"/>
      <c r="O140" s="573"/>
    </row>
    <row r="141" spans="2:15" x14ac:dyDescent="0.2">
      <c r="B141" s="567" t="s">
        <v>486</v>
      </c>
      <c r="C141" s="588">
        <f>+(C13+C45+C77+C109)/4</f>
        <v>0.375</v>
      </c>
      <c r="D141" s="588">
        <f>+(D13+D45+D77+D109)/4</f>
        <v>0.32500000000000001</v>
      </c>
      <c r="E141" s="569"/>
      <c r="F141" s="589">
        <f>((1+F13/100)*(1+F45/100)*(1+F77/100)*(1+F109/100)-1)*100</f>
        <v>-1.719460000000006</v>
      </c>
      <c r="G141" s="590">
        <f>((1+G13/100)*(1+G45/100)*(1+G77/100)*(1+G109/100)-1)*100</f>
        <v>-0.40960000000000996</v>
      </c>
      <c r="N141" s="591">
        <f>+N13+N45+N77+N109</f>
        <v>-5.4504009000000062E-3</v>
      </c>
      <c r="O141" s="592">
        <f>+O13+O45+O77+O109</f>
        <v>1.5803424000000021E-3</v>
      </c>
    </row>
    <row r="142" spans="2:15" x14ac:dyDescent="0.2">
      <c r="B142" s="567"/>
      <c r="C142" s="588"/>
      <c r="D142" s="588"/>
      <c r="E142" s="569"/>
      <c r="F142" s="589"/>
      <c r="G142" s="590"/>
      <c r="N142" s="572"/>
      <c r="O142" s="573"/>
    </row>
    <row r="143" spans="2:15" x14ac:dyDescent="0.2">
      <c r="B143" s="567" t="s">
        <v>487</v>
      </c>
      <c r="C143" s="588">
        <f>+(C15+C47+C79+C111)/4</f>
        <v>0.2</v>
      </c>
      <c r="D143" s="588">
        <f>+(D15+D47+D79+D111)/4</f>
        <v>0.25</v>
      </c>
      <c r="E143" s="569"/>
      <c r="F143" s="589">
        <f>((1+F15/100)*(1+F47/100)*(1+F79/100)*(1+F111/100)-1)*100</f>
        <v>6.9937499999999764</v>
      </c>
      <c r="G143" s="590">
        <f>((1+G15/100)*(1+G47/100)*(1+G79/100)*(1+G111/100)-1)*100</f>
        <v>-14.463999999999988</v>
      </c>
      <c r="N143" s="591">
        <f>+N15+N47+N79+N111</f>
        <v>1.073463299999999E-3</v>
      </c>
      <c r="O143" s="592">
        <f>+O15+O47+O79+O111</f>
        <v>4.0211306099999997E-2</v>
      </c>
    </row>
    <row r="144" spans="2:15" x14ac:dyDescent="0.2">
      <c r="B144" s="567"/>
      <c r="C144" s="588"/>
      <c r="D144" s="588" t="s">
        <v>0</v>
      </c>
      <c r="E144" s="569"/>
      <c r="F144" s="586"/>
      <c r="G144" s="587"/>
      <c r="N144" s="572"/>
      <c r="O144" s="573"/>
    </row>
    <row r="145" spans="2:16" x14ac:dyDescent="0.2">
      <c r="B145" s="567"/>
      <c r="C145" s="588"/>
      <c r="D145" s="588"/>
      <c r="E145" s="569"/>
      <c r="F145" s="586"/>
      <c r="G145" s="587"/>
      <c r="N145" s="572"/>
      <c r="O145" s="573"/>
    </row>
    <row r="146" spans="2:16" ht="13.5" thickBot="1" x14ac:dyDescent="0.25">
      <c r="B146" s="595" t="s">
        <v>16</v>
      </c>
      <c r="C146" s="596">
        <f>SUM(C139:C143)</f>
        <v>1</v>
      </c>
      <c r="D146" s="596">
        <f>SUM(D139:D144)</f>
        <v>1</v>
      </c>
      <c r="E146" s="752"/>
      <c r="F146" s="598">
        <f>((1+F18/100)*(1+F50/100)*(1+F82/100)*(1+F114/100)-1)*100</f>
        <v>3.859320949999967</v>
      </c>
      <c r="G146" s="599">
        <f>((1+G18/100)*(1+G50/100)*(1+G82/100)*(1+G114/100)-1)*100</f>
        <v>-9.4062519999999932</v>
      </c>
      <c r="H146" s="600"/>
      <c r="N146" s="601">
        <f>SUM(N139:N143)</f>
        <v>1.23596361E-2</v>
      </c>
      <c r="O146" s="602">
        <f>SUM(O139:O143)</f>
        <v>0.1202960934</v>
      </c>
    </row>
    <row r="150" spans="2:16" ht="15.75" x14ac:dyDescent="0.25">
      <c r="N150" s="619" t="s">
        <v>488</v>
      </c>
      <c r="O150" s="620"/>
      <c r="P150" s="621">
        <f>+(F146-G146)/100</f>
        <v>0.1326557294999996</v>
      </c>
    </row>
    <row r="151" spans="2:16" x14ac:dyDescent="0.2">
      <c r="N151" s="622"/>
      <c r="O151" s="609"/>
      <c r="P151" s="623"/>
    </row>
    <row r="152" spans="2:16" x14ac:dyDescent="0.2">
      <c r="N152" s="622" t="s">
        <v>477</v>
      </c>
      <c r="O152" s="609"/>
      <c r="P152" s="624">
        <f>+N146</f>
        <v>1.23596361E-2</v>
      </c>
    </row>
    <row r="153" spans="2:16" x14ac:dyDescent="0.2">
      <c r="N153" s="622" t="s">
        <v>531</v>
      </c>
      <c r="O153" s="609"/>
      <c r="P153" s="624">
        <f>+O146</f>
        <v>0.1202960934</v>
      </c>
    </row>
    <row r="154" spans="2:16" x14ac:dyDescent="0.2">
      <c r="N154" s="622" t="s">
        <v>0</v>
      </c>
      <c r="O154" s="609"/>
      <c r="P154" s="624" t="s">
        <v>0</v>
      </c>
    </row>
    <row r="155" spans="2:16" x14ac:dyDescent="0.2">
      <c r="N155" s="625" t="s">
        <v>141</v>
      </c>
      <c r="O155" s="626"/>
      <c r="P155" s="627">
        <f>+P150-P152-P153</f>
        <v>-4.0245584642661925E-16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AD2E-016C-4D8C-833F-138CD6329874}">
  <dimension ref="B3:S155"/>
  <sheetViews>
    <sheetView topLeftCell="A113" workbookViewId="0">
      <selection activeCell="G127" sqref="G127"/>
    </sheetView>
  </sheetViews>
  <sheetFormatPr defaultRowHeight="12.75" x14ac:dyDescent="0.2"/>
  <cols>
    <col min="1" max="1" width="9.140625" style="556"/>
    <col min="2" max="2" width="15.7109375" style="556" customWidth="1"/>
    <col min="3" max="4" width="9.140625" style="556"/>
    <col min="5" max="5" width="2.7109375" style="556" customWidth="1"/>
    <col min="6" max="7" width="10.7109375" style="556" customWidth="1"/>
    <col min="8" max="9" width="9.140625" style="556"/>
    <col min="10" max="11" width="10.7109375" style="556" customWidth="1"/>
    <col min="12" max="13" width="9.140625" style="556"/>
    <col min="14" max="15" width="10.7109375" style="556" customWidth="1"/>
    <col min="16" max="257" width="9.140625" style="556"/>
    <col min="258" max="258" width="15.7109375" style="556" customWidth="1"/>
    <col min="259" max="260" width="9.140625" style="556"/>
    <col min="261" max="261" width="2.7109375" style="556" customWidth="1"/>
    <col min="262" max="263" width="10.7109375" style="556" customWidth="1"/>
    <col min="264" max="265" width="9.140625" style="556"/>
    <col min="266" max="267" width="10.7109375" style="556" customWidth="1"/>
    <col min="268" max="269" width="9.140625" style="556"/>
    <col min="270" max="271" width="10.7109375" style="556" customWidth="1"/>
    <col min="272" max="513" width="9.140625" style="556"/>
    <col min="514" max="514" width="15.7109375" style="556" customWidth="1"/>
    <col min="515" max="516" width="9.140625" style="556"/>
    <col min="517" max="517" width="2.7109375" style="556" customWidth="1"/>
    <col min="518" max="519" width="10.7109375" style="556" customWidth="1"/>
    <col min="520" max="521" width="9.140625" style="556"/>
    <col min="522" max="523" width="10.7109375" style="556" customWidth="1"/>
    <col min="524" max="525" width="9.140625" style="556"/>
    <col min="526" max="527" width="10.7109375" style="556" customWidth="1"/>
    <col min="528" max="769" width="9.140625" style="556"/>
    <col min="770" max="770" width="15.7109375" style="556" customWidth="1"/>
    <col min="771" max="772" width="9.140625" style="556"/>
    <col min="773" max="773" width="2.7109375" style="556" customWidth="1"/>
    <col min="774" max="775" width="10.7109375" style="556" customWidth="1"/>
    <col min="776" max="777" width="9.140625" style="556"/>
    <col min="778" max="779" width="10.7109375" style="556" customWidth="1"/>
    <col min="780" max="781" width="9.140625" style="556"/>
    <col min="782" max="783" width="10.7109375" style="556" customWidth="1"/>
    <col min="784" max="1025" width="9.140625" style="556"/>
    <col min="1026" max="1026" width="15.7109375" style="556" customWidth="1"/>
    <col min="1027" max="1028" width="9.140625" style="556"/>
    <col min="1029" max="1029" width="2.7109375" style="556" customWidth="1"/>
    <col min="1030" max="1031" width="10.7109375" style="556" customWidth="1"/>
    <col min="1032" max="1033" width="9.140625" style="556"/>
    <col min="1034" max="1035" width="10.7109375" style="556" customWidth="1"/>
    <col min="1036" max="1037" width="9.140625" style="556"/>
    <col min="1038" max="1039" width="10.7109375" style="556" customWidth="1"/>
    <col min="1040" max="1281" width="9.140625" style="556"/>
    <col min="1282" max="1282" width="15.7109375" style="556" customWidth="1"/>
    <col min="1283" max="1284" width="9.140625" style="556"/>
    <col min="1285" max="1285" width="2.7109375" style="556" customWidth="1"/>
    <col min="1286" max="1287" width="10.7109375" style="556" customWidth="1"/>
    <col min="1288" max="1289" width="9.140625" style="556"/>
    <col min="1290" max="1291" width="10.7109375" style="556" customWidth="1"/>
    <col min="1292" max="1293" width="9.140625" style="556"/>
    <col min="1294" max="1295" width="10.7109375" style="556" customWidth="1"/>
    <col min="1296" max="1537" width="9.140625" style="556"/>
    <col min="1538" max="1538" width="15.7109375" style="556" customWidth="1"/>
    <col min="1539" max="1540" width="9.140625" style="556"/>
    <col min="1541" max="1541" width="2.7109375" style="556" customWidth="1"/>
    <col min="1542" max="1543" width="10.7109375" style="556" customWidth="1"/>
    <col min="1544" max="1545" width="9.140625" style="556"/>
    <col min="1546" max="1547" width="10.7109375" style="556" customWidth="1"/>
    <col min="1548" max="1549" width="9.140625" style="556"/>
    <col min="1550" max="1551" width="10.7109375" style="556" customWidth="1"/>
    <col min="1552" max="1793" width="9.140625" style="556"/>
    <col min="1794" max="1794" width="15.7109375" style="556" customWidth="1"/>
    <col min="1795" max="1796" width="9.140625" style="556"/>
    <col min="1797" max="1797" width="2.7109375" style="556" customWidth="1"/>
    <col min="1798" max="1799" width="10.7109375" style="556" customWidth="1"/>
    <col min="1800" max="1801" width="9.140625" style="556"/>
    <col min="1802" max="1803" width="10.7109375" style="556" customWidth="1"/>
    <col min="1804" max="1805" width="9.140625" style="556"/>
    <col min="1806" max="1807" width="10.7109375" style="556" customWidth="1"/>
    <col min="1808" max="2049" width="9.140625" style="556"/>
    <col min="2050" max="2050" width="15.7109375" style="556" customWidth="1"/>
    <col min="2051" max="2052" width="9.140625" style="556"/>
    <col min="2053" max="2053" width="2.7109375" style="556" customWidth="1"/>
    <col min="2054" max="2055" width="10.7109375" style="556" customWidth="1"/>
    <col min="2056" max="2057" width="9.140625" style="556"/>
    <col min="2058" max="2059" width="10.7109375" style="556" customWidth="1"/>
    <col min="2060" max="2061" width="9.140625" style="556"/>
    <col min="2062" max="2063" width="10.7109375" style="556" customWidth="1"/>
    <col min="2064" max="2305" width="9.140625" style="556"/>
    <col min="2306" max="2306" width="15.7109375" style="556" customWidth="1"/>
    <col min="2307" max="2308" width="9.140625" style="556"/>
    <col min="2309" max="2309" width="2.7109375" style="556" customWidth="1"/>
    <col min="2310" max="2311" width="10.7109375" style="556" customWidth="1"/>
    <col min="2312" max="2313" width="9.140625" style="556"/>
    <col min="2314" max="2315" width="10.7109375" style="556" customWidth="1"/>
    <col min="2316" max="2317" width="9.140625" style="556"/>
    <col min="2318" max="2319" width="10.7109375" style="556" customWidth="1"/>
    <col min="2320" max="2561" width="9.140625" style="556"/>
    <col min="2562" max="2562" width="15.7109375" style="556" customWidth="1"/>
    <col min="2563" max="2564" width="9.140625" style="556"/>
    <col min="2565" max="2565" width="2.7109375" style="556" customWidth="1"/>
    <col min="2566" max="2567" width="10.7109375" style="556" customWidth="1"/>
    <col min="2568" max="2569" width="9.140625" style="556"/>
    <col min="2570" max="2571" width="10.7109375" style="556" customWidth="1"/>
    <col min="2572" max="2573" width="9.140625" style="556"/>
    <col min="2574" max="2575" width="10.7109375" style="556" customWidth="1"/>
    <col min="2576" max="2817" width="9.140625" style="556"/>
    <col min="2818" max="2818" width="15.7109375" style="556" customWidth="1"/>
    <col min="2819" max="2820" width="9.140625" style="556"/>
    <col min="2821" max="2821" width="2.7109375" style="556" customWidth="1"/>
    <col min="2822" max="2823" width="10.7109375" style="556" customWidth="1"/>
    <col min="2824" max="2825" width="9.140625" style="556"/>
    <col min="2826" max="2827" width="10.7109375" style="556" customWidth="1"/>
    <col min="2828" max="2829" width="9.140625" style="556"/>
    <col min="2830" max="2831" width="10.7109375" style="556" customWidth="1"/>
    <col min="2832" max="3073" width="9.140625" style="556"/>
    <col min="3074" max="3074" width="15.7109375" style="556" customWidth="1"/>
    <col min="3075" max="3076" width="9.140625" style="556"/>
    <col min="3077" max="3077" width="2.7109375" style="556" customWidth="1"/>
    <col min="3078" max="3079" width="10.7109375" style="556" customWidth="1"/>
    <col min="3080" max="3081" width="9.140625" style="556"/>
    <col min="3082" max="3083" width="10.7109375" style="556" customWidth="1"/>
    <col min="3084" max="3085" width="9.140625" style="556"/>
    <col min="3086" max="3087" width="10.7109375" style="556" customWidth="1"/>
    <col min="3088" max="3329" width="9.140625" style="556"/>
    <col min="3330" max="3330" width="15.7109375" style="556" customWidth="1"/>
    <col min="3331" max="3332" width="9.140625" style="556"/>
    <col min="3333" max="3333" width="2.7109375" style="556" customWidth="1"/>
    <col min="3334" max="3335" width="10.7109375" style="556" customWidth="1"/>
    <col min="3336" max="3337" width="9.140625" style="556"/>
    <col min="3338" max="3339" width="10.7109375" style="556" customWidth="1"/>
    <col min="3340" max="3341" width="9.140625" style="556"/>
    <col min="3342" max="3343" width="10.7109375" style="556" customWidth="1"/>
    <col min="3344" max="3585" width="9.140625" style="556"/>
    <col min="3586" max="3586" width="15.7109375" style="556" customWidth="1"/>
    <col min="3587" max="3588" width="9.140625" style="556"/>
    <col min="3589" max="3589" width="2.7109375" style="556" customWidth="1"/>
    <col min="3590" max="3591" width="10.7109375" style="556" customWidth="1"/>
    <col min="3592" max="3593" width="9.140625" style="556"/>
    <col min="3594" max="3595" width="10.7109375" style="556" customWidth="1"/>
    <col min="3596" max="3597" width="9.140625" style="556"/>
    <col min="3598" max="3599" width="10.7109375" style="556" customWidth="1"/>
    <col min="3600" max="3841" width="9.140625" style="556"/>
    <col min="3842" max="3842" width="15.7109375" style="556" customWidth="1"/>
    <col min="3843" max="3844" width="9.140625" style="556"/>
    <col min="3845" max="3845" width="2.7109375" style="556" customWidth="1"/>
    <col min="3846" max="3847" width="10.7109375" style="556" customWidth="1"/>
    <col min="3848" max="3849" width="9.140625" style="556"/>
    <col min="3850" max="3851" width="10.7109375" style="556" customWidth="1"/>
    <col min="3852" max="3853" width="9.140625" style="556"/>
    <col min="3854" max="3855" width="10.7109375" style="556" customWidth="1"/>
    <col min="3856" max="4097" width="9.140625" style="556"/>
    <col min="4098" max="4098" width="15.7109375" style="556" customWidth="1"/>
    <col min="4099" max="4100" width="9.140625" style="556"/>
    <col min="4101" max="4101" width="2.7109375" style="556" customWidth="1"/>
    <col min="4102" max="4103" width="10.7109375" style="556" customWidth="1"/>
    <col min="4104" max="4105" width="9.140625" style="556"/>
    <col min="4106" max="4107" width="10.7109375" style="556" customWidth="1"/>
    <col min="4108" max="4109" width="9.140625" style="556"/>
    <col min="4110" max="4111" width="10.7109375" style="556" customWidth="1"/>
    <col min="4112" max="4353" width="9.140625" style="556"/>
    <col min="4354" max="4354" width="15.7109375" style="556" customWidth="1"/>
    <col min="4355" max="4356" width="9.140625" style="556"/>
    <col min="4357" max="4357" width="2.7109375" style="556" customWidth="1"/>
    <col min="4358" max="4359" width="10.7109375" style="556" customWidth="1"/>
    <col min="4360" max="4361" width="9.140625" style="556"/>
    <col min="4362" max="4363" width="10.7109375" style="556" customWidth="1"/>
    <col min="4364" max="4365" width="9.140625" style="556"/>
    <col min="4366" max="4367" width="10.7109375" style="556" customWidth="1"/>
    <col min="4368" max="4609" width="9.140625" style="556"/>
    <col min="4610" max="4610" width="15.7109375" style="556" customWidth="1"/>
    <col min="4611" max="4612" width="9.140625" style="556"/>
    <col min="4613" max="4613" width="2.7109375" style="556" customWidth="1"/>
    <col min="4614" max="4615" width="10.7109375" style="556" customWidth="1"/>
    <col min="4616" max="4617" width="9.140625" style="556"/>
    <col min="4618" max="4619" width="10.7109375" style="556" customWidth="1"/>
    <col min="4620" max="4621" width="9.140625" style="556"/>
    <col min="4622" max="4623" width="10.7109375" style="556" customWidth="1"/>
    <col min="4624" max="4865" width="9.140625" style="556"/>
    <col min="4866" max="4866" width="15.7109375" style="556" customWidth="1"/>
    <col min="4867" max="4868" width="9.140625" style="556"/>
    <col min="4869" max="4869" width="2.7109375" style="556" customWidth="1"/>
    <col min="4870" max="4871" width="10.7109375" style="556" customWidth="1"/>
    <col min="4872" max="4873" width="9.140625" style="556"/>
    <col min="4874" max="4875" width="10.7109375" style="556" customWidth="1"/>
    <col min="4876" max="4877" width="9.140625" style="556"/>
    <col min="4878" max="4879" width="10.7109375" style="556" customWidth="1"/>
    <col min="4880" max="5121" width="9.140625" style="556"/>
    <col min="5122" max="5122" width="15.7109375" style="556" customWidth="1"/>
    <col min="5123" max="5124" width="9.140625" style="556"/>
    <col min="5125" max="5125" width="2.7109375" style="556" customWidth="1"/>
    <col min="5126" max="5127" width="10.7109375" style="556" customWidth="1"/>
    <col min="5128" max="5129" width="9.140625" style="556"/>
    <col min="5130" max="5131" width="10.7109375" style="556" customWidth="1"/>
    <col min="5132" max="5133" width="9.140625" style="556"/>
    <col min="5134" max="5135" width="10.7109375" style="556" customWidth="1"/>
    <col min="5136" max="5377" width="9.140625" style="556"/>
    <col min="5378" max="5378" width="15.7109375" style="556" customWidth="1"/>
    <col min="5379" max="5380" width="9.140625" style="556"/>
    <col min="5381" max="5381" width="2.7109375" style="556" customWidth="1"/>
    <col min="5382" max="5383" width="10.7109375" style="556" customWidth="1"/>
    <col min="5384" max="5385" width="9.140625" style="556"/>
    <col min="5386" max="5387" width="10.7109375" style="556" customWidth="1"/>
    <col min="5388" max="5389" width="9.140625" style="556"/>
    <col min="5390" max="5391" width="10.7109375" style="556" customWidth="1"/>
    <col min="5392" max="5633" width="9.140625" style="556"/>
    <col min="5634" max="5634" width="15.7109375" style="556" customWidth="1"/>
    <col min="5635" max="5636" width="9.140625" style="556"/>
    <col min="5637" max="5637" width="2.7109375" style="556" customWidth="1"/>
    <col min="5638" max="5639" width="10.7109375" style="556" customWidth="1"/>
    <col min="5640" max="5641" width="9.140625" style="556"/>
    <col min="5642" max="5643" width="10.7109375" style="556" customWidth="1"/>
    <col min="5644" max="5645" width="9.140625" style="556"/>
    <col min="5646" max="5647" width="10.7109375" style="556" customWidth="1"/>
    <col min="5648" max="5889" width="9.140625" style="556"/>
    <col min="5890" max="5890" width="15.7109375" style="556" customWidth="1"/>
    <col min="5891" max="5892" width="9.140625" style="556"/>
    <col min="5893" max="5893" width="2.7109375" style="556" customWidth="1"/>
    <col min="5894" max="5895" width="10.7109375" style="556" customWidth="1"/>
    <col min="5896" max="5897" width="9.140625" style="556"/>
    <col min="5898" max="5899" width="10.7109375" style="556" customWidth="1"/>
    <col min="5900" max="5901" width="9.140625" style="556"/>
    <col min="5902" max="5903" width="10.7109375" style="556" customWidth="1"/>
    <col min="5904" max="6145" width="9.140625" style="556"/>
    <col min="6146" max="6146" width="15.7109375" style="556" customWidth="1"/>
    <col min="6147" max="6148" width="9.140625" style="556"/>
    <col min="6149" max="6149" width="2.7109375" style="556" customWidth="1"/>
    <col min="6150" max="6151" width="10.7109375" style="556" customWidth="1"/>
    <col min="6152" max="6153" width="9.140625" style="556"/>
    <col min="6154" max="6155" width="10.7109375" style="556" customWidth="1"/>
    <col min="6156" max="6157" width="9.140625" style="556"/>
    <col min="6158" max="6159" width="10.7109375" style="556" customWidth="1"/>
    <col min="6160" max="6401" width="9.140625" style="556"/>
    <col min="6402" max="6402" width="15.7109375" style="556" customWidth="1"/>
    <col min="6403" max="6404" width="9.140625" style="556"/>
    <col min="6405" max="6405" width="2.7109375" style="556" customWidth="1"/>
    <col min="6406" max="6407" width="10.7109375" style="556" customWidth="1"/>
    <col min="6408" max="6409" width="9.140625" style="556"/>
    <col min="6410" max="6411" width="10.7109375" style="556" customWidth="1"/>
    <col min="6412" max="6413" width="9.140625" style="556"/>
    <col min="6414" max="6415" width="10.7109375" style="556" customWidth="1"/>
    <col min="6416" max="6657" width="9.140625" style="556"/>
    <col min="6658" max="6658" width="15.7109375" style="556" customWidth="1"/>
    <col min="6659" max="6660" width="9.140625" style="556"/>
    <col min="6661" max="6661" width="2.7109375" style="556" customWidth="1"/>
    <col min="6662" max="6663" width="10.7109375" style="556" customWidth="1"/>
    <col min="6664" max="6665" width="9.140625" style="556"/>
    <col min="6666" max="6667" width="10.7109375" style="556" customWidth="1"/>
    <col min="6668" max="6669" width="9.140625" style="556"/>
    <col min="6670" max="6671" width="10.7109375" style="556" customWidth="1"/>
    <col min="6672" max="6913" width="9.140625" style="556"/>
    <col min="6914" max="6914" width="15.7109375" style="556" customWidth="1"/>
    <col min="6915" max="6916" width="9.140625" style="556"/>
    <col min="6917" max="6917" width="2.7109375" style="556" customWidth="1"/>
    <col min="6918" max="6919" width="10.7109375" style="556" customWidth="1"/>
    <col min="6920" max="6921" width="9.140625" style="556"/>
    <col min="6922" max="6923" width="10.7109375" style="556" customWidth="1"/>
    <col min="6924" max="6925" width="9.140625" style="556"/>
    <col min="6926" max="6927" width="10.7109375" style="556" customWidth="1"/>
    <col min="6928" max="7169" width="9.140625" style="556"/>
    <col min="7170" max="7170" width="15.7109375" style="556" customWidth="1"/>
    <col min="7171" max="7172" width="9.140625" style="556"/>
    <col min="7173" max="7173" width="2.7109375" style="556" customWidth="1"/>
    <col min="7174" max="7175" width="10.7109375" style="556" customWidth="1"/>
    <col min="7176" max="7177" width="9.140625" style="556"/>
    <col min="7178" max="7179" width="10.7109375" style="556" customWidth="1"/>
    <col min="7180" max="7181" width="9.140625" style="556"/>
    <col min="7182" max="7183" width="10.7109375" style="556" customWidth="1"/>
    <col min="7184" max="7425" width="9.140625" style="556"/>
    <col min="7426" max="7426" width="15.7109375" style="556" customWidth="1"/>
    <col min="7427" max="7428" width="9.140625" style="556"/>
    <col min="7429" max="7429" width="2.7109375" style="556" customWidth="1"/>
    <col min="7430" max="7431" width="10.7109375" style="556" customWidth="1"/>
    <col min="7432" max="7433" width="9.140625" style="556"/>
    <col min="7434" max="7435" width="10.7109375" style="556" customWidth="1"/>
    <col min="7436" max="7437" width="9.140625" style="556"/>
    <col min="7438" max="7439" width="10.7109375" style="556" customWidth="1"/>
    <col min="7440" max="7681" width="9.140625" style="556"/>
    <col min="7682" max="7682" width="15.7109375" style="556" customWidth="1"/>
    <col min="7683" max="7684" width="9.140625" style="556"/>
    <col min="7685" max="7685" width="2.7109375" style="556" customWidth="1"/>
    <col min="7686" max="7687" width="10.7109375" style="556" customWidth="1"/>
    <col min="7688" max="7689" width="9.140625" style="556"/>
    <col min="7690" max="7691" width="10.7109375" style="556" customWidth="1"/>
    <col min="7692" max="7693" width="9.140625" style="556"/>
    <col min="7694" max="7695" width="10.7109375" style="556" customWidth="1"/>
    <col min="7696" max="7937" width="9.140625" style="556"/>
    <col min="7938" max="7938" width="15.7109375" style="556" customWidth="1"/>
    <col min="7939" max="7940" width="9.140625" style="556"/>
    <col min="7941" max="7941" width="2.7109375" style="556" customWidth="1"/>
    <col min="7942" max="7943" width="10.7109375" style="556" customWidth="1"/>
    <col min="7944" max="7945" width="9.140625" style="556"/>
    <col min="7946" max="7947" width="10.7109375" style="556" customWidth="1"/>
    <col min="7948" max="7949" width="9.140625" style="556"/>
    <col min="7950" max="7951" width="10.7109375" style="556" customWidth="1"/>
    <col min="7952" max="8193" width="9.140625" style="556"/>
    <col min="8194" max="8194" width="15.7109375" style="556" customWidth="1"/>
    <col min="8195" max="8196" width="9.140625" style="556"/>
    <col min="8197" max="8197" width="2.7109375" style="556" customWidth="1"/>
    <col min="8198" max="8199" width="10.7109375" style="556" customWidth="1"/>
    <col min="8200" max="8201" width="9.140625" style="556"/>
    <col min="8202" max="8203" width="10.7109375" style="556" customWidth="1"/>
    <col min="8204" max="8205" width="9.140625" style="556"/>
    <col min="8206" max="8207" width="10.7109375" style="556" customWidth="1"/>
    <col min="8208" max="8449" width="9.140625" style="556"/>
    <col min="8450" max="8450" width="15.7109375" style="556" customWidth="1"/>
    <col min="8451" max="8452" width="9.140625" style="556"/>
    <col min="8453" max="8453" width="2.7109375" style="556" customWidth="1"/>
    <col min="8454" max="8455" width="10.7109375" style="556" customWidth="1"/>
    <col min="8456" max="8457" width="9.140625" style="556"/>
    <col min="8458" max="8459" width="10.7109375" style="556" customWidth="1"/>
    <col min="8460" max="8461" width="9.140625" style="556"/>
    <col min="8462" max="8463" width="10.7109375" style="556" customWidth="1"/>
    <col min="8464" max="8705" width="9.140625" style="556"/>
    <col min="8706" max="8706" width="15.7109375" style="556" customWidth="1"/>
    <col min="8707" max="8708" width="9.140625" style="556"/>
    <col min="8709" max="8709" width="2.7109375" style="556" customWidth="1"/>
    <col min="8710" max="8711" width="10.7109375" style="556" customWidth="1"/>
    <col min="8712" max="8713" width="9.140625" style="556"/>
    <col min="8714" max="8715" width="10.7109375" style="556" customWidth="1"/>
    <col min="8716" max="8717" width="9.140625" style="556"/>
    <col min="8718" max="8719" width="10.7109375" style="556" customWidth="1"/>
    <col min="8720" max="8961" width="9.140625" style="556"/>
    <col min="8962" max="8962" width="15.7109375" style="556" customWidth="1"/>
    <col min="8963" max="8964" width="9.140625" style="556"/>
    <col min="8965" max="8965" width="2.7109375" style="556" customWidth="1"/>
    <col min="8966" max="8967" width="10.7109375" style="556" customWidth="1"/>
    <col min="8968" max="8969" width="9.140625" style="556"/>
    <col min="8970" max="8971" width="10.7109375" style="556" customWidth="1"/>
    <col min="8972" max="8973" width="9.140625" style="556"/>
    <col min="8974" max="8975" width="10.7109375" style="556" customWidth="1"/>
    <col min="8976" max="9217" width="9.140625" style="556"/>
    <col min="9218" max="9218" width="15.7109375" style="556" customWidth="1"/>
    <col min="9219" max="9220" width="9.140625" style="556"/>
    <col min="9221" max="9221" width="2.7109375" style="556" customWidth="1"/>
    <col min="9222" max="9223" width="10.7109375" style="556" customWidth="1"/>
    <col min="9224" max="9225" width="9.140625" style="556"/>
    <col min="9226" max="9227" width="10.7109375" style="556" customWidth="1"/>
    <col min="9228" max="9229" width="9.140625" style="556"/>
    <col min="9230" max="9231" width="10.7109375" style="556" customWidth="1"/>
    <col min="9232" max="9473" width="9.140625" style="556"/>
    <col min="9474" max="9474" width="15.7109375" style="556" customWidth="1"/>
    <col min="9475" max="9476" width="9.140625" style="556"/>
    <col min="9477" max="9477" width="2.7109375" style="556" customWidth="1"/>
    <col min="9478" max="9479" width="10.7109375" style="556" customWidth="1"/>
    <col min="9480" max="9481" width="9.140625" style="556"/>
    <col min="9482" max="9483" width="10.7109375" style="556" customWidth="1"/>
    <col min="9484" max="9485" width="9.140625" style="556"/>
    <col min="9486" max="9487" width="10.7109375" style="556" customWidth="1"/>
    <col min="9488" max="9729" width="9.140625" style="556"/>
    <col min="9730" max="9730" width="15.7109375" style="556" customWidth="1"/>
    <col min="9731" max="9732" width="9.140625" style="556"/>
    <col min="9733" max="9733" width="2.7109375" style="556" customWidth="1"/>
    <col min="9734" max="9735" width="10.7109375" style="556" customWidth="1"/>
    <col min="9736" max="9737" width="9.140625" style="556"/>
    <col min="9738" max="9739" width="10.7109375" style="556" customWidth="1"/>
    <col min="9740" max="9741" width="9.140625" style="556"/>
    <col min="9742" max="9743" width="10.7109375" style="556" customWidth="1"/>
    <col min="9744" max="9985" width="9.140625" style="556"/>
    <col min="9986" max="9986" width="15.7109375" style="556" customWidth="1"/>
    <col min="9987" max="9988" width="9.140625" style="556"/>
    <col min="9989" max="9989" width="2.7109375" style="556" customWidth="1"/>
    <col min="9990" max="9991" width="10.7109375" style="556" customWidth="1"/>
    <col min="9992" max="9993" width="9.140625" style="556"/>
    <col min="9994" max="9995" width="10.7109375" style="556" customWidth="1"/>
    <col min="9996" max="9997" width="9.140625" style="556"/>
    <col min="9998" max="9999" width="10.7109375" style="556" customWidth="1"/>
    <col min="10000" max="10241" width="9.140625" style="556"/>
    <col min="10242" max="10242" width="15.7109375" style="556" customWidth="1"/>
    <col min="10243" max="10244" width="9.140625" style="556"/>
    <col min="10245" max="10245" width="2.7109375" style="556" customWidth="1"/>
    <col min="10246" max="10247" width="10.7109375" style="556" customWidth="1"/>
    <col min="10248" max="10249" width="9.140625" style="556"/>
    <col min="10250" max="10251" width="10.7109375" style="556" customWidth="1"/>
    <col min="10252" max="10253" width="9.140625" style="556"/>
    <col min="10254" max="10255" width="10.7109375" style="556" customWidth="1"/>
    <col min="10256" max="10497" width="9.140625" style="556"/>
    <col min="10498" max="10498" width="15.7109375" style="556" customWidth="1"/>
    <col min="10499" max="10500" width="9.140625" style="556"/>
    <col min="10501" max="10501" width="2.7109375" style="556" customWidth="1"/>
    <col min="10502" max="10503" width="10.7109375" style="556" customWidth="1"/>
    <col min="10504" max="10505" width="9.140625" style="556"/>
    <col min="10506" max="10507" width="10.7109375" style="556" customWidth="1"/>
    <col min="10508" max="10509" width="9.140625" style="556"/>
    <col min="10510" max="10511" width="10.7109375" style="556" customWidth="1"/>
    <col min="10512" max="10753" width="9.140625" style="556"/>
    <col min="10754" max="10754" width="15.7109375" style="556" customWidth="1"/>
    <col min="10755" max="10756" width="9.140625" style="556"/>
    <col min="10757" max="10757" width="2.7109375" style="556" customWidth="1"/>
    <col min="10758" max="10759" width="10.7109375" style="556" customWidth="1"/>
    <col min="10760" max="10761" width="9.140625" style="556"/>
    <col min="10762" max="10763" width="10.7109375" style="556" customWidth="1"/>
    <col min="10764" max="10765" width="9.140625" style="556"/>
    <col min="10766" max="10767" width="10.7109375" style="556" customWidth="1"/>
    <col min="10768" max="11009" width="9.140625" style="556"/>
    <col min="11010" max="11010" width="15.7109375" style="556" customWidth="1"/>
    <col min="11011" max="11012" width="9.140625" style="556"/>
    <col min="11013" max="11013" width="2.7109375" style="556" customWidth="1"/>
    <col min="11014" max="11015" width="10.7109375" style="556" customWidth="1"/>
    <col min="11016" max="11017" width="9.140625" style="556"/>
    <col min="11018" max="11019" width="10.7109375" style="556" customWidth="1"/>
    <col min="11020" max="11021" width="9.140625" style="556"/>
    <col min="11022" max="11023" width="10.7109375" style="556" customWidth="1"/>
    <col min="11024" max="11265" width="9.140625" style="556"/>
    <col min="11266" max="11266" width="15.7109375" style="556" customWidth="1"/>
    <col min="11267" max="11268" width="9.140625" style="556"/>
    <col min="11269" max="11269" width="2.7109375" style="556" customWidth="1"/>
    <col min="11270" max="11271" width="10.7109375" style="556" customWidth="1"/>
    <col min="11272" max="11273" width="9.140625" style="556"/>
    <col min="11274" max="11275" width="10.7109375" style="556" customWidth="1"/>
    <col min="11276" max="11277" width="9.140625" style="556"/>
    <col min="11278" max="11279" width="10.7109375" style="556" customWidth="1"/>
    <col min="11280" max="11521" width="9.140625" style="556"/>
    <col min="11522" max="11522" width="15.7109375" style="556" customWidth="1"/>
    <col min="11523" max="11524" width="9.140625" style="556"/>
    <col min="11525" max="11525" width="2.7109375" style="556" customWidth="1"/>
    <col min="11526" max="11527" width="10.7109375" style="556" customWidth="1"/>
    <col min="11528" max="11529" width="9.140625" style="556"/>
    <col min="11530" max="11531" width="10.7109375" style="556" customWidth="1"/>
    <col min="11532" max="11533" width="9.140625" style="556"/>
    <col min="11534" max="11535" width="10.7109375" style="556" customWidth="1"/>
    <col min="11536" max="11777" width="9.140625" style="556"/>
    <col min="11778" max="11778" width="15.7109375" style="556" customWidth="1"/>
    <col min="11779" max="11780" width="9.140625" style="556"/>
    <col min="11781" max="11781" width="2.7109375" style="556" customWidth="1"/>
    <col min="11782" max="11783" width="10.7109375" style="556" customWidth="1"/>
    <col min="11784" max="11785" width="9.140625" style="556"/>
    <col min="11786" max="11787" width="10.7109375" style="556" customWidth="1"/>
    <col min="11788" max="11789" width="9.140625" style="556"/>
    <col min="11790" max="11791" width="10.7109375" style="556" customWidth="1"/>
    <col min="11792" max="12033" width="9.140625" style="556"/>
    <col min="12034" max="12034" width="15.7109375" style="556" customWidth="1"/>
    <col min="12035" max="12036" width="9.140625" style="556"/>
    <col min="12037" max="12037" width="2.7109375" style="556" customWidth="1"/>
    <col min="12038" max="12039" width="10.7109375" style="556" customWidth="1"/>
    <col min="12040" max="12041" width="9.140625" style="556"/>
    <col min="12042" max="12043" width="10.7109375" style="556" customWidth="1"/>
    <col min="12044" max="12045" width="9.140625" style="556"/>
    <col min="12046" max="12047" width="10.7109375" style="556" customWidth="1"/>
    <col min="12048" max="12289" width="9.140625" style="556"/>
    <col min="12290" max="12290" width="15.7109375" style="556" customWidth="1"/>
    <col min="12291" max="12292" width="9.140625" style="556"/>
    <col min="12293" max="12293" width="2.7109375" style="556" customWidth="1"/>
    <col min="12294" max="12295" width="10.7109375" style="556" customWidth="1"/>
    <col min="12296" max="12297" width="9.140625" style="556"/>
    <col min="12298" max="12299" width="10.7109375" style="556" customWidth="1"/>
    <col min="12300" max="12301" width="9.140625" style="556"/>
    <col min="12302" max="12303" width="10.7109375" style="556" customWidth="1"/>
    <col min="12304" max="12545" width="9.140625" style="556"/>
    <col min="12546" max="12546" width="15.7109375" style="556" customWidth="1"/>
    <col min="12547" max="12548" width="9.140625" style="556"/>
    <col min="12549" max="12549" width="2.7109375" style="556" customWidth="1"/>
    <col min="12550" max="12551" width="10.7109375" style="556" customWidth="1"/>
    <col min="12552" max="12553" width="9.140625" style="556"/>
    <col min="12554" max="12555" width="10.7109375" style="556" customWidth="1"/>
    <col min="12556" max="12557" width="9.140625" style="556"/>
    <col min="12558" max="12559" width="10.7109375" style="556" customWidth="1"/>
    <col min="12560" max="12801" width="9.140625" style="556"/>
    <col min="12802" max="12802" width="15.7109375" style="556" customWidth="1"/>
    <col min="12803" max="12804" width="9.140625" style="556"/>
    <col min="12805" max="12805" width="2.7109375" style="556" customWidth="1"/>
    <col min="12806" max="12807" width="10.7109375" style="556" customWidth="1"/>
    <col min="12808" max="12809" width="9.140625" style="556"/>
    <col min="12810" max="12811" width="10.7109375" style="556" customWidth="1"/>
    <col min="12812" max="12813" width="9.140625" style="556"/>
    <col min="12814" max="12815" width="10.7109375" style="556" customWidth="1"/>
    <col min="12816" max="13057" width="9.140625" style="556"/>
    <col min="13058" max="13058" width="15.7109375" style="556" customWidth="1"/>
    <col min="13059" max="13060" width="9.140625" style="556"/>
    <col min="13061" max="13061" width="2.7109375" style="556" customWidth="1"/>
    <col min="13062" max="13063" width="10.7109375" style="556" customWidth="1"/>
    <col min="13064" max="13065" width="9.140625" style="556"/>
    <col min="13066" max="13067" width="10.7109375" style="556" customWidth="1"/>
    <col min="13068" max="13069" width="9.140625" style="556"/>
    <col min="13070" max="13071" width="10.7109375" style="556" customWidth="1"/>
    <col min="13072" max="13313" width="9.140625" style="556"/>
    <col min="13314" max="13314" width="15.7109375" style="556" customWidth="1"/>
    <col min="13315" max="13316" width="9.140625" style="556"/>
    <col min="13317" max="13317" width="2.7109375" style="556" customWidth="1"/>
    <col min="13318" max="13319" width="10.7109375" style="556" customWidth="1"/>
    <col min="13320" max="13321" width="9.140625" style="556"/>
    <col min="13322" max="13323" width="10.7109375" style="556" customWidth="1"/>
    <col min="13324" max="13325" width="9.140625" style="556"/>
    <col min="13326" max="13327" width="10.7109375" style="556" customWidth="1"/>
    <col min="13328" max="13569" width="9.140625" style="556"/>
    <col min="13570" max="13570" width="15.7109375" style="556" customWidth="1"/>
    <col min="13571" max="13572" width="9.140625" style="556"/>
    <col min="13573" max="13573" width="2.7109375" style="556" customWidth="1"/>
    <col min="13574" max="13575" width="10.7109375" style="556" customWidth="1"/>
    <col min="13576" max="13577" width="9.140625" style="556"/>
    <col min="13578" max="13579" width="10.7109375" style="556" customWidth="1"/>
    <col min="13580" max="13581" width="9.140625" style="556"/>
    <col min="13582" max="13583" width="10.7109375" style="556" customWidth="1"/>
    <col min="13584" max="13825" width="9.140625" style="556"/>
    <col min="13826" max="13826" width="15.7109375" style="556" customWidth="1"/>
    <col min="13827" max="13828" width="9.140625" style="556"/>
    <col min="13829" max="13829" width="2.7109375" style="556" customWidth="1"/>
    <col min="13830" max="13831" width="10.7109375" style="556" customWidth="1"/>
    <col min="13832" max="13833" width="9.140625" style="556"/>
    <col min="13834" max="13835" width="10.7109375" style="556" customWidth="1"/>
    <col min="13836" max="13837" width="9.140625" style="556"/>
    <col min="13838" max="13839" width="10.7109375" style="556" customWidth="1"/>
    <col min="13840" max="14081" width="9.140625" style="556"/>
    <col min="14082" max="14082" width="15.7109375" style="556" customWidth="1"/>
    <col min="14083" max="14084" width="9.140625" style="556"/>
    <col min="14085" max="14085" width="2.7109375" style="556" customWidth="1"/>
    <col min="14086" max="14087" width="10.7109375" style="556" customWidth="1"/>
    <col min="14088" max="14089" width="9.140625" style="556"/>
    <col min="14090" max="14091" width="10.7109375" style="556" customWidth="1"/>
    <col min="14092" max="14093" width="9.140625" style="556"/>
    <col min="14094" max="14095" width="10.7109375" style="556" customWidth="1"/>
    <col min="14096" max="14337" width="9.140625" style="556"/>
    <col min="14338" max="14338" width="15.7109375" style="556" customWidth="1"/>
    <col min="14339" max="14340" width="9.140625" style="556"/>
    <col min="14341" max="14341" width="2.7109375" style="556" customWidth="1"/>
    <col min="14342" max="14343" width="10.7109375" style="556" customWidth="1"/>
    <col min="14344" max="14345" width="9.140625" style="556"/>
    <col min="14346" max="14347" width="10.7109375" style="556" customWidth="1"/>
    <col min="14348" max="14349" width="9.140625" style="556"/>
    <col min="14350" max="14351" width="10.7109375" style="556" customWidth="1"/>
    <col min="14352" max="14593" width="9.140625" style="556"/>
    <col min="14594" max="14594" width="15.7109375" style="556" customWidth="1"/>
    <col min="14595" max="14596" width="9.140625" style="556"/>
    <col min="14597" max="14597" width="2.7109375" style="556" customWidth="1"/>
    <col min="14598" max="14599" width="10.7109375" style="556" customWidth="1"/>
    <col min="14600" max="14601" width="9.140625" style="556"/>
    <col min="14602" max="14603" width="10.7109375" style="556" customWidth="1"/>
    <col min="14604" max="14605" width="9.140625" style="556"/>
    <col min="14606" max="14607" width="10.7109375" style="556" customWidth="1"/>
    <col min="14608" max="14849" width="9.140625" style="556"/>
    <col min="14850" max="14850" width="15.7109375" style="556" customWidth="1"/>
    <col min="14851" max="14852" width="9.140625" style="556"/>
    <col min="14853" max="14853" width="2.7109375" style="556" customWidth="1"/>
    <col min="14854" max="14855" width="10.7109375" style="556" customWidth="1"/>
    <col min="14856" max="14857" width="9.140625" style="556"/>
    <col min="14858" max="14859" width="10.7109375" style="556" customWidth="1"/>
    <col min="14860" max="14861" width="9.140625" style="556"/>
    <col min="14862" max="14863" width="10.7109375" style="556" customWidth="1"/>
    <col min="14864" max="15105" width="9.140625" style="556"/>
    <col min="15106" max="15106" width="15.7109375" style="556" customWidth="1"/>
    <col min="15107" max="15108" width="9.140625" style="556"/>
    <col min="15109" max="15109" width="2.7109375" style="556" customWidth="1"/>
    <col min="15110" max="15111" width="10.7109375" style="556" customWidth="1"/>
    <col min="15112" max="15113" width="9.140625" style="556"/>
    <col min="15114" max="15115" width="10.7109375" style="556" customWidth="1"/>
    <col min="15116" max="15117" width="9.140625" style="556"/>
    <col min="15118" max="15119" width="10.7109375" style="556" customWidth="1"/>
    <col min="15120" max="15361" width="9.140625" style="556"/>
    <col min="15362" max="15362" width="15.7109375" style="556" customWidth="1"/>
    <col min="15363" max="15364" width="9.140625" style="556"/>
    <col min="15365" max="15365" width="2.7109375" style="556" customWidth="1"/>
    <col min="15366" max="15367" width="10.7109375" style="556" customWidth="1"/>
    <col min="15368" max="15369" width="9.140625" style="556"/>
    <col min="15370" max="15371" width="10.7109375" style="556" customWidth="1"/>
    <col min="15372" max="15373" width="9.140625" style="556"/>
    <col min="15374" max="15375" width="10.7109375" style="556" customWidth="1"/>
    <col min="15376" max="15617" width="9.140625" style="556"/>
    <col min="15618" max="15618" width="15.7109375" style="556" customWidth="1"/>
    <col min="15619" max="15620" width="9.140625" style="556"/>
    <col min="15621" max="15621" width="2.7109375" style="556" customWidth="1"/>
    <col min="15622" max="15623" width="10.7109375" style="556" customWidth="1"/>
    <col min="15624" max="15625" width="9.140625" style="556"/>
    <col min="15626" max="15627" width="10.7109375" style="556" customWidth="1"/>
    <col min="15628" max="15629" width="9.140625" style="556"/>
    <col min="15630" max="15631" width="10.7109375" style="556" customWidth="1"/>
    <col min="15632" max="15873" width="9.140625" style="556"/>
    <col min="15874" max="15874" width="15.7109375" style="556" customWidth="1"/>
    <col min="15875" max="15876" width="9.140625" style="556"/>
    <col min="15877" max="15877" width="2.7109375" style="556" customWidth="1"/>
    <col min="15878" max="15879" width="10.7109375" style="556" customWidth="1"/>
    <col min="15880" max="15881" width="9.140625" style="556"/>
    <col min="15882" max="15883" width="10.7109375" style="556" customWidth="1"/>
    <col min="15884" max="15885" width="9.140625" style="556"/>
    <col min="15886" max="15887" width="10.7109375" style="556" customWidth="1"/>
    <col min="15888" max="16129" width="9.140625" style="556"/>
    <col min="16130" max="16130" width="15.7109375" style="556" customWidth="1"/>
    <col min="16131" max="16132" width="9.140625" style="556"/>
    <col min="16133" max="16133" width="2.7109375" style="556" customWidth="1"/>
    <col min="16134" max="16135" width="10.7109375" style="556" customWidth="1"/>
    <col min="16136" max="16137" width="9.140625" style="556"/>
    <col min="16138" max="16139" width="10.7109375" style="556" customWidth="1"/>
    <col min="16140" max="16141" width="9.140625" style="556"/>
    <col min="16142" max="16143" width="10.7109375" style="556" customWidth="1"/>
    <col min="16144" max="16384" width="9.140625" style="556"/>
  </cols>
  <sheetData>
    <row r="3" spans="2:19" ht="20.25" x14ac:dyDescent="0.3">
      <c r="B3" s="555" t="s">
        <v>847</v>
      </c>
    </row>
    <row r="4" spans="2:19" ht="20.25" x14ac:dyDescent="0.3">
      <c r="C4" s="555" t="s">
        <v>0</v>
      </c>
    </row>
    <row r="5" spans="2:19" ht="13.5" thickBot="1" x14ac:dyDescent="0.25"/>
    <row r="6" spans="2:19" ht="15.75" x14ac:dyDescent="0.25">
      <c r="B6" s="987" t="s">
        <v>845</v>
      </c>
      <c r="C6" s="558" t="s">
        <v>1</v>
      </c>
      <c r="D6" s="558" t="s">
        <v>15</v>
      </c>
      <c r="E6" s="559"/>
      <c r="F6" s="560" t="s">
        <v>473</v>
      </c>
      <c r="G6" s="561" t="s">
        <v>15</v>
      </c>
      <c r="J6" s="562" t="s">
        <v>814</v>
      </c>
      <c r="K6" s="563"/>
      <c r="N6" s="863" t="s">
        <v>846</v>
      </c>
      <c r="O6" s="995"/>
      <c r="R6" s="575" t="s">
        <v>1</v>
      </c>
      <c r="S6" s="575" t="s">
        <v>15</v>
      </c>
    </row>
    <row r="7" spans="2:19" ht="15.75" x14ac:dyDescent="0.25">
      <c r="B7" s="989" t="s">
        <v>800</v>
      </c>
      <c r="C7" s="568" t="s">
        <v>328</v>
      </c>
      <c r="D7" s="568" t="s">
        <v>328</v>
      </c>
      <c r="E7" s="569"/>
      <c r="F7" s="570" t="s">
        <v>3</v>
      </c>
      <c r="G7" s="571" t="s">
        <v>3</v>
      </c>
      <c r="J7" s="635" t="s">
        <v>476</v>
      </c>
      <c r="K7" s="637" t="s">
        <v>477</v>
      </c>
      <c r="N7" s="725" t="s">
        <v>476</v>
      </c>
      <c r="O7" s="875" t="s">
        <v>477</v>
      </c>
      <c r="R7" s="575" t="s">
        <v>3</v>
      </c>
      <c r="S7" s="575" t="s">
        <v>3</v>
      </c>
    </row>
    <row r="8" spans="2:19" x14ac:dyDescent="0.2">
      <c r="B8" s="990" t="s">
        <v>387</v>
      </c>
      <c r="C8" s="578" t="s">
        <v>0</v>
      </c>
      <c r="D8" s="578" t="s">
        <v>0</v>
      </c>
      <c r="E8" s="579"/>
      <c r="F8" s="580" t="s">
        <v>0</v>
      </c>
      <c r="G8" s="581" t="s">
        <v>0</v>
      </c>
      <c r="J8" s="582" t="s">
        <v>483</v>
      </c>
      <c r="K8" s="583" t="s">
        <v>484</v>
      </c>
      <c r="N8" s="734" t="s">
        <v>483</v>
      </c>
      <c r="O8" s="910" t="s">
        <v>484</v>
      </c>
      <c r="R8" s="575" t="s">
        <v>223</v>
      </c>
      <c r="S8" s="575" t="s">
        <v>223</v>
      </c>
    </row>
    <row r="9" spans="2:19" x14ac:dyDescent="0.2">
      <c r="B9" s="567"/>
      <c r="C9" s="569"/>
      <c r="D9" s="569"/>
      <c r="E9" s="569"/>
      <c r="F9" s="586"/>
      <c r="G9" s="587"/>
      <c r="J9" s="572"/>
      <c r="K9" s="573"/>
      <c r="N9" s="622"/>
      <c r="O9" s="720"/>
      <c r="R9" s="594"/>
      <c r="S9" s="594"/>
    </row>
    <row r="10" spans="2:19" x14ac:dyDescent="0.2">
      <c r="B10" s="567"/>
      <c r="C10" s="569"/>
      <c r="D10" s="569"/>
      <c r="E10" s="569"/>
      <c r="F10" s="586"/>
      <c r="G10" s="587"/>
      <c r="J10" s="572"/>
      <c r="K10" s="573"/>
      <c r="N10" s="622"/>
      <c r="O10" s="623"/>
      <c r="R10" s="594"/>
      <c r="S10" s="594"/>
    </row>
    <row r="11" spans="2:19" x14ac:dyDescent="0.2">
      <c r="B11" s="567" t="s">
        <v>485</v>
      </c>
      <c r="C11" s="588">
        <v>0.4</v>
      </c>
      <c r="D11" s="588">
        <v>0.4</v>
      </c>
      <c r="E11" s="569"/>
      <c r="F11" s="589">
        <v>20</v>
      </c>
      <c r="G11" s="590">
        <v>10</v>
      </c>
      <c r="J11" s="591">
        <f>+(C11-D11)*(G11-G$18)/100</f>
        <v>0</v>
      </c>
      <c r="K11" s="592">
        <f>+C11*(F11-G11)/100</f>
        <v>0.04</v>
      </c>
      <c r="N11" s="746">
        <f>+J11</f>
        <v>0</v>
      </c>
      <c r="O11" s="898">
        <f>+K11</f>
        <v>0.04</v>
      </c>
      <c r="R11" s="594">
        <f>+C11*F11</f>
        <v>8</v>
      </c>
      <c r="S11" s="594">
        <f>+D11*G11</f>
        <v>4</v>
      </c>
    </row>
    <row r="12" spans="2:19" x14ac:dyDescent="0.2">
      <c r="B12" s="567"/>
      <c r="C12" s="588"/>
      <c r="D12" s="588"/>
      <c r="E12" s="569"/>
      <c r="F12" s="589"/>
      <c r="G12" s="590"/>
      <c r="J12" s="572"/>
      <c r="K12" s="573"/>
      <c r="N12" s="746"/>
      <c r="O12" s="898"/>
      <c r="R12" s="594"/>
      <c r="S12" s="594" t="s">
        <v>0</v>
      </c>
    </row>
    <row r="13" spans="2:19" x14ac:dyDescent="0.2">
      <c r="B13" s="567" t="s">
        <v>486</v>
      </c>
      <c r="C13" s="588">
        <v>0.3</v>
      </c>
      <c r="D13" s="588">
        <v>0.2</v>
      </c>
      <c r="E13" s="569"/>
      <c r="F13" s="589">
        <v>-5</v>
      </c>
      <c r="G13" s="590">
        <v>-4</v>
      </c>
      <c r="J13" s="591">
        <f>+(C13-D13)*(G13-G$18)/100</f>
        <v>-1.0399999999999998E-2</v>
      </c>
      <c r="K13" s="592">
        <f>+C13*(F13-G13)/100</f>
        <v>-3.0000000000000001E-3</v>
      </c>
      <c r="N13" s="746">
        <f>+J13</f>
        <v>-1.0399999999999998E-2</v>
      </c>
      <c r="O13" s="898">
        <f>+K13</f>
        <v>-3.0000000000000001E-3</v>
      </c>
      <c r="R13" s="594">
        <f>+C13*F13</f>
        <v>-1.5</v>
      </c>
      <c r="S13" s="594">
        <f>+D13*G13</f>
        <v>-0.8</v>
      </c>
    </row>
    <row r="14" spans="2:19" x14ac:dyDescent="0.2">
      <c r="B14" s="567"/>
      <c r="C14" s="588"/>
      <c r="D14" s="588"/>
      <c r="E14" s="569"/>
      <c r="F14" s="589"/>
      <c r="G14" s="590"/>
      <c r="J14" s="572"/>
      <c r="K14" s="573"/>
      <c r="N14" s="746"/>
      <c r="O14" s="898"/>
      <c r="R14" s="594"/>
      <c r="S14" s="594"/>
    </row>
    <row r="15" spans="2:19" x14ac:dyDescent="0.2">
      <c r="B15" s="567" t="s">
        <v>487</v>
      </c>
      <c r="C15" s="588">
        <v>0.3</v>
      </c>
      <c r="D15" s="588">
        <v>0.4</v>
      </c>
      <c r="E15" s="569"/>
      <c r="F15" s="589">
        <v>6</v>
      </c>
      <c r="G15" s="590">
        <v>8</v>
      </c>
      <c r="J15" s="591">
        <f>+(C15-D15)*(G15-G$18)/100</f>
        <v>-1.6000000000000003E-3</v>
      </c>
      <c r="K15" s="592">
        <f>+C15*(F15-G15)/100</f>
        <v>-6.0000000000000001E-3</v>
      </c>
      <c r="N15" s="746">
        <f>+J15</f>
        <v>-1.6000000000000003E-3</v>
      </c>
      <c r="O15" s="898">
        <f>+K15</f>
        <v>-6.0000000000000001E-3</v>
      </c>
      <c r="R15" s="594">
        <f>+C15*F15</f>
        <v>1.7999999999999998</v>
      </c>
      <c r="S15" s="594">
        <f>+D15*G15</f>
        <v>3.2</v>
      </c>
    </row>
    <row r="16" spans="2:19" x14ac:dyDescent="0.2">
      <c r="B16" s="567"/>
      <c r="C16" s="588"/>
      <c r="D16" s="588"/>
      <c r="E16" s="569"/>
      <c r="F16" s="586"/>
      <c r="G16" s="587"/>
      <c r="J16" s="572"/>
      <c r="K16" s="573"/>
      <c r="N16" s="622"/>
      <c r="O16" s="623"/>
      <c r="R16" s="594"/>
      <c r="S16" s="594"/>
    </row>
    <row r="17" spans="2:19" x14ac:dyDescent="0.2">
      <c r="B17" s="567"/>
      <c r="C17" s="588"/>
      <c r="D17" s="588"/>
      <c r="E17" s="569"/>
      <c r="F17" s="586"/>
      <c r="G17" s="587"/>
      <c r="J17" s="572"/>
      <c r="K17" s="573"/>
      <c r="N17" s="622"/>
      <c r="O17" s="623"/>
      <c r="R17" s="594"/>
      <c r="S17" s="594"/>
    </row>
    <row r="18" spans="2:19" ht="13.5" thickBot="1" x14ac:dyDescent="0.25">
      <c r="B18" s="595" t="s">
        <v>16</v>
      </c>
      <c r="C18" s="596">
        <f>SUM(C11:C15)</f>
        <v>1</v>
      </c>
      <c r="D18" s="596">
        <f>SUM(D11:D15)</f>
        <v>1</v>
      </c>
      <c r="E18" s="597"/>
      <c r="F18" s="598">
        <f>+R18</f>
        <v>8.3000000000000007</v>
      </c>
      <c r="G18" s="599">
        <f>+S18</f>
        <v>6.4</v>
      </c>
      <c r="H18" s="600"/>
      <c r="I18" s="600"/>
      <c r="J18" s="601">
        <f>SUM(J11:J15)</f>
        <v>-1.1999999999999999E-2</v>
      </c>
      <c r="K18" s="602">
        <f>SUM(K11:K15)</f>
        <v>3.1E-2</v>
      </c>
      <c r="L18" s="600"/>
      <c r="M18" s="600"/>
      <c r="N18" s="755">
        <f>SUM(N11:N15)</f>
        <v>-1.1999999999999999E-2</v>
      </c>
      <c r="O18" s="757">
        <f>SUM(O11:O15)</f>
        <v>3.1E-2</v>
      </c>
      <c r="R18" s="655">
        <f>SUM(R11:R15)</f>
        <v>8.3000000000000007</v>
      </c>
      <c r="S18" s="655">
        <f>SUM(S11:S15)</f>
        <v>6.4</v>
      </c>
    </row>
    <row r="19" spans="2:19" x14ac:dyDescent="0.2">
      <c r="O19" s="556" t="s">
        <v>0</v>
      </c>
    </row>
    <row r="20" spans="2:19" x14ac:dyDescent="0.2">
      <c r="R20" s="556" t="s">
        <v>0</v>
      </c>
    </row>
    <row r="22" spans="2:19" ht="15.75" x14ac:dyDescent="0.25">
      <c r="J22" s="619" t="s">
        <v>488</v>
      </c>
      <c r="K22" s="620"/>
      <c r="L22" s="621">
        <f>+(F18-G18)/100</f>
        <v>1.9000000000000003E-2</v>
      </c>
      <c r="N22" s="993" t="s">
        <v>0</v>
      </c>
      <c r="O22" s="993"/>
    </row>
    <row r="23" spans="2:19" x14ac:dyDescent="0.2">
      <c r="J23" s="622"/>
      <c r="K23" s="609"/>
      <c r="L23" s="623"/>
      <c r="N23" s="994" t="s">
        <v>0</v>
      </c>
    </row>
    <row r="24" spans="2:19" x14ac:dyDescent="0.2">
      <c r="J24" s="622" t="s">
        <v>477</v>
      </c>
      <c r="K24" s="609"/>
      <c r="L24" s="624">
        <f>+J18</f>
        <v>-1.1999999999999999E-2</v>
      </c>
      <c r="N24" s="556" t="s">
        <v>0</v>
      </c>
    </row>
    <row r="25" spans="2:19" x14ac:dyDescent="0.2">
      <c r="J25" s="622" t="s">
        <v>531</v>
      </c>
      <c r="K25" s="609"/>
      <c r="L25" s="624">
        <f>+K18</f>
        <v>3.1E-2</v>
      </c>
      <c r="N25" s="556" t="s">
        <v>0</v>
      </c>
    </row>
    <row r="26" spans="2:19" x14ac:dyDescent="0.2">
      <c r="J26" s="622" t="s">
        <v>0</v>
      </c>
      <c r="K26" s="609"/>
      <c r="L26" s="624" t="s">
        <v>0</v>
      </c>
      <c r="N26" s="556" t="s">
        <v>0</v>
      </c>
    </row>
    <row r="27" spans="2:19" x14ac:dyDescent="0.2">
      <c r="J27" s="625" t="s">
        <v>524</v>
      </c>
      <c r="K27" s="626"/>
      <c r="L27" s="627">
        <f>+L22-L24-L25</f>
        <v>0</v>
      </c>
      <c r="N27" s="556" t="s">
        <v>0</v>
      </c>
    </row>
    <row r="29" spans="2:19" x14ac:dyDescent="0.2">
      <c r="N29" s="556" t="s">
        <v>0</v>
      </c>
      <c r="O29" s="556" t="s">
        <v>0</v>
      </c>
    </row>
    <row r="37" spans="2:19" ht="13.5" thickBot="1" x14ac:dyDescent="0.25"/>
    <row r="38" spans="2:19" ht="15.75" x14ac:dyDescent="0.25">
      <c r="B38" s="987" t="s">
        <v>845</v>
      </c>
      <c r="C38" s="558" t="s">
        <v>1</v>
      </c>
      <c r="D38" s="558" t="s">
        <v>15</v>
      </c>
      <c r="E38" s="559"/>
      <c r="F38" s="560" t="s">
        <v>473</v>
      </c>
      <c r="G38" s="561" t="s">
        <v>15</v>
      </c>
      <c r="J38" s="562" t="s">
        <v>814</v>
      </c>
      <c r="K38" s="563"/>
      <c r="N38" s="979" t="s">
        <v>846</v>
      </c>
      <c r="O38" s="988"/>
      <c r="R38" s="575" t="s">
        <v>1</v>
      </c>
      <c r="S38" s="575" t="s">
        <v>15</v>
      </c>
    </row>
    <row r="39" spans="2:19" ht="15.75" x14ac:dyDescent="0.25">
      <c r="B39" s="989" t="s">
        <v>800</v>
      </c>
      <c r="C39" s="568" t="s">
        <v>328</v>
      </c>
      <c r="D39" s="568" t="s">
        <v>328</v>
      </c>
      <c r="E39" s="569"/>
      <c r="F39" s="570" t="s">
        <v>3</v>
      </c>
      <c r="G39" s="571" t="s">
        <v>3</v>
      </c>
      <c r="J39" s="635" t="s">
        <v>476</v>
      </c>
      <c r="K39" s="637" t="s">
        <v>477</v>
      </c>
      <c r="N39" s="635" t="s">
        <v>476</v>
      </c>
      <c r="O39" s="637" t="s">
        <v>477</v>
      </c>
      <c r="R39" s="575" t="s">
        <v>3</v>
      </c>
      <c r="S39" s="575" t="s">
        <v>3</v>
      </c>
    </row>
    <row r="40" spans="2:19" x14ac:dyDescent="0.2">
      <c r="B40" s="990" t="s">
        <v>390</v>
      </c>
      <c r="C40" s="578" t="s">
        <v>0</v>
      </c>
      <c r="D40" s="578" t="s">
        <v>0</v>
      </c>
      <c r="E40" s="579"/>
      <c r="F40" s="580" t="s">
        <v>0</v>
      </c>
      <c r="G40" s="581" t="s">
        <v>0</v>
      </c>
      <c r="J40" s="582" t="s">
        <v>483</v>
      </c>
      <c r="K40" s="583" t="s">
        <v>484</v>
      </c>
      <c r="N40" s="582" t="s">
        <v>483</v>
      </c>
      <c r="O40" s="583" t="s">
        <v>484</v>
      </c>
      <c r="R40" s="575" t="s">
        <v>223</v>
      </c>
      <c r="S40" s="575" t="s">
        <v>223</v>
      </c>
    </row>
    <row r="41" spans="2:19" x14ac:dyDescent="0.2">
      <c r="B41" s="567"/>
      <c r="C41" s="569"/>
      <c r="D41" s="569"/>
      <c r="E41" s="569"/>
      <c r="F41" s="586"/>
      <c r="G41" s="587"/>
      <c r="J41" s="572"/>
      <c r="K41" s="573"/>
      <c r="N41" s="808"/>
      <c r="O41" s="810"/>
      <c r="R41" s="594"/>
      <c r="S41" s="594"/>
    </row>
    <row r="42" spans="2:19" x14ac:dyDescent="0.2">
      <c r="B42" s="567"/>
      <c r="C42" s="569"/>
      <c r="D42" s="569"/>
      <c r="E42" s="569"/>
      <c r="F42" s="586"/>
      <c r="G42" s="587"/>
      <c r="J42" s="572"/>
      <c r="K42" s="573"/>
      <c r="N42" s="572"/>
      <c r="O42" s="573"/>
      <c r="R42" s="594"/>
      <c r="S42" s="594"/>
    </row>
    <row r="43" spans="2:19" x14ac:dyDescent="0.2">
      <c r="B43" s="567" t="s">
        <v>485</v>
      </c>
      <c r="C43" s="588">
        <v>0.7</v>
      </c>
      <c r="D43" s="588">
        <v>0.4</v>
      </c>
      <c r="E43" s="569"/>
      <c r="F43" s="589">
        <v>-5</v>
      </c>
      <c r="G43" s="590">
        <v>-7</v>
      </c>
      <c r="J43" s="591">
        <f>+(C43-D43)*(G43-G$50)/100</f>
        <v>-7.1999999999999963E-3</v>
      </c>
      <c r="K43" s="592">
        <f>+C43*(F43-G43)/100</f>
        <v>1.3999999999999999E-2</v>
      </c>
      <c r="N43" s="591">
        <f>+J43*(1+F$18/100)+(G$50/100)*N11</f>
        <v>-7.7975999999999957E-3</v>
      </c>
      <c r="O43" s="592">
        <f>+K43*(1+F$18/100)+(G$50/100)*O11</f>
        <v>1.3321999999999999E-2</v>
      </c>
      <c r="R43" s="594">
        <f>+C43*F43</f>
        <v>-3.5</v>
      </c>
      <c r="S43" s="594">
        <f>+D43*G43</f>
        <v>-2.8000000000000003</v>
      </c>
    </row>
    <row r="44" spans="2:19" x14ac:dyDescent="0.2">
      <c r="B44" s="567"/>
      <c r="C44" s="588"/>
      <c r="D44" s="588"/>
      <c r="E44" s="569"/>
      <c r="F44" s="589"/>
      <c r="G44" s="590"/>
      <c r="J44" s="572"/>
      <c r="K44" s="573"/>
      <c r="N44" s="591"/>
      <c r="O44" s="592"/>
      <c r="R44" s="594"/>
      <c r="S44" s="594" t="s">
        <v>0</v>
      </c>
    </row>
    <row r="45" spans="2:19" x14ac:dyDescent="0.2">
      <c r="B45" s="567" t="s">
        <v>486</v>
      </c>
      <c r="C45" s="588">
        <v>0.2</v>
      </c>
      <c r="D45" s="588">
        <v>0.3</v>
      </c>
      <c r="E45" s="569"/>
      <c r="F45" s="589">
        <v>3</v>
      </c>
      <c r="G45" s="590">
        <v>4</v>
      </c>
      <c r="J45" s="591">
        <f>+(C45-D45)*(G45-G$50)/100</f>
        <v>-8.6E-3</v>
      </c>
      <c r="K45" s="592">
        <f>+C45*(F45-G45)/100</f>
        <v>-2E-3</v>
      </c>
      <c r="N45" s="591">
        <f>+J45*(1+F$18/100)+(G$50/100)*N13</f>
        <v>-8.8354000000000002E-3</v>
      </c>
      <c r="O45" s="592">
        <f>+K45*(1+F$18/100)+(G$50/100)*O13</f>
        <v>-2.0279999999999999E-3</v>
      </c>
      <c r="R45" s="594">
        <f>+C45*F45</f>
        <v>0.60000000000000009</v>
      </c>
      <c r="S45" s="594">
        <f>+D45*G45</f>
        <v>1.2</v>
      </c>
    </row>
    <row r="46" spans="2:19" x14ac:dyDescent="0.2">
      <c r="B46" s="567"/>
      <c r="C46" s="588"/>
      <c r="D46" s="588"/>
      <c r="E46" s="569"/>
      <c r="F46" s="589"/>
      <c r="G46" s="590"/>
      <c r="J46" s="572"/>
      <c r="K46" s="573"/>
      <c r="N46" s="591"/>
      <c r="O46" s="592"/>
      <c r="R46" s="594"/>
      <c r="S46" s="594"/>
    </row>
    <row r="47" spans="2:19" x14ac:dyDescent="0.2">
      <c r="B47" s="567" t="s">
        <v>487</v>
      </c>
      <c r="C47" s="588">
        <v>0.1</v>
      </c>
      <c r="D47" s="588">
        <v>0.3</v>
      </c>
      <c r="E47" s="569"/>
      <c r="F47" s="589">
        <v>-5</v>
      </c>
      <c r="G47" s="590">
        <v>-10</v>
      </c>
      <c r="J47" s="591">
        <f>+(C47-D47)*(G47-G$50)/100</f>
        <v>1.0799999999999999E-2</v>
      </c>
      <c r="K47" s="592">
        <f>+C47*(F47-G47)/100</f>
        <v>5.0000000000000001E-3</v>
      </c>
      <c r="N47" s="591">
        <f>+J47*(1+F$18/100)+(G$50/100)*N15</f>
        <v>1.1769999999999999E-2</v>
      </c>
      <c r="O47" s="592">
        <f>+K47*(1+F$18/100)+(G$50/100)*O15</f>
        <v>5.6909999999999999E-3</v>
      </c>
      <c r="R47" s="594">
        <f>+C47*F47</f>
        <v>-0.5</v>
      </c>
      <c r="S47" s="594">
        <f>+D47*G47</f>
        <v>-3</v>
      </c>
    </row>
    <row r="48" spans="2:19" x14ac:dyDescent="0.2">
      <c r="B48" s="567"/>
      <c r="C48" s="588"/>
      <c r="D48" s="588"/>
      <c r="E48" s="569"/>
      <c r="F48" s="586"/>
      <c r="G48" s="587"/>
      <c r="J48" s="572"/>
      <c r="K48" s="573"/>
      <c r="N48" s="572"/>
      <c r="O48" s="573"/>
      <c r="R48" s="594"/>
      <c r="S48" s="594"/>
    </row>
    <row r="49" spans="2:19" x14ac:dyDescent="0.2">
      <c r="B49" s="567"/>
      <c r="C49" s="588"/>
      <c r="D49" s="588"/>
      <c r="E49" s="569"/>
      <c r="F49" s="586"/>
      <c r="G49" s="587"/>
      <c r="J49" s="572"/>
      <c r="K49" s="573"/>
      <c r="N49" s="572"/>
      <c r="O49" s="573"/>
      <c r="R49" s="594"/>
      <c r="S49" s="594"/>
    </row>
    <row r="50" spans="2:19" ht="13.5" thickBot="1" x14ac:dyDescent="0.25">
      <c r="B50" s="595" t="s">
        <v>16</v>
      </c>
      <c r="C50" s="596">
        <f>SUM(C43:C47)</f>
        <v>0.99999999999999989</v>
      </c>
      <c r="D50" s="596">
        <f>SUM(D43:D47)</f>
        <v>1</v>
      </c>
      <c r="E50" s="597"/>
      <c r="F50" s="598">
        <f>+R50</f>
        <v>-3.4</v>
      </c>
      <c r="G50" s="599">
        <f>+S50</f>
        <v>-4.6000000000000005</v>
      </c>
      <c r="H50" s="600"/>
      <c r="I50" s="600"/>
      <c r="J50" s="601">
        <f>SUM(J43:J47)</f>
        <v>-4.9999999999999958E-3</v>
      </c>
      <c r="K50" s="602">
        <f>SUM(K43:K47)</f>
        <v>1.6999999999999998E-2</v>
      </c>
      <c r="L50" s="600"/>
      <c r="M50" s="600"/>
      <c r="N50" s="601">
        <f>SUM(N43:N47)</f>
        <v>-4.8629999999999958E-3</v>
      </c>
      <c r="O50" s="602">
        <f>SUM(O43:O47)</f>
        <v>1.6985E-2</v>
      </c>
      <c r="R50" s="655">
        <f>SUM(R43:R47)</f>
        <v>-3.4</v>
      </c>
      <c r="S50" s="655">
        <f>SUM(S43:S47)</f>
        <v>-4.6000000000000005</v>
      </c>
    </row>
    <row r="52" spans="2:19" x14ac:dyDescent="0.2">
      <c r="R52" s="556" t="s">
        <v>0</v>
      </c>
    </row>
    <row r="53" spans="2:19" ht="13.5" thickBot="1" x14ac:dyDescent="0.25"/>
    <row r="54" spans="2:19" ht="15.75" x14ac:dyDescent="0.25">
      <c r="J54" s="606" t="s">
        <v>488</v>
      </c>
      <c r="K54" s="607"/>
      <c r="L54" s="608">
        <f>+(F50-G50)/100</f>
        <v>1.2000000000000005E-2</v>
      </c>
    </row>
    <row r="55" spans="2:19" x14ac:dyDescent="0.2">
      <c r="J55" s="572"/>
      <c r="K55" s="609"/>
      <c r="L55" s="573"/>
    </row>
    <row r="56" spans="2:19" x14ac:dyDescent="0.2">
      <c r="J56" s="572" t="s">
        <v>477</v>
      </c>
      <c r="K56" s="609"/>
      <c r="L56" s="610">
        <f>+J50</f>
        <v>-4.9999999999999958E-3</v>
      </c>
    </row>
    <row r="57" spans="2:19" x14ac:dyDescent="0.2">
      <c r="J57" s="572" t="s">
        <v>531</v>
      </c>
      <c r="K57" s="609"/>
      <c r="L57" s="610">
        <f>+K50</f>
        <v>1.6999999999999998E-2</v>
      </c>
    </row>
    <row r="58" spans="2:19" x14ac:dyDescent="0.2">
      <c r="J58" s="572" t="s">
        <v>0</v>
      </c>
      <c r="K58" s="609"/>
      <c r="L58" s="610" t="s">
        <v>0</v>
      </c>
      <c r="N58" s="556" t="s">
        <v>0</v>
      </c>
    </row>
    <row r="59" spans="2:19" ht="13.5" thickBot="1" x14ac:dyDescent="0.25">
      <c r="J59" s="613" t="s">
        <v>524</v>
      </c>
      <c r="K59" s="614"/>
      <c r="L59" s="615">
        <f>+L54-L56-L57</f>
        <v>0</v>
      </c>
      <c r="N59" s="556" t="s">
        <v>0</v>
      </c>
    </row>
    <row r="69" spans="2:19" ht="13.5" thickBot="1" x14ac:dyDescent="0.25"/>
    <row r="70" spans="2:19" ht="15.75" x14ac:dyDescent="0.25">
      <c r="B70" s="987" t="s">
        <v>845</v>
      </c>
      <c r="C70" s="558" t="s">
        <v>1</v>
      </c>
      <c r="D70" s="558" t="s">
        <v>15</v>
      </c>
      <c r="E70" s="559"/>
      <c r="F70" s="560" t="s">
        <v>473</v>
      </c>
      <c r="G70" s="561" t="s">
        <v>15</v>
      </c>
      <c r="J70" s="562" t="s">
        <v>814</v>
      </c>
      <c r="K70" s="563"/>
      <c r="N70" s="979" t="s">
        <v>846</v>
      </c>
      <c r="O70" s="988"/>
      <c r="R70" s="575" t="s">
        <v>1</v>
      </c>
      <c r="S70" s="575" t="s">
        <v>15</v>
      </c>
    </row>
    <row r="71" spans="2:19" ht="15.75" x14ac:dyDescent="0.25">
      <c r="B71" s="989" t="s">
        <v>800</v>
      </c>
      <c r="C71" s="568" t="s">
        <v>328</v>
      </c>
      <c r="D71" s="568" t="s">
        <v>328</v>
      </c>
      <c r="E71" s="569"/>
      <c r="F71" s="570" t="s">
        <v>3</v>
      </c>
      <c r="G71" s="571" t="s">
        <v>3</v>
      </c>
      <c r="J71" s="635" t="s">
        <v>476</v>
      </c>
      <c r="K71" s="637" t="s">
        <v>477</v>
      </c>
      <c r="N71" s="635" t="s">
        <v>476</v>
      </c>
      <c r="O71" s="637" t="s">
        <v>477</v>
      </c>
      <c r="R71" s="575" t="s">
        <v>3</v>
      </c>
      <c r="S71" s="575" t="s">
        <v>3</v>
      </c>
    </row>
    <row r="72" spans="2:19" x14ac:dyDescent="0.2">
      <c r="B72" s="990" t="s">
        <v>391</v>
      </c>
      <c r="C72" s="578" t="s">
        <v>0</v>
      </c>
      <c r="D72" s="578" t="s">
        <v>0</v>
      </c>
      <c r="E72" s="579"/>
      <c r="F72" s="580" t="s">
        <v>0</v>
      </c>
      <c r="G72" s="581" t="s">
        <v>0</v>
      </c>
      <c r="J72" s="582" t="s">
        <v>483</v>
      </c>
      <c r="K72" s="583" t="s">
        <v>484</v>
      </c>
      <c r="N72" s="582" t="s">
        <v>483</v>
      </c>
      <c r="O72" s="583" t="s">
        <v>484</v>
      </c>
      <c r="R72" s="575" t="s">
        <v>223</v>
      </c>
      <c r="S72" s="575" t="s">
        <v>223</v>
      </c>
    </row>
    <row r="73" spans="2:19" x14ac:dyDescent="0.2">
      <c r="B73" s="567"/>
      <c r="C73" s="569"/>
      <c r="D73" s="569"/>
      <c r="E73" s="569"/>
      <c r="F73" s="586"/>
      <c r="G73" s="587"/>
      <c r="J73" s="572"/>
      <c r="K73" s="573"/>
      <c r="N73" s="572"/>
      <c r="O73" s="810"/>
      <c r="R73" s="594"/>
      <c r="S73" s="594"/>
    </row>
    <row r="74" spans="2:19" x14ac:dyDescent="0.2">
      <c r="B74" s="567"/>
      <c r="C74" s="569"/>
      <c r="D74" s="569"/>
      <c r="E74" s="569"/>
      <c r="F74" s="586"/>
      <c r="G74" s="587"/>
      <c r="J74" s="572"/>
      <c r="K74" s="573"/>
      <c r="N74" s="572"/>
      <c r="O74" s="573"/>
      <c r="R74" s="594"/>
      <c r="S74" s="594"/>
    </row>
    <row r="75" spans="2:19" x14ac:dyDescent="0.2">
      <c r="B75" s="567" t="s">
        <v>485</v>
      </c>
      <c r="C75" s="588">
        <v>0.3</v>
      </c>
      <c r="D75" s="588">
        <v>0.5</v>
      </c>
      <c r="E75" s="569"/>
      <c r="F75" s="589">
        <v>-20</v>
      </c>
      <c r="G75" s="590">
        <v>-25</v>
      </c>
      <c r="J75" s="591">
        <f>+(C75-D75)*(G75-G$82)/100</f>
        <v>2.5000000000000001E-2</v>
      </c>
      <c r="K75" s="592">
        <f>+C75*(F75-G75)/100</f>
        <v>1.4999999999999999E-2</v>
      </c>
      <c r="N75" s="591">
        <f>+J75*(1+F$18/100)*(1+F$50/100)+(G$82/100)*(N11+N43)</f>
        <v>2.7129150000000001E-2</v>
      </c>
      <c r="O75" s="592">
        <f>+K75*(1+F$18/100)*(1+F$50/100)+(G$82/100)*(O11+O43)</f>
        <v>9.0274199999999978E-3</v>
      </c>
      <c r="R75" s="594">
        <f>+C75*F75</f>
        <v>-6</v>
      </c>
      <c r="S75" s="594">
        <f>+D75*G75</f>
        <v>-12.5</v>
      </c>
    </row>
    <row r="76" spans="2:19" x14ac:dyDescent="0.2">
      <c r="B76" s="567"/>
      <c r="C76" s="588"/>
      <c r="D76" s="588"/>
      <c r="E76" s="569"/>
      <c r="F76" s="589"/>
      <c r="G76" s="590"/>
      <c r="J76" s="572"/>
      <c r="K76" s="573"/>
      <c r="N76" s="591"/>
      <c r="O76" s="592"/>
      <c r="R76" s="594"/>
      <c r="S76" s="594" t="s">
        <v>0</v>
      </c>
    </row>
    <row r="77" spans="2:19" x14ac:dyDescent="0.2">
      <c r="B77" s="567" t="s">
        <v>486</v>
      </c>
      <c r="C77" s="588">
        <v>0.5</v>
      </c>
      <c r="D77" s="588">
        <v>0.4</v>
      </c>
      <c r="E77" s="569"/>
      <c r="F77" s="589">
        <v>8</v>
      </c>
      <c r="G77" s="590">
        <v>5</v>
      </c>
      <c r="J77" s="591">
        <f>+(C77-D77)*(G77-G$82)/100</f>
        <v>1.7499999999999995E-2</v>
      </c>
      <c r="K77" s="592">
        <f>+C77*(F77-G77)/100</f>
        <v>1.4999999999999999E-2</v>
      </c>
      <c r="N77" s="591">
        <f>+J77*(1+F$18/100)*(1+F$50/100)+(G$82/100)*(N13+N45)</f>
        <v>2.0712539999999995E-2</v>
      </c>
      <c r="O77" s="592">
        <f>+K77*(1+F$18/100)*(1+F$50/100)+(G$82/100)*(O13+O45)</f>
        <v>1.6321169999999999E-2</v>
      </c>
      <c r="R77" s="594">
        <f>+C77*F77</f>
        <v>4</v>
      </c>
      <c r="S77" s="594">
        <f>+D77*G77</f>
        <v>2</v>
      </c>
    </row>
    <row r="78" spans="2:19" x14ac:dyDescent="0.2">
      <c r="B78" s="567"/>
      <c r="C78" s="588"/>
      <c r="D78" s="588"/>
      <c r="E78" s="569"/>
      <c r="F78" s="589"/>
      <c r="G78" s="590"/>
      <c r="J78" s="572"/>
      <c r="K78" s="573"/>
      <c r="N78" s="591"/>
      <c r="O78" s="592"/>
      <c r="R78" s="594"/>
      <c r="S78" s="594"/>
    </row>
    <row r="79" spans="2:19" x14ac:dyDescent="0.2">
      <c r="B79" s="567" t="s">
        <v>487</v>
      </c>
      <c r="C79" s="588">
        <v>0.2</v>
      </c>
      <c r="D79" s="588">
        <v>0.1</v>
      </c>
      <c r="E79" s="569"/>
      <c r="F79" s="589">
        <v>-15</v>
      </c>
      <c r="G79" s="590">
        <v>-20</v>
      </c>
      <c r="J79" s="591">
        <f>+(C79-D79)*(G79-G$82)/100</f>
        <v>-7.4999999999999997E-3</v>
      </c>
      <c r="K79" s="592">
        <f>+C79*(F79-G79)/100</f>
        <v>0.01</v>
      </c>
      <c r="N79" s="591">
        <f>+J79*(1+F$18/100)*(1+F$50/100)+(G$82/100)*(N15+N47)</f>
        <v>-9.1175849999999992E-3</v>
      </c>
      <c r="O79" s="592">
        <f>+K79*(1+F$18/100)*(1+F$50/100)+(G$82/100)*(O15+O47)</f>
        <v>1.0500404999999999E-2</v>
      </c>
      <c r="R79" s="594">
        <f>+C79*F79</f>
        <v>-3</v>
      </c>
      <c r="S79" s="594">
        <f>+D79*G79</f>
        <v>-2</v>
      </c>
    </row>
    <row r="80" spans="2:19" x14ac:dyDescent="0.2">
      <c r="B80" s="567"/>
      <c r="C80" s="588"/>
      <c r="D80" s="588"/>
      <c r="E80" s="569"/>
      <c r="F80" s="586"/>
      <c r="G80" s="587"/>
      <c r="J80" s="572"/>
      <c r="K80" s="573"/>
      <c r="N80" s="572"/>
      <c r="O80" s="573"/>
      <c r="R80" s="594"/>
      <c r="S80" s="594"/>
    </row>
    <row r="81" spans="2:19" x14ac:dyDescent="0.2">
      <c r="B81" s="567"/>
      <c r="C81" s="588"/>
      <c r="D81" s="588"/>
      <c r="E81" s="569"/>
      <c r="F81" s="586"/>
      <c r="G81" s="587"/>
      <c r="J81" s="572"/>
      <c r="K81" s="573"/>
      <c r="N81" s="572"/>
      <c r="O81" s="573"/>
      <c r="R81" s="594"/>
      <c r="S81" s="594"/>
    </row>
    <row r="82" spans="2:19" ht="13.5" thickBot="1" x14ac:dyDescent="0.25">
      <c r="B82" s="595" t="s">
        <v>16</v>
      </c>
      <c r="C82" s="596">
        <f>SUM(C75:C79)</f>
        <v>1</v>
      </c>
      <c r="D82" s="596">
        <f>SUM(D75:D79)</f>
        <v>1</v>
      </c>
      <c r="E82" s="597"/>
      <c r="F82" s="598">
        <f>+R82</f>
        <v>-5</v>
      </c>
      <c r="G82" s="599">
        <f>+S82</f>
        <v>-12.5</v>
      </c>
      <c r="H82" s="600"/>
      <c r="I82" s="600"/>
      <c r="J82" s="601">
        <f>SUM(J75:J79)</f>
        <v>3.4999999999999996E-2</v>
      </c>
      <c r="K82" s="602">
        <f>SUM(K75:K79)</f>
        <v>0.04</v>
      </c>
      <c r="L82" s="600"/>
      <c r="M82" s="600"/>
      <c r="N82" s="601">
        <f>SUM(N75:N79)</f>
        <v>3.8724104999999995E-2</v>
      </c>
      <c r="O82" s="602">
        <f>SUM(O75:O79)</f>
        <v>3.5848994999999995E-2</v>
      </c>
      <c r="R82" s="655">
        <f>SUM(R75:R79)</f>
        <v>-5</v>
      </c>
      <c r="S82" s="655">
        <f>SUM(S75:S79)</f>
        <v>-12.5</v>
      </c>
    </row>
    <row r="84" spans="2:19" x14ac:dyDescent="0.2">
      <c r="O84" s="556" t="s">
        <v>0</v>
      </c>
      <c r="R84" s="556" t="s">
        <v>0</v>
      </c>
    </row>
    <row r="85" spans="2:19" ht="13.5" thickBot="1" x14ac:dyDescent="0.25"/>
    <row r="86" spans="2:19" ht="15.75" x14ac:dyDescent="0.25">
      <c r="J86" s="606" t="s">
        <v>488</v>
      </c>
      <c r="K86" s="607"/>
      <c r="L86" s="608">
        <f>+(F82-G82)/100</f>
        <v>7.4999999999999997E-2</v>
      </c>
    </row>
    <row r="87" spans="2:19" x14ac:dyDescent="0.2">
      <c r="J87" s="572"/>
      <c r="K87" s="609"/>
      <c r="L87" s="573"/>
    </row>
    <row r="88" spans="2:19" x14ac:dyDescent="0.2">
      <c r="J88" s="572" t="s">
        <v>477</v>
      </c>
      <c r="K88" s="609"/>
      <c r="L88" s="610">
        <f>+J82</f>
        <v>3.4999999999999996E-2</v>
      </c>
    </row>
    <row r="89" spans="2:19" x14ac:dyDescent="0.2">
      <c r="J89" s="572" t="s">
        <v>531</v>
      </c>
      <c r="K89" s="609"/>
      <c r="L89" s="610">
        <f>+K82</f>
        <v>0.04</v>
      </c>
    </row>
    <row r="90" spans="2:19" x14ac:dyDescent="0.2">
      <c r="J90" s="572" t="s">
        <v>0</v>
      </c>
      <c r="K90" s="609"/>
      <c r="L90" s="610" t="s">
        <v>0</v>
      </c>
      <c r="N90" s="556" t="s">
        <v>0</v>
      </c>
    </row>
    <row r="91" spans="2:19" ht="13.5" thickBot="1" x14ac:dyDescent="0.25">
      <c r="J91" s="613" t="s">
        <v>524</v>
      </c>
      <c r="K91" s="614"/>
      <c r="L91" s="615">
        <f>+L86-L88-L89</f>
        <v>0</v>
      </c>
      <c r="N91" s="556" t="s">
        <v>0</v>
      </c>
    </row>
    <row r="101" spans="2:19" ht="13.5" thickBot="1" x14ac:dyDescent="0.25"/>
    <row r="102" spans="2:19" ht="15.75" x14ac:dyDescent="0.25">
      <c r="B102" s="987" t="s">
        <v>845</v>
      </c>
      <c r="C102" s="558" t="s">
        <v>1</v>
      </c>
      <c r="D102" s="558" t="s">
        <v>15</v>
      </c>
      <c r="E102" s="559"/>
      <c r="F102" s="560" t="s">
        <v>473</v>
      </c>
      <c r="G102" s="561" t="s">
        <v>15</v>
      </c>
      <c r="J102" s="562" t="s">
        <v>814</v>
      </c>
      <c r="K102" s="563"/>
      <c r="N102" s="979" t="s">
        <v>846</v>
      </c>
      <c r="O102" s="988"/>
      <c r="R102" s="564" t="s">
        <v>1</v>
      </c>
      <c r="S102" s="931" t="s">
        <v>15</v>
      </c>
    </row>
    <row r="103" spans="2:19" ht="15.75" x14ac:dyDescent="0.25">
      <c r="B103" s="989" t="s">
        <v>800</v>
      </c>
      <c r="C103" s="568" t="s">
        <v>328</v>
      </c>
      <c r="D103" s="568" t="s">
        <v>328</v>
      </c>
      <c r="E103" s="569"/>
      <c r="F103" s="570" t="s">
        <v>3</v>
      </c>
      <c r="G103" s="571" t="s">
        <v>3</v>
      </c>
      <c r="J103" s="635" t="s">
        <v>476</v>
      </c>
      <c r="K103" s="637" t="s">
        <v>477</v>
      </c>
      <c r="N103" s="635" t="s">
        <v>476</v>
      </c>
      <c r="O103" s="637" t="s">
        <v>477</v>
      </c>
      <c r="R103" s="574" t="s">
        <v>3</v>
      </c>
      <c r="S103" s="941" t="s">
        <v>3</v>
      </c>
    </row>
    <row r="104" spans="2:19" x14ac:dyDescent="0.2">
      <c r="B104" s="990" t="s">
        <v>392</v>
      </c>
      <c r="C104" s="578" t="s">
        <v>0</v>
      </c>
      <c r="D104" s="578" t="s">
        <v>0</v>
      </c>
      <c r="E104" s="579"/>
      <c r="F104" s="580" t="s">
        <v>0</v>
      </c>
      <c r="G104" s="581" t="s">
        <v>0</v>
      </c>
      <c r="J104" s="582" t="s">
        <v>483</v>
      </c>
      <c r="K104" s="583" t="s">
        <v>484</v>
      </c>
      <c r="N104" s="582" t="s">
        <v>483</v>
      </c>
      <c r="O104" s="583" t="s">
        <v>484</v>
      </c>
      <c r="R104" s="574" t="s">
        <v>223</v>
      </c>
      <c r="S104" s="941" t="s">
        <v>223</v>
      </c>
    </row>
    <row r="105" spans="2:19" x14ac:dyDescent="0.2">
      <c r="B105" s="567"/>
      <c r="C105" s="569"/>
      <c r="D105" s="569"/>
      <c r="E105" s="569"/>
      <c r="F105" s="586"/>
      <c r="G105" s="587"/>
      <c r="J105" s="572"/>
      <c r="K105" s="573"/>
      <c r="N105" s="572"/>
      <c r="O105" s="810"/>
      <c r="R105" s="593"/>
      <c r="S105" s="638"/>
    </row>
    <row r="106" spans="2:19" x14ac:dyDescent="0.2">
      <c r="B106" s="567"/>
      <c r="C106" s="569"/>
      <c r="D106" s="569"/>
      <c r="E106" s="569"/>
      <c r="F106" s="586"/>
      <c r="G106" s="587"/>
      <c r="J106" s="572"/>
      <c r="K106" s="573"/>
      <c r="N106" s="572"/>
      <c r="O106" s="573"/>
      <c r="R106" s="593"/>
      <c r="S106" s="638"/>
    </row>
    <row r="107" spans="2:19" x14ac:dyDescent="0.2">
      <c r="B107" s="567" t="s">
        <v>485</v>
      </c>
      <c r="C107" s="588">
        <v>0.3</v>
      </c>
      <c r="D107" s="588">
        <v>0.4</v>
      </c>
      <c r="E107" s="569"/>
      <c r="F107" s="589">
        <v>10</v>
      </c>
      <c r="G107" s="590">
        <v>5</v>
      </c>
      <c r="J107" s="591">
        <f>+(C107-D107)*(G107-G$114)/100</f>
        <v>-3.0000000000000009E-3</v>
      </c>
      <c r="K107" s="592">
        <f>+C107*(F107-G107)/100</f>
        <v>1.4999999999999999E-2</v>
      </c>
      <c r="N107" s="591">
        <f>+J107*(1+F$18/100)*(1+F$50/100)*(1+F$82/100)+(G$114/100)*(N75+N43+N11)</f>
        <v>-2.5949763000000007E-3</v>
      </c>
      <c r="O107" s="592">
        <f>+K107*(1+F$18/100)*(1+F$50/100)*(1+F$82/100)+(G$114/100)*(O11+O43+O75)</f>
        <v>1.6155024899999999E-2</v>
      </c>
      <c r="R107" s="593">
        <f>+C107*F107</f>
        <v>3</v>
      </c>
      <c r="S107" s="638">
        <f>+D107*G107</f>
        <v>2</v>
      </c>
    </row>
    <row r="108" spans="2:19" x14ac:dyDescent="0.2">
      <c r="B108" s="567"/>
      <c r="C108" s="588"/>
      <c r="D108" s="588"/>
      <c r="E108" s="569"/>
      <c r="F108" s="589"/>
      <c r="G108" s="590"/>
      <c r="J108" s="572"/>
      <c r="K108" s="573"/>
      <c r="N108" s="572"/>
      <c r="O108" s="573"/>
      <c r="R108" s="593"/>
      <c r="S108" s="638" t="s">
        <v>0</v>
      </c>
    </row>
    <row r="109" spans="2:19" x14ac:dyDescent="0.2">
      <c r="B109" s="567" t="s">
        <v>486</v>
      </c>
      <c r="C109" s="588">
        <v>0.5</v>
      </c>
      <c r="D109" s="588">
        <v>0.4</v>
      </c>
      <c r="E109" s="569"/>
      <c r="F109" s="589">
        <v>-7</v>
      </c>
      <c r="G109" s="590">
        <v>-5</v>
      </c>
      <c r="J109" s="591">
        <f>+(C109-D109)*(G109-G$114)/100</f>
        <v>-6.9999999999999984E-3</v>
      </c>
      <c r="K109" s="592">
        <f>+C109*(F109-G109)/100</f>
        <v>-0.01</v>
      </c>
      <c r="N109" s="591">
        <f>+J109*(1+F$18/100)*(1+F$50/100)*(1+F$82/100)+(G$114/100)*(N77+N45+N13)</f>
        <v>-6.9275408999999984E-3</v>
      </c>
      <c r="O109" s="592">
        <f>+K109*(1+F$18/100)*(1+F$50/100)*(1+F$82/100)+(G$114/100)*(O13+O45+O77)</f>
        <v>-9.7128275999999979E-3</v>
      </c>
      <c r="R109" s="593">
        <f>+C109*F109</f>
        <v>-3.5</v>
      </c>
      <c r="S109" s="638">
        <f>+D109*G109</f>
        <v>-2</v>
      </c>
    </row>
    <row r="110" spans="2:19" x14ac:dyDescent="0.2">
      <c r="B110" s="567"/>
      <c r="C110" s="588"/>
      <c r="D110" s="588"/>
      <c r="E110" s="569"/>
      <c r="F110" s="589"/>
      <c r="G110" s="590"/>
      <c r="J110" s="572"/>
      <c r="K110" s="573"/>
      <c r="N110" s="572"/>
      <c r="O110" s="573"/>
      <c r="R110" s="593"/>
      <c r="S110" s="638"/>
    </row>
    <row r="111" spans="2:19" x14ac:dyDescent="0.2">
      <c r="B111" s="567" t="s">
        <v>487</v>
      </c>
      <c r="C111" s="588">
        <v>0.2</v>
      </c>
      <c r="D111" s="588">
        <v>0.2</v>
      </c>
      <c r="E111" s="569"/>
      <c r="F111" s="589">
        <v>25</v>
      </c>
      <c r="G111" s="590">
        <v>10</v>
      </c>
      <c r="J111" s="591">
        <f>+(C111-D111)*(G111-G$114)/100</f>
        <v>0</v>
      </c>
      <c r="K111" s="592">
        <f>+C111*(F111-G111)/100</f>
        <v>0.03</v>
      </c>
      <c r="N111" s="591">
        <f>+J111*(1+F$18/100)*(1+F$50/100)*(1+F$82/100)+(G$114/100)*(N79+N47+N15)</f>
        <v>2.1048299999999993E-5</v>
      </c>
      <c r="O111" s="592">
        <f>+K111*(1+F$18/100)*(1+F$50/100)*(1+F$82/100)+(G$114/100)*(O15+O47+O79)</f>
        <v>3.0019901099999996E-2</v>
      </c>
      <c r="R111" s="593">
        <f>+C111*F111</f>
        <v>5</v>
      </c>
      <c r="S111" s="638">
        <f>+D111*G111</f>
        <v>2</v>
      </c>
    </row>
    <row r="112" spans="2:19" x14ac:dyDescent="0.2">
      <c r="B112" s="567"/>
      <c r="C112" s="588"/>
      <c r="D112" s="588" t="s">
        <v>0</v>
      </c>
      <c r="E112" s="569"/>
      <c r="F112" s="586"/>
      <c r="G112" s="587"/>
      <c r="J112" s="572"/>
      <c r="K112" s="573"/>
      <c r="N112" s="572"/>
      <c r="O112" s="573"/>
      <c r="R112" s="593"/>
      <c r="S112" s="638"/>
    </row>
    <row r="113" spans="2:19" x14ac:dyDescent="0.2">
      <c r="B113" s="567"/>
      <c r="C113" s="588"/>
      <c r="D113" s="588"/>
      <c r="E113" s="569"/>
      <c r="F113" s="586"/>
      <c r="G113" s="587"/>
      <c r="J113" s="572"/>
      <c r="K113" s="573"/>
      <c r="N113" s="572"/>
      <c r="O113" s="573"/>
      <c r="R113" s="593"/>
      <c r="S113" s="638"/>
    </row>
    <row r="114" spans="2:19" ht="13.5" thickBot="1" x14ac:dyDescent="0.25">
      <c r="B114" s="595" t="s">
        <v>16</v>
      </c>
      <c r="C114" s="596">
        <f>SUM(C107:C111)</f>
        <v>1</v>
      </c>
      <c r="D114" s="596">
        <f>SUM(D107:D112)</f>
        <v>1</v>
      </c>
      <c r="E114" s="752"/>
      <c r="F114" s="598">
        <f>+R114</f>
        <v>4.5</v>
      </c>
      <c r="G114" s="599">
        <f>+S114</f>
        <v>2</v>
      </c>
      <c r="H114" s="600"/>
      <c r="I114" s="600"/>
      <c r="J114" s="601">
        <f>SUM(J107:J111)</f>
        <v>-9.9999999999999985E-3</v>
      </c>
      <c r="K114" s="602">
        <f>SUM(K107:K111)</f>
        <v>3.4999999999999996E-2</v>
      </c>
      <c r="L114" s="600"/>
      <c r="M114" s="600"/>
      <c r="N114" s="601">
        <f>SUM(N107:N111)</f>
        <v>-9.5014688999999989E-3</v>
      </c>
      <c r="O114" s="602">
        <f>SUM(O107:O111)</f>
        <v>3.6462098399999997E-2</v>
      </c>
      <c r="R114" s="794">
        <f>SUM(R107:R111)</f>
        <v>4.5</v>
      </c>
      <c r="S114" s="907">
        <f>SUM(S107:S111)</f>
        <v>2</v>
      </c>
    </row>
    <row r="116" spans="2:19" x14ac:dyDescent="0.2">
      <c r="R116" s="556" t="s">
        <v>0</v>
      </c>
    </row>
    <row r="118" spans="2:19" ht="15.75" x14ac:dyDescent="0.25">
      <c r="J118" s="619" t="s">
        <v>488</v>
      </c>
      <c r="K118" s="620"/>
      <c r="L118" s="621">
        <f>+(F114-G114)/100</f>
        <v>2.5000000000000001E-2</v>
      </c>
    </row>
    <row r="119" spans="2:19" x14ac:dyDescent="0.2">
      <c r="J119" s="622"/>
      <c r="K119" s="609"/>
      <c r="L119" s="623"/>
      <c r="N119" s="994" t="s">
        <v>0</v>
      </c>
    </row>
    <row r="120" spans="2:19" x14ac:dyDescent="0.2">
      <c r="J120" s="622" t="s">
        <v>477</v>
      </c>
      <c r="K120" s="609"/>
      <c r="L120" s="624">
        <f>+J114</f>
        <v>-9.9999999999999985E-3</v>
      </c>
    </row>
    <row r="121" spans="2:19" x14ac:dyDescent="0.2">
      <c r="J121" s="622" t="s">
        <v>531</v>
      </c>
      <c r="K121" s="609"/>
      <c r="L121" s="624">
        <f>+K114</f>
        <v>3.4999999999999996E-2</v>
      </c>
    </row>
    <row r="122" spans="2:19" x14ac:dyDescent="0.2">
      <c r="J122" s="622" t="s">
        <v>0</v>
      </c>
      <c r="K122" s="609"/>
      <c r="L122" s="624" t="s">
        <v>0</v>
      </c>
    </row>
    <row r="123" spans="2:19" x14ac:dyDescent="0.2">
      <c r="J123" s="625" t="s">
        <v>524</v>
      </c>
      <c r="K123" s="626"/>
      <c r="L123" s="627">
        <f>+L118-L120-L121</f>
        <v>0</v>
      </c>
    </row>
    <row r="126" spans="2:19" x14ac:dyDescent="0.2">
      <c r="N126" s="556" t="s">
        <v>0</v>
      </c>
    </row>
    <row r="133" spans="2:15" ht="13.5" thickBot="1" x14ac:dyDescent="0.25"/>
    <row r="134" spans="2:15" ht="15.75" x14ac:dyDescent="0.25">
      <c r="B134" s="987" t="s">
        <v>845</v>
      </c>
      <c r="C134" s="558" t="s">
        <v>7</v>
      </c>
      <c r="D134" s="558" t="s">
        <v>7</v>
      </c>
      <c r="E134" s="559"/>
      <c r="F134" s="560" t="s">
        <v>473</v>
      </c>
      <c r="G134" s="561" t="s">
        <v>15</v>
      </c>
      <c r="N134" s="979" t="s">
        <v>846</v>
      </c>
      <c r="O134" s="988"/>
    </row>
    <row r="135" spans="2:15" ht="15.75" x14ac:dyDescent="0.25">
      <c r="B135" s="989" t="s">
        <v>800</v>
      </c>
      <c r="C135" s="568" t="s">
        <v>1</v>
      </c>
      <c r="D135" s="568" t="s">
        <v>15</v>
      </c>
      <c r="E135" s="569"/>
      <c r="F135" s="570" t="s">
        <v>3</v>
      </c>
      <c r="G135" s="571" t="s">
        <v>3</v>
      </c>
      <c r="N135" s="635" t="s">
        <v>476</v>
      </c>
      <c r="O135" s="637" t="s">
        <v>477</v>
      </c>
    </row>
    <row r="136" spans="2:15" x14ac:dyDescent="0.2">
      <c r="B136" s="990" t="s">
        <v>822</v>
      </c>
      <c r="C136" s="578" t="s">
        <v>328</v>
      </c>
      <c r="D136" s="578" t="s">
        <v>328</v>
      </c>
      <c r="E136" s="579"/>
      <c r="F136" s="580" t="s">
        <v>0</v>
      </c>
      <c r="G136" s="581" t="s">
        <v>0</v>
      </c>
      <c r="N136" s="582" t="s">
        <v>483</v>
      </c>
      <c r="O136" s="583" t="s">
        <v>484</v>
      </c>
    </row>
    <row r="137" spans="2:15" x14ac:dyDescent="0.2">
      <c r="B137" s="567"/>
      <c r="C137" s="569"/>
      <c r="D137" s="569"/>
      <c r="E137" s="569"/>
      <c r="F137" s="586"/>
      <c r="G137" s="587"/>
      <c r="N137" s="572"/>
      <c r="O137" s="573"/>
    </row>
    <row r="138" spans="2:15" x14ac:dyDescent="0.2">
      <c r="B138" s="567"/>
      <c r="C138" s="569"/>
      <c r="D138" s="569"/>
      <c r="E138" s="569"/>
      <c r="F138" s="586"/>
      <c r="G138" s="587"/>
      <c r="N138" s="572"/>
      <c r="O138" s="573"/>
    </row>
    <row r="139" spans="2:15" x14ac:dyDescent="0.2">
      <c r="B139" s="567" t="s">
        <v>485</v>
      </c>
      <c r="C139" s="588">
        <f>+(C11+C43+C75+C107)/4</f>
        <v>0.42500000000000004</v>
      </c>
      <c r="D139" s="588">
        <f>+(D11+D43+D75+D107)/4</f>
        <v>0.42500000000000004</v>
      </c>
      <c r="E139" s="569"/>
      <c r="F139" s="589">
        <f>((1+F11/100)*(1+F43/100)*(1+F75/100)*(1+F107/100)-1)*100</f>
        <v>0.32000000000000917</v>
      </c>
      <c r="G139" s="590">
        <f>((1+G11/100)*(1+G43/100)*(1+G75/100)*(1+G107/100)-1)*100</f>
        <v>-19.438749999999992</v>
      </c>
      <c r="N139" s="591">
        <f>+N11+N43+N75+N107</f>
        <v>1.6736573700000007E-2</v>
      </c>
      <c r="O139" s="592">
        <f>+O11+O43+O75+O107</f>
        <v>7.8504444899999998E-2</v>
      </c>
    </row>
    <row r="140" spans="2:15" x14ac:dyDescent="0.2">
      <c r="B140" s="567"/>
      <c r="C140" s="588"/>
      <c r="D140" s="588"/>
      <c r="E140" s="569"/>
      <c r="F140" s="589"/>
      <c r="G140" s="590"/>
      <c r="N140" s="572"/>
      <c r="O140" s="573"/>
    </row>
    <row r="141" spans="2:15" x14ac:dyDescent="0.2">
      <c r="B141" s="567" t="s">
        <v>486</v>
      </c>
      <c r="C141" s="588">
        <f>+(C13+C45+C77+C109)/4</f>
        <v>0.375</v>
      </c>
      <c r="D141" s="588">
        <f>+(D13+D45+D77+D109)/4</f>
        <v>0.32500000000000001</v>
      </c>
      <c r="E141" s="569"/>
      <c r="F141" s="589">
        <f>((1+F13/100)*(1+F45/100)*(1+F77/100)*(1+F109/100)-1)*100</f>
        <v>-1.719460000000006</v>
      </c>
      <c r="G141" s="590">
        <f>((1+G13/100)*(1+G45/100)*(1+G77/100)*(1+G109/100)-1)*100</f>
        <v>-0.40960000000000996</v>
      </c>
      <c r="N141" s="591">
        <f>+N13+N45+N77+N109</f>
        <v>-5.4504009000000036E-3</v>
      </c>
      <c r="O141" s="592">
        <f>+O13+O45+O77+O109</f>
        <v>1.5803424000000021E-3</v>
      </c>
    </row>
    <row r="142" spans="2:15" x14ac:dyDescent="0.2">
      <c r="B142" s="567"/>
      <c r="C142" s="588"/>
      <c r="D142" s="588"/>
      <c r="E142" s="569"/>
      <c r="F142" s="589"/>
      <c r="G142" s="590"/>
      <c r="N142" s="572"/>
      <c r="O142" s="573"/>
    </row>
    <row r="143" spans="2:15" x14ac:dyDescent="0.2">
      <c r="B143" s="567" t="s">
        <v>487</v>
      </c>
      <c r="C143" s="588">
        <f>+(C15+C47+C79+C111)/4</f>
        <v>0.2</v>
      </c>
      <c r="D143" s="588">
        <f>+(D15+D47+D79+D111)/4</f>
        <v>0.25</v>
      </c>
      <c r="E143" s="569"/>
      <c r="F143" s="589">
        <f>((1+F15/100)*(1+F47/100)*(1+F79/100)*(1+F111/100)-1)*100</f>
        <v>6.9937499999999764</v>
      </c>
      <c r="G143" s="590">
        <f>((1+G15/100)*(1+G47/100)*(1+G79/100)*(1+G111/100)-1)*100</f>
        <v>-14.463999999999988</v>
      </c>
      <c r="N143" s="591">
        <f>+N15+N47+N79+N111</f>
        <v>1.0734632999999992E-3</v>
      </c>
      <c r="O143" s="592">
        <f>+O15+O47+O79+O111</f>
        <v>4.0211306099999997E-2</v>
      </c>
    </row>
    <row r="144" spans="2:15" x14ac:dyDescent="0.2">
      <c r="B144" s="567"/>
      <c r="C144" s="588"/>
      <c r="D144" s="588" t="s">
        <v>0</v>
      </c>
      <c r="E144" s="569"/>
      <c r="F144" s="586"/>
      <c r="G144" s="587"/>
      <c r="N144" s="572"/>
      <c r="O144" s="573"/>
    </row>
    <row r="145" spans="2:16" x14ac:dyDescent="0.2">
      <c r="B145" s="567"/>
      <c r="C145" s="588"/>
      <c r="D145" s="588"/>
      <c r="E145" s="569"/>
      <c r="F145" s="586"/>
      <c r="G145" s="587"/>
      <c r="N145" s="572"/>
      <c r="O145" s="573"/>
    </row>
    <row r="146" spans="2:16" ht="13.5" thickBot="1" x14ac:dyDescent="0.25">
      <c r="B146" s="595" t="s">
        <v>16</v>
      </c>
      <c r="C146" s="596">
        <f>SUM(C139:C143)</f>
        <v>1</v>
      </c>
      <c r="D146" s="596">
        <f>SUM(D139:D144)</f>
        <v>1</v>
      </c>
      <c r="E146" s="752"/>
      <c r="F146" s="598">
        <f>((1+F18/100)*(1+F50/100)*(1+F82/100)*(1+F114/100)-1)*100</f>
        <v>3.859320949999967</v>
      </c>
      <c r="G146" s="599">
        <f>((1+G18/100)*(1+G50/100)*(1+G82/100)*(1+G114/100)-1)*100</f>
        <v>-9.4062519999999932</v>
      </c>
      <c r="H146" s="600"/>
      <c r="N146" s="601">
        <f>SUM(N139:N143)</f>
        <v>1.2359636100000003E-2</v>
      </c>
      <c r="O146" s="602">
        <f>SUM(O139:O143)</f>
        <v>0.1202960934</v>
      </c>
    </row>
    <row r="150" spans="2:16" ht="15.75" x14ac:dyDescent="0.25">
      <c r="N150" s="619" t="s">
        <v>488</v>
      </c>
      <c r="O150" s="620"/>
      <c r="P150" s="621">
        <f>+(F146-G146)/100</f>
        <v>0.1326557294999996</v>
      </c>
    </row>
    <row r="151" spans="2:16" x14ac:dyDescent="0.2">
      <c r="N151" s="622"/>
      <c r="O151" s="609"/>
      <c r="P151" s="623"/>
    </row>
    <row r="152" spans="2:16" x14ac:dyDescent="0.2">
      <c r="N152" s="622" t="s">
        <v>477</v>
      </c>
      <c r="O152" s="609"/>
      <c r="P152" s="624">
        <f>+N146</f>
        <v>1.2359636100000003E-2</v>
      </c>
    </row>
    <row r="153" spans="2:16" x14ac:dyDescent="0.2">
      <c r="N153" s="622" t="s">
        <v>531</v>
      </c>
      <c r="O153" s="609"/>
      <c r="P153" s="624">
        <f>+O146</f>
        <v>0.1202960934</v>
      </c>
    </row>
    <row r="154" spans="2:16" x14ac:dyDescent="0.2">
      <c r="N154" s="622" t="s">
        <v>0</v>
      </c>
      <c r="O154" s="609"/>
      <c r="P154" s="624" t="s">
        <v>0</v>
      </c>
    </row>
    <row r="155" spans="2:16" x14ac:dyDescent="0.2">
      <c r="N155" s="625" t="s">
        <v>141</v>
      </c>
      <c r="O155" s="626"/>
      <c r="P155" s="627">
        <f>+P150-P152-P153</f>
        <v>-4.0245584642661925E-16</v>
      </c>
    </row>
  </sheetData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345-25B4-4C49-9911-3345D579E665}">
  <dimension ref="B1:AJ152"/>
  <sheetViews>
    <sheetView workbookViewId="0">
      <selection activeCell="T1" sqref="T1"/>
    </sheetView>
  </sheetViews>
  <sheetFormatPr defaultRowHeight="12.75" x14ac:dyDescent="0.2"/>
  <cols>
    <col min="1" max="1" width="9.140625" style="556"/>
    <col min="2" max="2" width="15.7109375" style="556" customWidth="1"/>
    <col min="3" max="4" width="10.7109375" style="556" customWidth="1"/>
    <col min="5" max="5" width="2.7109375" style="556" customWidth="1"/>
    <col min="6" max="7" width="10.7109375" style="556" customWidth="1"/>
    <col min="8" max="8" width="9.140625" style="556"/>
    <col min="9" max="10" width="10.7109375" style="556" customWidth="1"/>
    <col min="11" max="12" width="9.140625" style="556"/>
    <col min="13" max="15" width="10.7109375" style="556" customWidth="1"/>
    <col min="16" max="26" width="9.140625" style="556"/>
    <col min="27" max="27" width="15.7109375" style="556" customWidth="1"/>
    <col min="28" max="29" width="10.7109375" style="556" customWidth="1"/>
    <col min="30" max="30" width="2.7109375" style="556" customWidth="1"/>
    <col min="31" max="32" width="10.7109375" style="556" customWidth="1"/>
    <col min="33" max="257" width="9.140625" style="556"/>
    <col min="258" max="258" width="15.7109375" style="556" customWidth="1"/>
    <col min="259" max="260" width="10.7109375" style="556" customWidth="1"/>
    <col min="261" max="261" width="2.7109375" style="556" customWidth="1"/>
    <col min="262" max="263" width="10.7109375" style="556" customWidth="1"/>
    <col min="264" max="264" width="9.140625" style="556"/>
    <col min="265" max="266" width="10.7109375" style="556" customWidth="1"/>
    <col min="267" max="268" width="9.140625" style="556"/>
    <col min="269" max="271" width="10.7109375" style="556" customWidth="1"/>
    <col min="272" max="282" width="9.140625" style="556"/>
    <col min="283" max="283" width="15.7109375" style="556" customWidth="1"/>
    <col min="284" max="285" width="10.7109375" style="556" customWidth="1"/>
    <col min="286" max="286" width="2.7109375" style="556" customWidth="1"/>
    <col min="287" max="288" width="10.7109375" style="556" customWidth="1"/>
    <col min="289" max="513" width="9.140625" style="556"/>
    <col min="514" max="514" width="15.7109375" style="556" customWidth="1"/>
    <col min="515" max="516" width="10.7109375" style="556" customWidth="1"/>
    <col min="517" max="517" width="2.7109375" style="556" customWidth="1"/>
    <col min="518" max="519" width="10.7109375" style="556" customWidth="1"/>
    <col min="520" max="520" width="9.140625" style="556"/>
    <col min="521" max="522" width="10.7109375" style="556" customWidth="1"/>
    <col min="523" max="524" width="9.140625" style="556"/>
    <col min="525" max="527" width="10.7109375" style="556" customWidth="1"/>
    <col min="528" max="538" width="9.140625" style="556"/>
    <col min="539" max="539" width="15.7109375" style="556" customWidth="1"/>
    <col min="540" max="541" width="10.7109375" style="556" customWidth="1"/>
    <col min="542" max="542" width="2.7109375" style="556" customWidth="1"/>
    <col min="543" max="544" width="10.7109375" style="556" customWidth="1"/>
    <col min="545" max="769" width="9.140625" style="556"/>
    <col min="770" max="770" width="15.7109375" style="556" customWidth="1"/>
    <col min="771" max="772" width="10.7109375" style="556" customWidth="1"/>
    <col min="773" max="773" width="2.7109375" style="556" customWidth="1"/>
    <col min="774" max="775" width="10.7109375" style="556" customWidth="1"/>
    <col min="776" max="776" width="9.140625" style="556"/>
    <col min="777" max="778" width="10.7109375" style="556" customWidth="1"/>
    <col min="779" max="780" width="9.140625" style="556"/>
    <col min="781" max="783" width="10.7109375" style="556" customWidth="1"/>
    <col min="784" max="794" width="9.140625" style="556"/>
    <col min="795" max="795" width="15.7109375" style="556" customWidth="1"/>
    <col min="796" max="797" width="10.7109375" style="556" customWidth="1"/>
    <col min="798" max="798" width="2.7109375" style="556" customWidth="1"/>
    <col min="799" max="800" width="10.7109375" style="556" customWidth="1"/>
    <col min="801" max="1025" width="9.140625" style="556"/>
    <col min="1026" max="1026" width="15.7109375" style="556" customWidth="1"/>
    <col min="1027" max="1028" width="10.7109375" style="556" customWidth="1"/>
    <col min="1029" max="1029" width="2.7109375" style="556" customWidth="1"/>
    <col min="1030" max="1031" width="10.7109375" style="556" customWidth="1"/>
    <col min="1032" max="1032" width="9.140625" style="556"/>
    <col min="1033" max="1034" width="10.7109375" style="556" customWidth="1"/>
    <col min="1035" max="1036" width="9.140625" style="556"/>
    <col min="1037" max="1039" width="10.7109375" style="556" customWidth="1"/>
    <col min="1040" max="1050" width="9.140625" style="556"/>
    <col min="1051" max="1051" width="15.7109375" style="556" customWidth="1"/>
    <col min="1052" max="1053" width="10.7109375" style="556" customWidth="1"/>
    <col min="1054" max="1054" width="2.7109375" style="556" customWidth="1"/>
    <col min="1055" max="1056" width="10.7109375" style="556" customWidth="1"/>
    <col min="1057" max="1281" width="9.140625" style="556"/>
    <col min="1282" max="1282" width="15.7109375" style="556" customWidth="1"/>
    <col min="1283" max="1284" width="10.7109375" style="556" customWidth="1"/>
    <col min="1285" max="1285" width="2.7109375" style="556" customWidth="1"/>
    <col min="1286" max="1287" width="10.7109375" style="556" customWidth="1"/>
    <col min="1288" max="1288" width="9.140625" style="556"/>
    <col min="1289" max="1290" width="10.7109375" style="556" customWidth="1"/>
    <col min="1291" max="1292" width="9.140625" style="556"/>
    <col min="1293" max="1295" width="10.7109375" style="556" customWidth="1"/>
    <col min="1296" max="1306" width="9.140625" style="556"/>
    <col min="1307" max="1307" width="15.7109375" style="556" customWidth="1"/>
    <col min="1308" max="1309" width="10.7109375" style="556" customWidth="1"/>
    <col min="1310" max="1310" width="2.7109375" style="556" customWidth="1"/>
    <col min="1311" max="1312" width="10.7109375" style="556" customWidth="1"/>
    <col min="1313" max="1537" width="9.140625" style="556"/>
    <col min="1538" max="1538" width="15.7109375" style="556" customWidth="1"/>
    <col min="1539" max="1540" width="10.7109375" style="556" customWidth="1"/>
    <col min="1541" max="1541" width="2.7109375" style="556" customWidth="1"/>
    <col min="1542" max="1543" width="10.7109375" style="556" customWidth="1"/>
    <col min="1544" max="1544" width="9.140625" style="556"/>
    <col min="1545" max="1546" width="10.7109375" style="556" customWidth="1"/>
    <col min="1547" max="1548" width="9.140625" style="556"/>
    <col min="1549" max="1551" width="10.7109375" style="556" customWidth="1"/>
    <col min="1552" max="1562" width="9.140625" style="556"/>
    <col min="1563" max="1563" width="15.7109375" style="556" customWidth="1"/>
    <col min="1564" max="1565" width="10.7109375" style="556" customWidth="1"/>
    <col min="1566" max="1566" width="2.7109375" style="556" customWidth="1"/>
    <col min="1567" max="1568" width="10.7109375" style="556" customWidth="1"/>
    <col min="1569" max="1793" width="9.140625" style="556"/>
    <col min="1794" max="1794" width="15.7109375" style="556" customWidth="1"/>
    <col min="1795" max="1796" width="10.7109375" style="556" customWidth="1"/>
    <col min="1797" max="1797" width="2.7109375" style="556" customWidth="1"/>
    <col min="1798" max="1799" width="10.7109375" style="556" customWidth="1"/>
    <col min="1800" max="1800" width="9.140625" style="556"/>
    <col min="1801" max="1802" width="10.7109375" style="556" customWidth="1"/>
    <col min="1803" max="1804" width="9.140625" style="556"/>
    <col min="1805" max="1807" width="10.7109375" style="556" customWidth="1"/>
    <col min="1808" max="1818" width="9.140625" style="556"/>
    <col min="1819" max="1819" width="15.7109375" style="556" customWidth="1"/>
    <col min="1820" max="1821" width="10.7109375" style="556" customWidth="1"/>
    <col min="1822" max="1822" width="2.7109375" style="556" customWidth="1"/>
    <col min="1823" max="1824" width="10.7109375" style="556" customWidth="1"/>
    <col min="1825" max="2049" width="9.140625" style="556"/>
    <col min="2050" max="2050" width="15.7109375" style="556" customWidth="1"/>
    <col min="2051" max="2052" width="10.7109375" style="556" customWidth="1"/>
    <col min="2053" max="2053" width="2.7109375" style="556" customWidth="1"/>
    <col min="2054" max="2055" width="10.7109375" style="556" customWidth="1"/>
    <col min="2056" max="2056" width="9.140625" style="556"/>
    <col min="2057" max="2058" width="10.7109375" style="556" customWidth="1"/>
    <col min="2059" max="2060" width="9.140625" style="556"/>
    <col min="2061" max="2063" width="10.7109375" style="556" customWidth="1"/>
    <col min="2064" max="2074" width="9.140625" style="556"/>
    <col min="2075" max="2075" width="15.7109375" style="556" customWidth="1"/>
    <col min="2076" max="2077" width="10.7109375" style="556" customWidth="1"/>
    <col min="2078" max="2078" width="2.7109375" style="556" customWidth="1"/>
    <col min="2079" max="2080" width="10.7109375" style="556" customWidth="1"/>
    <col min="2081" max="2305" width="9.140625" style="556"/>
    <col min="2306" max="2306" width="15.7109375" style="556" customWidth="1"/>
    <col min="2307" max="2308" width="10.7109375" style="556" customWidth="1"/>
    <col min="2309" max="2309" width="2.7109375" style="556" customWidth="1"/>
    <col min="2310" max="2311" width="10.7109375" style="556" customWidth="1"/>
    <col min="2312" max="2312" width="9.140625" style="556"/>
    <col min="2313" max="2314" width="10.7109375" style="556" customWidth="1"/>
    <col min="2315" max="2316" width="9.140625" style="556"/>
    <col min="2317" max="2319" width="10.7109375" style="556" customWidth="1"/>
    <col min="2320" max="2330" width="9.140625" style="556"/>
    <col min="2331" max="2331" width="15.7109375" style="556" customWidth="1"/>
    <col min="2332" max="2333" width="10.7109375" style="556" customWidth="1"/>
    <col min="2334" max="2334" width="2.7109375" style="556" customWidth="1"/>
    <col min="2335" max="2336" width="10.7109375" style="556" customWidth="1"/>
    <col min="2337" max="2561" width="9.140625" style="556"/>
    <col min="2562" max="2562" width="15.7109375" style="556" customWidth="1"/>
    <col min="2563" max="2564" width="10.7109375" style="556" customWidth="1"/>
    <col min="2565" max="2565" width="2.7109375" style="556" customWidth="1"/>
    <col min="2566" max="2567" width="10.7109375" style="556" customWidth="1"/>
    <col min="2568" max="2568" width="9.140625" style="556"/>
    <col min="2569" max="2570" width="10.7109375" style="556" customWidth="1"/>
    <col min="2571" max="2572" width="9.140625" style="556"/>
    <col min="2573" max="2575" width="10.7109375" style="556" customWidth="1"/>
    <col min="2576" max="2586" width="9.140625" style="556"/>
    <col min="2587" max="2587" width="15.7109375" style="556" customWidth="1"/>
    <col min="2588" max="2589" width="10.7109375" style="556" customWidth="1"/>
    <col min="2590" max="2590" width="2.7109375" style="556" customWidth="1"/>
    <col min="2591" max="2592" width="10.7109375" style="556" customWidth="1"/>
    <col min="2593" max="2817" width="9.140625" style="556"/>
    <col min="2818" max="2818" width="15.7109375" style="556" customWidth="1"/>
    <col min="2819" max="2820" width="10.7109375" style="556" customWidth="1"/>
    <col min="2821" max="2821" width="2.7109375" style="556" customWidth="1"/>
    <col min="2822" max="2823" width="10.7109375" style="556" customWidth="1"/>
    <col min="2824" max="2824" width="9.140625" style="556"/>
    <col min="2825" max="2826" width="10.7109375" style="556" customWidth="1"/>
    <col min="2827" max="2828" width="9.140625" style="556"/>
    <col min="2829" max="2831" width="10.7109375" style="556" customWidth="1"/>
    <col min="2832" max="2842" width="9.140625" style="556"/>
    <col min="2843" max="2843" width="15.7109375" style="556" customWidth="1"/>
    <col min="2844" max="2845" width="10.7109375" style="556" customWidth="1"/>
    <col min="2846" max="2846" width="2.7109375" style="556" customWidth="1"/>
    <col min="2847" max="2848" width="10.7109375" style="556" customWidth="1"/>
    <col min="2849" max="3073" width="9.140625" style="556"/>
    <col min="3074" max="3074" width="15.7109375" style="556" customWidth="1"/>
    <col min="3075" max="3076" width="10.7109375" style="556" customWidth="1"/>
    <col min="3077" max="3077" width="2.7109375" style="556" customWidth="1"/>
    <col min="3078" max="3079" width="10.7109375" style="556" customWidth="1"/>
    <col min="3080" max="3080" width="9.140625" style="556"/>
    <col min="3081" max="3082" width="10.7109375" style="556" customWidth="1"/>
    <col min="3083" max="3084" width="9.140625" style="556"/>
    <col min="3085" max="3087" width="10.7109375" style="556" customWidth="1"/>
    <col min="3088" max="3098" width="9.140625" style="556"/>
    <col min="3099" max="3099" width="15.7109375" style="556" customWidth="1"/>
    <col min="3100" max="3101" width="10.7109375" style="556" customWidth="1"/>
    <col min="3102" max="3102" width="2.7109375" style="556" customWidth="1"/>
    <col min="3103" max="3104" width="10.7109375" style="556" customWidth="1"/>
    <col min="3105" max="3329" width="9.140625" style="556"/>
    <col min="3330" max="3330" width="15.7109375" style="556" customWidth="1"/>
    <col min="3331" max="3332" width="10.7109375" style="556" customWidth="1"/>
    <col min="3333" max="3333" width="2.7109375" style="556" customWidth="1"/>
    <col min="3334" max="3335" width="10.7109375" style="556" customWidth="1"/>
    <col min="3336" max="3336" width="9.140625" style="556"/>
    <col min="3337" max="3338" width="10.7109375" style="556" customWidth="1"/>
    <col min="3339" max="3340" width="9.140625" style="556"/>
    <col min="3341" max="3343" width="10.7109375" style="556" customWidth="1"/>
    <col min="3344" max="3354" width="9.140625" style="556"/>
    <col min="3355" max="3355" width="15.7109375" style="556" customWidth="1"/>
    <col min="3356" max="3357" width="10.7109375" style="556" customWidth="1"/>
    <col min="3358" max="3358" width="2.7109375" style="556" customWidth="1"/>
    <col min="3359" max="3360" width="10.7109375" style="556" customWidth="1"/>
    <col min="3361" max="3585" width="9.140625" style="556"/>
    <col min="3586" max="3586" width="15.7109375" style="556" customWidth="1"/>
    <col min="3587" max="3588" width="10.7109375" style="556" customWidth="1"/>
    <col min="3589" max="3589" width="2.7109375" style="556" customWidth="1"/>
    <col min="3590" max="3591" width="10.7109375" style="556" customWidth="1"/>
    <col min="3592" max="3592" width="9.140625" style="556"/>
    <col min="3593" max="3594" width="10.7109375" style="556" customWidth="1"/>
    <col min="3595" max="3596" width="9.140625" style="556"/>
    <col min="3597" max="3599" width="10.7109375" style="556" customWidth="1"/>
    <col min="3600" max="3610" width="9.140625" style="556"/>
    <col min="3611" max="3611" width="15.7109375" style="556" customWidth="1"/>
    <col min="3612" max="3613" width="10.7109375" style="556" customWidth="1"/>
    <col min="3614" max="3614" width="2.7109375" style="556" customWidth="1"/>
    <col min="3615" max="3616" width="10.7109375" style="556" customWidth="1"/>
    <col min="3617" max="3841" width="9.140625" style="556"/>
    <col min="3842" max="3842" width="15.7109375" style="556" customWidth="1"/>
    <col min="3843" max="3844" width="10.7109375" style="556" customWidth="1"/>
    <col min="3845" max="3845" width="2.7109375" style="556" customWidth="1"/>
    <col min="3846" max="3847" width="10.7109375" style="556" customWidth="1"/>
    <col min="3848" max="3848" width="9.140625" style="556"/>
    <col min="3849" max="3850" width="10.7109375" style="556" customWidth="1"/>
    <col min="3851" max="3852" width="9.140625" style="556"/>
    <col min="3853" max="3855" width="10.7109375" style="556" customWidth="1"/>
    <col min="3856" max="3866" width="9.140625" style="556"/>
    <col min="3867" max="3867" width="15.7109375" style="556" customWidth="1"/>
    <col min="3868" max="3869" width="10.7109375" style="556" customWidth="1"/>
    <col min="3870" max="3870" width="2.7109375" style="556" customWidth="1"/>
    <col min="3871" max="3872" width="10.7109375" style="556" customWidth="1"/>
    <col min="3873" max="4097" width="9.140625" style="556"/>
    <col min="4098" max="4098" width="15.7109375" style="556" customWidth="1"/>
    <col min="4099" max="4100" width="10.7109375" style="556" customWidth="1"/>
    <col min="4101" max="4101" width="2.7109375" style="556" customWidth="1"/>
    <col min="4102" max="4103" width="10.7109375" style="556" customWidth="1"/>
    <col min="4104" max="4104" width="9.140625" style="556"/>
    <col min="4105" max="4106" width="10.7109375" style="556" customWidth="1"/>
    <col min="4107" max="4108" width="9.140625" style="556"/>
    <col min="4109" max="4111" width="10.7109375" style="556" customWidth="1"/>
    <col min="4112" max="4122" width="9.140625" style="556"/>
    <col min="4123" max="4123" width="15.7109375" style="556" customWidth="1"/>
    <col min="4124" max="4125" width="10.7109375" style="556" customWidth="1"/>
    <col min="4126" max="4126" width="2.7109375" style="556" customWidth="1"/>
    <col min="4127" max="4128" width="10.7109375" style="556" customWidth="1"/>
    <col min="4129" max="4353" width="9.140625" style="556"/>
    <col min="4354" max="4354" width="15.7109375" style="556" customWidth="1"/>
    <col min="4355" max="4356" width="10.7109375" style="556" customWidth="1"/>
    <col min="4357" max="4357" width="2.7109375" style="556" customWidth="1"/>
    <col min="4358" max="4359" width="10.7109375" style="556" customWidth="1"/>
    <col min="4360" max="4360" width="9.140625" style="556"/>
    <col min="4361" max="4362" width="10.7109375" style="556" customWidth="1"/>
    <col min="4363" max="4364" width="9.140625" style="556"/>
    <col min="4365" max="4367" width="10.7109375" style="556" customWidth="1"/>
    <col min="4368" max="4378" width="9.140625" style="556"/>
    <col min="4379" max="4379" width="15.7109375" style="556" customWidth="1"/>
    <col min="4380" max="4381" width="10.7109375" style="556" customWidth="1"/>
    <col min="4382" max="4382" width="2.7109375" style="556" customWidth="1"/>
    <col min="4383" max="4384" width="10.7109375" style="556" customWidth="1"/>
    <col min="4385" max="4609" width="9.140625" style="556"/>
    <col min="4610" max="4610" width="15.7109375" style="556" customWidth="1"/>
    <col min="4611" max="4612" width="10.7109375" style="556" customWidth="1"/>
    <col min="4613" max="4613" width="2.7109375" style="556" customWidth="1"/>
    <col min="4614" max="4615" width="10.7109375" style="556" customWidth="1"/>
    <col min="4616" max="4616" width="9.140625" style="556"/>
    <col min="4617" max="4618" width="10.7109375" style="556" customWidth="1"/>
    <col min="4619" max="4620" width="9.140625" style="556"/>
    <col min="4621" max="4623" width="10.7109375" style="556" customWidth="1"/>
    <col min="4624" max="4634" width="9.140625" style="556"/>
    <col min="4635" max="4635" width="15.7109375" style="556" customWidth="1"/>
    <col min="4636" max="4637" width="10.7109375" style="556" customWidth="1"/>
    <col min="4638" max="4638" width="2.7109375" style="556" customWidth="1"/>
    <col min="4639" max="4640" width="10.7109375" style="556" customWidth="1"/>
    <col min="4641" max="4865" width="9.140625" style="556"/>
    <col min="4866" max="4866" width="15.7109375" style="556" customWidth="1"/>
    <col min="4867" max="4868" width="10.7109375" style="556" customWidth="1"/>
    <col min="4869" max="4869" width="2.7109375" style="556" customWidth="1"/>
    <col min="4870" max="4871" width="10.7109375" style="556" customWidth="1"/>
    <col min="4872" max="4872" width="9.140625" style="556"/>
    <col min="4873" max="4874" width="10.7109375" style="556" customWidth="1"/>
    <col min="4875" max="4876" width="9.140625" style="556"/>
    <col min="4877" max="4879" width="10.7109375" style="556" customWidth="1"/>
    <col min="4880" max="4890" width="9.140625" style="556"/>
    <col min="4891" max="4891" width="15.7109375" style="556" customWidth="1"/>
    <col min="4892" max="4893" width="10.7109375" style="556" customWidth="1"/>
    <col min="4894" max="4894" width="2.7109375" style="556" customWidth="1"/>
    <col min="4895" max="4896" width="10.7109375" style="556" customWidth="1"/>
    <col min="4897" max="5121" width="9.140625" style="556"/>
    <col min="5122" max="5122" width="15.7109375" style="556" customWidth="1"/>
    <col min="5123" max="5124" width="10.7109375" style="556" customWidth="1"/>
    <col min="5125" max="5125" width="2.7109375" style="556" customWidth="1"/>
    <col min="5126" max="5127" width="10.7109375" style="556" customWidth="1"/>
    <col min="5128" max="5128" width="9.140625" style="556"/>
    <col min="5129" max="5130" width="10.7109375" style="556" customWidth="1"/>
    <col min="5131" max="5132" width="9.140625" style="556"/>
    <col min="5133" max="5135" width="10.7109375" style="556" customWidth="1"/>
    <col min="5136" max="5146" width="9.140625" style="556"/>
    <col min="5147" max="5147" width="15.7109375" style="556" customWidth="1"/>
    <col min="5148" max="5149" width="10.7109375" style="556" customWidth="1"/>
    <col min="5150" max="5150" width="2.7109375" style="556" customWidth="1"/>
    <col min="5151" max="5152" width="10.7109375" style="556" customWidth="1"/>
    <col min="5153" max="5377" width="9.140625" style="556"/>
    <col min="5378" max="5378" width="15.7109375" style="556" customWidth="1"/>
    <col min="5379" max="5380" width="10.7109375" style="556" customWidth="1"/>
    <col min="5381" max="5381" width="2.7109375" style="556" customWidth="1"/>
    <col min="5382" max="5383" width="10.7109375" style="556" customWidth="1"/>
    <col min="5384" max="5384" width="9.140625" style="556"/>
    <col min="5385" max="5386" width="10.7109375" style="556" customWidth="1"/>
    <col min="5387" max="5388" width="9.140625" style="556"/>
    <col min="5389" max="5391" width="10.7109375" style="556" customWidth="1"/>
    <col min="5392" max="5402" width="9.140625" style="556"/>
    <col min="5403" max="5403" width="15.7109375" style="556" customWidth="1"/>
    <col min="5404" max="5405" width="10.7109375" style="556" customWidth="1"/>
    <col min="5406" max="5406" width="2.7109375" style="556" customWidth="1"/>
    <col min="5407" max="5408" width="10.7109375" style="556" customWidth="1"/>
    <col min="5409" max="5633" width="9.140625" style="556"/>
    <col min="5634" max="5634" width="15.7109375" style="556" customWidth="1"/>
    <col min="5635" max="5636" width="10.7109375" style="556" customWidth="1"/>
    <col min="5637" max="5637" width="2.7109375" style="556" customWidth="1"/>
    <col min="5638" max="5639" width="10.7109375" style="556" customWidth="1"/>
    <col min="5640" max="5640" width="9.140625" style="556"/>
    <col min="5641" max="5642" width="10.7109375" style="556" customWidth="1"/>
    <col min="5643" max="5644" width="9.140625" style="556"/>
    <col min="5645" max="5647" width="10.7109375" style="556" customWidth="1"/>
    <col min="5648" max="5658" width="9.140625" style="556"/>
    <col min="5659" max="5659" width="15.7109375" style="556" customWidth="1"/>
    <col min="5660" max="5661" width="10.7109375" style="556" customWidth="1"/>
    <col min="5662" max="5662" width="2.7109375" style="556" customWidth="1"/>
    <col min="5663" max="5664" width="10.7109375" style="556" customWidth="1"/>
    <col min="5665" max="5889" width="9.140625" style="556"/>
    <col min="5890" max="5890" width="15.7109375" style="556" customWidth="1"/>
    <col min="5891" max="5892" width="10.7109375" style="556" customWidth="1"/>
    <col min="5893" max="5893" width="2.7109375" style="556" customWidth="1"/>
    <col min="5894" max="5895" width="10.7109375" style="556" customWidth="1"/>
    <col min="5896" max="5896" width="9.140625" style="556"/>
    <col min="5897" max="5898" width="10.7109375" style="556" customWidth="1"/>
    <col min="5899" max="5900" width="9.140625" style="556"/>
    <col min="5901" max="5903" width="10.7109375" style="556" customWidth="1"/>
    <col min="5904" max="5914" width="9.140625" style="556"/>
    <col min="5915" max="5915" width="15.7109375" style="556" customWidth="1"/>
    <col min="5916" max="5917" width="10.7109375" style="556" customWidth="1"/>
    <col min="5918" max="5918" width="2.7109375" style="556" customWidth="1"/>
    <col min="5919" max="5920" width="10.7109375" style="556" customWidth="1"/>
    <col min="5921" max="6145" width="9.140625" style="556"/>
    <col min="6146" max="6146" width="15.7109375" style="556" customWidth="1"/>
    <col min="6147" max="6148" width="10.7109375" style="556" customWidth="1"/>
    <col min="6149" max="6149" width="2.7109375" style="556" customWidth="1"/>
    <col min="6150" max="6151" width="10.7109375" style="556" customWidth="1"/>
    <col min="6152" max="6152" width="9.140625" style="556"/>
    <col min="6153" max="6154" width="10.7109375" style="556" customWidth="1"/>
    <col min="6155" max="6156" width="9.140625" style="556"/>
    <col min="6157" max="6159" width="10.7109375" style="556" customWidth="1"/>
    <col min="6160" max="6170" width="9.140625" style="556"/>
    <col min="6171" max="6171" width="15.7109375" style="556" customWidth="1"/>
    <col min="6172" max="6173" width="10.7109375" style="556" customWidth="1"/>
    <col min="6174" max="6174" width="2.7109375" style="556" customWidth="1"/>
    <col min="6175" max="6176" width="10.7109375" style="556" customWidth="1"/>
    <col min="6177" max="6401" width="9.140625" style="556"/>
    <col min="6402" max="6402" width="15.7109375" style="556" customWidth="1"/>
    <col min="6403" max="6404" width="10.7109375" style="556" customWidth="1"/>
    <col min="6405" max="6405" width="2.7109375" style="556" customWidth="1"/>
    <col min="6406" max="6407" width="10.7109375" style="556" customWidth="1"/>
    <col min="6408" max="6408" width="9.140625" style="556"/>
    <col min="6409" max="6410" width="10.7109375" style="556" customWidth="1"/>
    <col min="6411" max="6412" width="9.140625" style="556"/>
    <col min="6413" max="6415" width="10.7109375" style="556" customWidth="1"/>
    <col min="6416" max="6426" width="9.140625" style="556"/>
    <col min="6427" max="6427" width="15.7109375" style="556" customWidth="1"/>
    <col min="6428" max="6429" width="10.7109375" style="556" customWidth="1"/>
    <col min="6430" max="6430" width="2.7109375" style="556" customWidth="1"/>
    <col min="6431" max="6432" width="10.7109375" style="556" customWidth="1"/>
    <col min="6433" max="6657" width="9.140625" style="556"/>
    <col min="6658" max="6658" width="15.7109375" style="556" customWidth="1"/>
    <col min="6659" max="6660" width="10.7109375" style="556" customWidth="1"/>
    <col min="6661" max="6661" width="2.7109375" style="556" customWidth="1"/>
    <col min="6662" max="6663" width="10.7109375" style="556" customWidth="1"/>
    <col min="6664" max="6664" width="9.140625" style="556"/>
    <col min="6665" max="6666" width="10.7109375" style="556" customWidth="1"/>
    <col min="6667" max="6668" width="9.140625" style="556"/>
    <col min="6669" max="6671" width="10.7109375" style="556" customWidth="1"/>
    <col min="6672" max="6682" width="9.140625" style="556"/>
    <col min="6683" max="6683" width="15.7109375" style="556" customWidth="1"/>
    <col min="6684" max="6685" width="10.7109375" style="556" customWidth="1"/>
    <col min="6686" max="6686" width="2.7109375" style="556" customWidth="1"/>
    <col min="6687" max="6688" width="10.7109375" style="556" customWidth="1"/>
    <col min="6689" max="6913" width="9.140625" style="556"/>
    <col min="6914" max="6914" width="15.7109375" style="556" customWidth="1"/>
    <col min="6915" max="6916" width="10.7109375" style="556" customWidth="1"/>
    <col min="6917" max="6917" width="2.7109375" style="556" customWidth="1"/>
    <col min="6918" max="6919" width="10.7109375" style="556" customWidth="1"/>
    <col min="6920" max="6920" width="9.140625" style="556"/>
    <col min="6921" max="6922" width="10.7109375" style="556" customWidth="1"/>
    <col min="6923" max="6924" width="9.140625" style="556"/>
    <col min="6925" max="6927" width="10.7109375" style="556" customWidth="1"/>
    <col min="6928" max="6938" width="9.140625" style="556"/>
    <col min="6939" max="6939" width="15.7109375" style="556" customWidth="1"/>
    <col min="6940" max="6941" width="10.7109375" style="556" customWidth="1"/>
    <col min="6942" max="6942" width="2.7109375" style="556" customWidth="1"/>
    <col min="6943" max="6944" width="10.7109375" style="556" customWidth="1"/>
    <col min="6945" max="7169" width="9.140625" style="556"/>
    <col min="7170" max="7170" width="15.7109375" style="556" customWidth="1"/>
    <col min="7171" max="7172" width="10.7109375" style="556" customWidth="1"/>
    <col min="7173" max="7173" width="2.7109375" style="556" customWidth="1"/>
    <col min="7174" max="7175" width="10.7109375" style="556" customWidth="1"/>
    <col min="7176" max="7176" width="9.140625" style="556"/>
    <col min="7177" max="7178" width="10.7109375" style="556" customWidth="1"/>
    <col min="7179" max="7180" width="9.140625" style="556"/>
    <col min="7181" max="7183" width="10.7109375" style="556" customWidth="1"/>
    <col min="7184" max="7194" width="9.140625" style="556"/>
    <col min="7195" max="7195" width="15.7109375" style="556" customWidth="1"/>
    <col min="7196" max="7197" width="10.7109375" style="556" customWidth="1"/>
    <col min="7198" max="7198" width="2.7109375" style="556" customWidth="1"/>
    <col min="7199" max="7200" width="10.7109375" style="556" customWidth="1"/>
    <col min="7201" max="7425" width="9.140625" style="556"/>
    <col min="7426" max="7426" width="15.7109375" style="556" customWidth="1"/>
    <col min="7427" max="7428" width="10.7109375" style="556" customWidth="1"/>
    <col min="7429" max="7429" width="2.7109375" style="556" customWidth="1"/>
    <col min="7430" max="7431" width="10.7109375" style="556" customWidth="1"/>
    <col min="7432" max="7432" width="9.140625" style="556"/>
    <col min="7433" max="7434" width="10.7109375" style="556" customWidth="1"/>
    <col min="7435" max="7436" width="9.140625" style="556"/>
    <col min="7437" max="7439" width="10.7109375" style="556" customWidth="1"/>
    <col min="7440" max="7450" width="9.140625" style="556"/>
    <col min="7451" max="7451" width="15.7109375" style="556" customWidth="1"/>
    <col min="7452" max="7453" width="10.7109375" style="556" customWidth="1"/>
    <col min="7454" max="7454" width="2.7109375" style="556" customWidth="1"/>
    <col min="7455" max="7456" width="10.7109375" style="556" customWidth="1"/>
    <col min="7457" max="7681" width="9.140625" style="556"/>
    <col min="7682" max="7682" width="15.7109375" style="556" customWidth="1"/>
    <col min="7683" max="7684" width="10.7109375" style="556" customWidth="1"/>
    <col min="7685" max="7685" width="2.7109375" style="556" customWidth="1"/>
    <col min="7686" max="7687" width="10.7109375" style="556" customWidth="1"/>
    <col min="7688" max="7688" width="9.140625" style="556"/>
    <col min="7689" max="7690" width="10.7109375" style="556" customWidth="1"/>
    <col min="7691" max="7692" width="9.140625" style="556"/>
    <col min="7693" max="7695" width="10.7109375" style="556" customWidth="1"/>
    <col min="7696" max="7706" width="9.140625" style="556"/>
    <col min="7707" max="7707" width="15.7109375" style="556" customWidth="1"/>
    <col min="7708" max="7709" width="10.7109375" style="556" customWidth="1"/>
    <col min="7710" max="7710" width="2.7109375" style="556" customWidth="1"/>
    <col min="7711" max="7712" width="10.7109375" style="556" customWidth="1"/>
    <col min="7713" max="7937" width="9.140625" style="556"/>
    <col min="7938" max="7938" width="15.7109375" style="556" customWidth="1"/>
    <col min="7939" max="7940" width="10.7109375" style="556" customWidth="1"/>
    <col min="7941" max="7941" width="2.7109375" style="556" customWidth="1"/>
    <col min="7942" max="7943" width="10.7109375" style="556" customWidth="1"/>
    <col min="7944" max="7944" width="9.140625" style="556"/>
    <col min="7945" max="7946" width="10.7109375" style="556" customWidth="1"/>
    <col min="7947" max="7948" width="9.140625" style="556"/>
    <col min="7949" max="7951" width="10.7109375" style="556" customWidth="1"/>
    <col min="7952" max="7962" width="9.140625" style="556"/>
    <col min="7963" max="7963" width="15.7109375" style="556" customWidth="1"/>
    <col min="7964" max="7965" width="10.7109375" style="556" customWidth="1"/>
    <col min="7966" max="7966" width="2.7109375" style="556" customWidth="1"/>
    <col min="7967" max="7968" width="10.7109375" style="556" customWidth="1"/>
    <col min="7969" max="8193" width="9.140625" style="556"/>
    <col min="8194" max="8194" width="15.7109375" style="556" customWidth="1"/>
    <col min="8195" max="8196" width="10.7109375" style="556" customWidth="1"/>
    <col min="8197" max="8197" width="2.7109375" style="556" customWidth="1"/>
    <col min="8198" max="8199" width="10.7109375" style="556" customWidth="1"/>
    <col min="8200" max="8200" width="9.140625" style="556"/>
    <col min="8201" max="8202" width="10.7109375" style="556" customWidth="1"/>
    <col min="8203" max="8204" width="9.140625" style="556"/>
    <col min="8205" max="8207" width="10.7109375" style="556" customWidth="1"/>
    <col min="8208" max="8218" width="9.140625" style="556"/>
    <col min="8219" max="8219" width="15.7109375" style="556" customWidth="1"/>
    <col min="8220" max="8221" width="10.7109375" style="556" customWidth="1"/>
    <col min="8222" max="8222" width="2.7109375" style="556" customWidth="1"/>
    <col min="8223" max="8224" width="10.7109375" style="556" customWidth="1"/>
    <col min="8225" max="8449" width="9.140625" style="556"/>
    <col min="8450" max="8450" width="15.7109375" style="556" customWidth="1"/>
    <col min="8451" max="8452" width="10.7109375" style="556" customWidth="1"/>
    <col min="8453" max="8453" width="2.7109375" style="556" customWidth="1"/>
    <col min="8454" max="8455" width="10.7109375" style="556" customWidth="1"/>
    <col min="8456" max="8456" width="9.140625" style="556"/>
    <col min="8457" max="8458" width="10.7109375" style="556" customWidth="1"/>
    <col min="8459" max="8460" width="9.140625" style="556"/>
    <col min="8461" max="8463" width="10.7109375" style="556" customWidth="1"/>
    <col min="8464" max="8474" width="9.140625" style="556"/>
    <col min="8475" max="8475" width="15.7109375" style="556" customWidth="1"/>
    <col min="8476" max="8477" width="10.7109375" style="556" customWidth="1"/>
    <col min="8478" max="8478" width="2.7109375" style="556" customWidth="1"/>
    <col min="8479" max="8480" width="10.7109375" style="556" customWidth="1"/>
    <col min="8481" max="8705" width="9.140625" style="556"/>
    <col min="8706" max="8706" width="15.7109375" style="556" customWidth="1"/>
    <col min="8707" max="8708" width="10.7109375" style="556" customWidth="1"/>
    <col min="8709" max="8709" width="2.7109375" style="556" customWidth="1"/>
    <col min="8710" max="8711" width="10.7109375" style="556" customWidth="1"/>
    <col min="8712" max="8712" width="9.140625" style="556"/>
    <col min="8713" max="8714" width="10.7109375" style="556" customWidth="1"/>
    <col min="8715" max="8716" width="9.140625" style="556"/>
    <col min="8717" max="8719" width="10.7109375" style="556" customWidth="1"/>
    <col min="8720" max="8730" width="9.140625" style="556"/>
    <col min="8731" max="8731" width="15.7109375" style="556" customWidth="1"/>
    <col min="8732" max="8733" width="10.7109375" style="556" customWidth="1"/>
    <col min="8734" max="8734" width="2.7109375" style="556" customWidth="1"/>
    <col min="8735" max="8736" width="10.7109375" style="556" customWidth="1"/>
    <col min="8737" max="8961" width="9.140625" style="556"/>
    <col min="8962" max="8962" width="15.7109375" style="556" customWidth="1"/>
    <col min="8963" max="8964" width="10.7109375" style="556" customWidth="1"/>
    <col min="8965" max="8965" width="2.7109375" style="556" customWidth="1"/>
    <col min="8966" max="8967" width="10.7109375" style="556" customWidth="1"/>
    <col min="8968" max="8968" width="9.140625" style="556"/>
    <col min="8969" max="8970" width="10.7109375" style="556" customWidth="1"/>
    <col min="8971" max="8972" width="9.140625" style="556"/>
    <col min="8973" max="8975" width="10.7109375" style="556" customWidth="1"/>
    <col min="8976" max="8986" width="9.140625" style="556"/>
    <col min="8987" max="8987" width="15.7109375" style="556" customWidth="1"/>
    <col min="8988" max="8989" width="10.7109375" style="556" customWidth="1"/>
    <col min="8990" max="8990" width="2.7109375" style="556" customWidth="1"/>
    <col min="8991" max="8992" width="10.7109375" style="556" customWidth="1"/>
    <col min="8993" max="9217" width="9.140625" style="556"/>
    <col min="9218" max="9218" width="15.7109375" style="556" customWidth="1"/>
    <col min="9219" max="9220" width="10.7109375" style="556" customWidth="1"/>
    <col min="9221" max="9221" width="2.7109375" style="556" customWidth="1"/>
    <col min="9222" max="9223" width="10.7109375" style="556" customWidth="1"/>
    <col min="9224" max="9224" width="9.140625" style="556"/>
    <col min="9225" max="9226" width="10.7109375" style="556" customWidth="1"/>
    <col min="9227" max="9228" width="9.140625" style="556"/>
    <col min="9229" max="9231" width="10.7109375" style="556" customWidth="1"/>
    <col min="9232" max="9242" width="9.140625" style="556"/>
    <col min="9243" max="9243" width="15.7109375" style="556" customWidth="1"/>
    <col min="9244" max="9245" width="10.7109375" style="556" customWidth="1"/>
    <col min="9246" max="9246" width="2.7109375" style="556" customWidth="1"/>
    <col min="9247" max="9248" width="10.7109375" style="556" customWidth="1"/>
    <col min="9249" max="9473" width="9.140625" style="556"/>
    <col min="9474" max="9474" width="15.7109375" style="556" customWidth="1"/>
    <col min="9475" max="9476" width="10.7109375" style="556" customWidth="1"/>
    <col min="9477" max="9477" width="2.7109375" style="556" customWidth="1"/>
    <col min="9478" max="9479" width="10.7109375" style="556" customWidth="1"/>
    <col min="9480" max="9480" width="9.140625" style="556"/>
    <col min="9481" max="9482" width="10.7109375" style="556" customWidth="1"/>
    <col min="9483" max="9484" width="9.140625" style="556"/>
    <col min="9485" max="9487" width="10.7109375" style="556" customWidth="1"/>
    <col min="9488" max="9498" width="9.140625" style="556"/>
    <col min="9499" max="9499" width="15.7109375" style="556" customWidth="1"/>
    <col min="9500" max="9501" width="10.7109375" style="556" customWidth="1"/>
    <col min="9502" max="9502" width="2.7109375" style="556" customWidth="1"/>
    <col min="9503" max="9504" width="10.7109375" style="556" customWidth="1"/>
    <col min="9505" max="9729" width="9.140625" style="556"/>
    <col min="9730" max="9730" width="15.7109375" style="556" customWidth="1"/>
    <col min="9731" max="9732" width="10.7109375" style="556" customWidth="1"/>
    <col min="9733" max="9733" width="2.7109375" style="556" customWidth="1"/>
    <col min="9734" max="9735" width="10.7109375" style="556" customWidth="1"/>
    <col min="9736" max="9736" width="9.140625" style="556"/>
    <col min="9737" max="9738" width="10.7109375" style="556" customWidth="1"/>
    <col min="9739" max="9740" width="9.140625" style="556"/>
    <col min="9741" max="9743" width="10.7109375" style="556" customWidth="1"/>
    <col min="9744" max="9754" width="9.140625" style="556"/>
    <col min="9755" max="9755" width="15.7109375" style="556" customWidth="1"/>
    <col min="9756" max="9757" width="10.7109375" style="556" customWidth="1"/>
    <col min="9758" max="9758" width="2.7109375" style="556" customWidth="1"/>
    <col min="9759" max="9760" width="10.7109375" style="556" customWidth="1"/>
    <col min="9761" max="9985" width="9.140625" style="556"/>
    <col min="9986" max="9986" width="15.7109375" style="556" customWidth="1"/>
    <col min="9987" max="9988" width="10.7109375" style="556" customWidth="1"/>
    <col min="9989" max="9989" width="2.7109375" style="556" customWidth="1"/>
    <col min="9990" max="9991" width="10.7109375" style="556" customWidth="1"/>
    <col min="9992" max="9992" width="9.140625" style="556"/>
    <col min="9993" max="9994" width="10.7109375" style="556" customWidth="1"/>
    <col min="9995" max="9996" width="9.140625" style="556"/>
    <col min="9997" max="9999" width="10.7109375" style="556" customWidth="1"/>
    <col min="10000" max="10010" width="9.140625" style="556"/>
    <col min="10011" max="10011" width="15.7109375" style="556" customWidth="1"/>
    <col min="10012" max="10013" width="10.7109375" style="556" customWidth="1"/>
    <col min="10014" max="10014" width="2.7109375" style="556" customWidth="1"/>
    <col min="10015" max="10016" width="10.7109375" style="556" customWidth="1"/>
    <col min="10017" max="10241" width="9.140625" style="556"/>
    <col min="10242" max="10242" width="15.7109375" style="556" customWidth="1"/>
    <col min="10243" max="10244" width="10.7109375" style="556" customWidth="1"/>
    <col min="10245" max="10245" width="2.7109375" style="556" customWidth="1"/>
    <col min="10246" max="10247" width="10.7109375" style="556" customWidth="1"/>
    <col min="10248" max="10248" width="9.140625" style="556"/>
    <col min="10249" max="10250" width="10.7109375" style="556" customWidth="1"/>
    <col min="10251" max="10252" width="9.140625" style="556"/>
    <col min="10253" max="10255" width="10.7109375" style="556" customWidth="1"/>
    <col min="10256" max="10266" width="9.140625" style="556"/>
    <col min="10267" max="10267" width="15.7109375" style="556" customWidth="1"/>
    <col min="10268" max="10269" width="10.7109375" style="556" customWidth="1"/>
    <col min="10270" max="10270" width="2.7109375" style="556" customWidth="1"/>
    <col min="10271" max="10272" width="10.7109375" style="556" customWidth="1"/>
    <col min="10273" max="10497" width="9.140625" style="556"/>
    <col min="10498" max="10498" width="15.7109375" style="556" customWidth="1"/>
    <col min="10499" max="10500" width="10.7109375" style="556" customWidth="1"/>
    <col min="10501" max="10501" width="2.7109375" style="556" customWidth="1"/>
    <col min="10502" max="10503" width="10.7109375" style="556" customWidth="1"/>
    <col min="10504" max="10504" width="9.140625" style="556"/>
    <col min="10505" max="10506" width="10.7109375" style="556" customWidth="1"/>
    <col min="10507" max="10508" width="9.140625" style="556"/>
    <col min="10509" max="10511" width="10.7109375" style="556" customWidth="1"/>
    <col min="10512" max="10522" width="9.140625" style="556"/>
    <col min="10523" max="10523" width="15.7109375" style="556" customWidth="1"/>
    <col min="10524" max="10525" width="10.7109375" style="556" customWidth="1"/>
    <col min="10526" max="10526" width="2.7109375" style="556" customWidth="1"/>
    <col min="10527" max="10528" width="10.7109375" style="556" customWidth="1"/>
    <col min="10529" max="10753" width="9.140625" style="556"/>
    <col min="10754" max="10754" width="15.7109375" style="556" customWidth="1"/>
    <col min="10755" max="10756" width="10.7109375" style="556" customWidth="1"/>
    <col min="10757" max="10757" width="2.7109375" style="556" customWidth="1"/>
    <col min="10758" max="10759" width="10.7109375" style="556" customWidth="1"/>
    <col min="10760" max="10760" width="9.140625" style="556"/>
    <col min="10761" max="10762" width="10.7109375" style="556" customWidth="1"/>
    <col min="10763" max="10764" width="9.140625" style="556"/>
    <col min="10765" max="10767" width="10.7109375" style="556" customWidth="1"/>
    <col min="10768" max="10778" width="9.140625" style="556"/>
    <col min="10779" max="10779" width="15.7109375" style="556" customWidth="1"/>
    <col min="10780" max="10781" width="10.7109375" style="556" customWidth="1"/>
    <col min="10782" max="10782" width="2.7109375" style="556" customWidth="1"/>
    <col min="10783" max="10784" width="10.7109375" style="556" customWidth="1"/>
    <col min="10785" max="11009" width="9.140625" style="556"/>
    <col min="11010" max="11010" width="15.7109375" style="556" customWidth="1"/>
    <col min="11011" max="11012" width="10.7109375" style="556" customWidth="1"/>
    <col min="11013" max="11013" width="2.7109375" style="556" customWidth="1"/>
    <col min="11014" max="11015" width="10.7109375" style="556" customWidth="1"/>
    <col min="11016" max="11016" width="9.140625" style="556"/>
    <col min="11017" max="11018" width="10.7109375" style="556" customWidth="1"/>
    <col min="11019" max="11020" width="9.140625" style="556"/>
    <col min="11021" max="11023" width="10.7109375" style="556" customWidth="1"/>
    <col min="11024" max="11034" width="9.140625" style="556"/>
    <col min="11035" max="11035" width="15.7109375" style="556" customWidth="1"/>
    <col min="11036" max="11037" width="10.7109375" style="556" customWidth="1"/>
    <col min="11038" max="11038" width="2.7109375" style="556" customWidth="1"/>
    <col min="11039" max="11040" width="10.7109375" style="556" customWidth="1"/>
    <col min="11041" max="11265" width="9.140625" style="556"/>
    <col min="11266" max="11266" width="15.7109375" style="556" customWidth="1"/>
    <col min="11267" max="11268" width="10.7109375" style="556" customWidth="1"/>
    <col min="11269" max="11269" width="2.7109375" style="556" customWidth="1"/>
    <col min="11270" max="11271" width="10.7109375" style="556" customWidth="1"/>
    <col min="11272" max="11272" width="9.140625" style="556"/>
    <col min="11273" max="11274" width="10.7109375" style="556" customWidth="1"/>
    <col min="11275" max="11276" width="9.140625" style="556"/>
    <col min="11277" max="11279" width="10.7109375" style="556" customWidth="1"/>
    <col min="11280" max="11290" width="9.140625" style="556"/>
    <col min="11291" max="11291" width="15.7109375" style="556" customWidth="1"/>
    <col min="11292" max="11293" width="10.7109375" style="556" customWidth="1"/>
    <col min="11294" max="11294" width="2.7109375" style="556" customWidth="1"/>
    <col min="11295" max="11296" width="10.7109375" style="556" customWidth="1"/>
    <col min="11297" max="11521" width="9.140625" style="556"/>
    <col min="11522" max="11522" width="15.7109375" style="556" customWidth="1"/>
    <col min="11523" max="11524" width="10.7109375" style="556" customWidth="1"/>
    <col min="11525" max="11525" width="2.7109375" style="556" customWidth="1"/>
    <col min="11526" max="11527" width="10.7109375" style="556" customWidth="1"/>
    <col min="11528" max="11528" width="9.140625" style="556"/>
    <col min="11529" max="11530" width="10.7109375" style="556" customWidth="1"/>
    <col min="11531" max="11532" width="9.140625" style="556"/>
    <col min="11533" max="11535" width="10.7109375" style="556" customWidth="1"/>
    <col min="11536" max="11546" width="9.140625" style="556"/>
    <col min="11547" max="11547" width="15.7109375" style="556" customWidth="1"/>
    <col min="11548" max="11549" width="10.7109375" style="556" customWidth="1"/>
    <col min="11550" max="11550" width="2.7109375" style="556" customWidth="1"/>
    <col min="11551" max="11552" width="10.7109375" style="556" customWidth="1"/>
    <col min="11553" max="11777" width="9.140625" style="556"/>
    <col min="11778" max="11778" width="15.7109375" style="556" customWidth="1"/>
    <col min="11779" max="11780" width="10.7109375" style="556" customWidth="1"/>
    <col min="11781" max="11781" width="2.7109375" style="556" customWidth="1"/>
    <col min="11782" max="11783" width="10.7109375" style="556" customWidth="1"/>
    <col min="11784" max="11784" width="9.140625" style="556"/>
    <col min="11785" max="11786" width="10.7109375" style="556" customWidth="1"/>
    <col min="11787" max="11788" width="9.140625" style="556"/>
    <col min="11789" max="11791" width="10.7109375" style="556" customWidth="1"/>
    <col min="11792" max="11802" width="9.140625" style="556"/>
    <col min="11803" max="11803" width="15.7109375" style="556" customWidth="1"/>
    <col min="11804" max="11805" width="10.7109375" style="556" customWidth="1"/>
    <col min="11806" max="11806" width="2.7109375" style="556" customWidth="1"/>
    <col min="11807" max="11808" width="10.7109375" style="556" customWidth="1"/>
    <col min="11809" max="12033" width="9.140625" style="556"/>
    <col min="12034" max="12034" width="15.7109375" style="556" customWidth="1"/>
    <col min="12035" max="12036" width="10.7109375" style="556" customWidth="1"/>
    <col min="12037" max="12037" width="2.7109375" style="556" customWidth="1"/>
    <col min="12038" max="12039" width="10.7109375" style="556" customWidth="1"/>
    <col min="12040" max="12040" width="9.140625" style="556"/>
    <col min="12041" max="12042" width="10.7109375" style="556" customWidth="1"/>
    <col min="12043" max="12044" width="9.140625" style="556"/>
    <col min="12045" max="12047" width="10.7109375" style="556" customWidth="1"/>
    <col min="12048" max="12058" width="9.140625" style="556"/>
    <col min="12059" max="12059" width="15.7109375" style="556" customWidth="1"/>
    <col min="12060" max="12061" width="10.7109375" style="556" customWidth="1"/>
    <col min="12062" max="12062" width="2.7109375" style="556" customWidth="1"/>
    <col min="12063" max="12064" width="10.7109375" style="556" customWidth="1"/>
    <col min="12065" max="12289" width="9.140625" style="556"/>
    <col min="12290" max="12290" width="15.7109375" style="556" customWidth="1"/>
    <col min="12291" max="12292" width="10.7109375" style="556" customWidth="1"/>
    <col min="12293" max="12293" width="2.7109375" style="556" customWidth="1"/>
    <col min="12294" max="12295" width="10.7109375" style="556" customWidth="1"/>
    <col min="12296" max="12296" width="9.140625" style="556"/>
    <col min="12297" max="12298" width="10.7109375" style="556" customWidth="1"/>
    <col min="12299" max="12300" width="9.140625" style="556"/>
    <col min="12301" max="12303" width="10.7109375" style="556" customWidth="1"/>
    <col min="12304" max="12314" width="9.140625" style="556"/>
    <col min="12315" max="12315" width="15.7109375" style="556" customWidth="1"/>
    <col min="12316" max="12317" width="10.7109375" style="556" customWidth="1"/>
    <col min="12318" max="12318" width="2.7109375" style="556" customWidth="1"/>
    <col min="12319" max="12320" width="10.7109375" style="556" customWidth="1"/>
    <col min="12321" max="12545" width="9.140625" style="556"/>
    <col min="12546" max="12546" width="15.7109375" style="556" customWidth="1"/>
    <col min="12547" max="12548" width="10.7109375" style="556" customWidth="1"/>
    <col min="12549" max="12549" width="2.7109375" style="556" customWidth="1"/>
    <col min="12550" max="12551" width="10.7109375" style="556" customWidth="1"/>
    <col min="12552" max="12552" width="9.140625" style="556"/>
    <col min="12553" max="12554" width="10.7109375" style="556" customWidth="1"/>
    <col min="12555" max="12556" width="9.140625" style="556"/>
    <col min="12557" max="12559" width="10.7109375" style="556" customWidth="1"/>
    <col min="12560" max="12570" width="9.140625" style="556"/>
    <col min="12571" max="12571" width="15.7109375" style="556" customWidth="1"/>
    <col min="12572" max="12573" width="10.7109375" style="556" customWidth="1"/>
    <col min="12574" max="12574" width="2.7109375" style="556" customWidth="1"/>
    <col min="12575" max="12576" width="10.7109375" style="556" customWidth="1"/>
    <col min="12577" max="12801" width="9.140625" style="556"/>
    <col min="12802" max="12802" width="15.7109375" style="556" customWidth="1"/>
    <col min="12803" max="12804" width="10.7109375" style="556" customWidth="1"/>
    <col min="12805" max="12805" width="2.7109375" style="556" customWidth="1"/>
    <col min="12806" max="12807" width="10.7109375" style="556" customWidth="1"/>
    <col min="12808" max="12808" width="9.140625" style="556"/>
    <col min="12809" max="12810" width="10.7109375" style="556" customWidth="1"/>
    <col min="12811" max="12812" width="9.140625" style="556"/>
    <col min="12813" max="12815" width="10.7109375" style="556" customWidth="1"/>
    <col min="12816" max="12826" width="9.140625" style="556"/>
    <col min="12827" max="12827" width="15.7109375" style="556" customWidth="1"/>
    <col min="12828" max="12829" width="10.7109375" style="556" customWidth="1"/>
    <col min="12830" max="12830" width="2.7109375" style="556" customWidth="1"/>
    <col min="12831" max="12832" width="10.7109375" style="556" customWidth="1"/>
    <col min="12833" max="13057" width="9.140625" style="556"/>
    <col min="13058" max="13058" width="15.7109375" style="556" customWidth="1"/>
    <col min="13059" max="13060" width="10.7109375" style="556" customWidth="1"/>
    <col min="13061" max="13061" width="2.7109375" style="556" customWidth="1"/>
    <col min="13062" max="13063" width="10.7109375" style="556" customWidth="1"/>
    <col min="13064" max="13064" width="9.140625" style="556"/>
    <col min="13065" max="13066" width="10.7109375" style="556" customWidth="1"/>
    <col min="13067" max="13068" width="9.140625" style="556"/>
    <col min="13069" max="13071" width="10.7109375" style="556" customWidth="1"/>
    <col min="13072" max="13082" width="9.140625" style="556"/>
    <col min="13083" max="13083" width="15.7109375" style="556" customWidth="1"/>
    <col min="13084" max="13085" width="10.7109375" style="556" customWidth="1"/>
    <col min="13086" max="13086" width="2.7109375" style="556" customWidth="1"/>
    <col min="13087" max="13088" width="10.7109375" style="556" customWidth="1"/>
    <col min="13089" max="13313" width="9.140625" style="556"/>
    <col min="13314" max="13314" width="15.7109375" style="556" customWidth="1"/>
    <col min="13315" max="13316" width="10.7109375" style="556" customWidth="1"/>
    <col min="13317" max="13317" width="2.7109375" style="556" customWidth="1"/>
    <col min="13318" max="13319" width="10.7109375" style="556" customWidth="1"/>
    <col min="13320" max="13320" width="9.140625" style="556"/>
    <col min="13321" max="13322" width="10.7109375" style="556" customWidth="1"/>
    <col min="13323" max="13324" width="9.140625" style="556"/>
    <col min="13325" max="13327" width="10.7109375" style="556" customWidth="1"/>
    <col min="13328" max="13338" width="9.140625" style="556"/>
    <col min="13339" max="13339" width="15.7109375" style="556" customWidth="1"/>
    <col min="13340" max="13341" width="10.7109375" style="556" customWidth="1"/>
    <col min="13342" max="13342" width="2.7109375" style="556" customWidth="1"/>
    <col min="13343" max="13344" width="10.7109375" style="556" customWidth="1"/>
    <col min="13345" max="13569" width="9.140625" style="556"/>
    <col min="13570" max="13570" width="15.7109375" style="556" customWidth="1"/>
    <col min="13571" max="13572" width="10.7109375" style="556" customWidth="1"/>
    <col min="13573" max="13573" width="2.7109375" style="556" customWidth="1"/>
    <col min="13574" max="13575" width="10.7109375" style="556" customWidth="1"/>
    <col min="13576" max="13576" width="9.140625" style="556"/>
    <col min="13577" max="13578" width="10.7109375" style="556" customWidth="1"/>
    <col min="13579" max="13580" width="9.140625" style="556"/>
    <col min="13581" max="13583" width="10.7109375" style="556" customWidth="1"/>
    <col min="13584" max="13594" width="9.140625" style="556"/>
    <col min="13595" max="13595" width="15.7109375" style="556" customWidth="1"/>
    <col min="13596" max="13597" width="10.7109375" style="556" customWidth="1"/>
    <col min="13598" max="13598" width="2.7109375" style="556" customWidth="1"/>
    <col min="13599" max="13600" width="10.7109375" style="556" customWidth="1"/>
    <col min="13601" max="13825" width="9.140625" style="556"/>
    <col min="13826" max="13826" width="15.7109375" style="556" customWidth="1"/>
    <col min="13827" max="13828" width="10.7109375" style="556" customWidth="1"/>
    <col min="13829" max="13829" width="2.7109375" style="556" customWidth="1"/>
    <col min="13830" max="13831" width="10.7109375" style="556" customWidth="1"/>
    <col min="13832" max="13832" width="9.140625" style="556"/>
    <col min="13833" max="13834" width="10.7109375" style="556" customWidth="1"/>
    <col min="13835" max="13836" width="9.140625" style="556"/>
    <col min="13837" max="13839" width="10.7109375" style="556" customWidth="1"/>
    <col min="13840" max="13850" width="9.140625" style="556"/>
    <col min="13851" max="13851" width="15.7109375" style="556" customWidth="1"/>
    <col min="13852" max="13853" width="10.7109375" style="556" customWidth="1"/>
    <col min="13854" max="13854" width="2.7109375" style="556" customWidth="1"/>
    <col min="13855" max="13856" width="10.7109375" style="556" customWidth="1"/>
    <col min="13857" max="14081" width="9.140625" style="556"/>
    <col min="14082" max="14082" width="15.7109375" style="556" customWidth="1"/>
    <col min="14083" max="14084" width="10.7109375" style="556" customWidth="1"/>
    <col min="14085" max="14085" width="2.7109375" style="556" customWidth="1"/>
    <col min="14086" max="14087" width="10.7109375" style="556" customWidth="1"/>
    <col min="14088" max="14088" width="9.140625" style="556"/>
    <col min="14089" max="14090" width="10.7109375" style="556" customWidth="1"/>
    <col min="14091" max="14092" width="9.140625" style="556"/>
    <col min="14093" max="14095" width="10.7109375" style="556" customWidth="1"/>
    <col min="14096" max="14106" width="9.140625" style="556"/>
    <col min="14107" max="14107" width="15.7109375" style="556" customWidth="1"/>
    <col min="14108" max="14109" width="10.7109375" style="556" customWidth="1"/>
    <col min="14110" max="14110" width="2.7109375" style="556" customWidth="1"/>
    <col min="14111" max="14112" width="10.7109375" style="556" customWidth="1"/>
    <col min="14113" max="14337" width="9.140625" style="556"/>
    <col min="14338" max="14338" width="15.7109375" style="556" customWidth="1"/>
    <col min="14339" max="14340" width="10.7109375" style="556" customWidth="1"/>
    <col min="14341" max="14341" width="2.7109375" style="556" customWidth="1"/>
    <col min="14342" max="14343" width="10.7109375" style="556" customWidth="1"/>
    <col min="14344" max="14344" width="9.140625" style="556"/>
    <col min="14345" max="14346" width="10.7109375" style="556" customWidth="1"/>
    <col min="14347" max="14348" width="9.140625" style="556"/>
    <col min="14349" max="14351" width="10.7109375" style="556" customWidth="1"/>
    <col min="14352" max="14362" width="9.140625" style="556"/>
    <col min="14363" max="14363" width="15.7109375" style="556" customWidth="1"/>
    <col min="14364" max="14365" width="10.7109375" style="556" customWidth="1"/>
    <col min="14366" max="14366" width="2.7109375" style="556" customWidth="1"/>
    <col min="14367" max="14368" width="10.7109375" style="556" customWidth="1"/>
    <col min="14369" max="14593" width="9.140625" style="556"/>
    <col min="14594" max="14594" width="15.7109375" style="556" customWidth="1"/>
    <col min="14595" max="14596" width="10.7109375" style="556" customWidth="1"/>
    <col min="14597" max="14597" width="2.7109375" style="556" customWidth="1"/>
    <col min="14598" max="14599" width="10.7109375" style="556" customWidth="1"/>
    <col min="14600" max="14600" width="9.140625" style="556"/>
    <col min="14601" max="14602" width="10.7109375" style="556" customWidth="1"/>
    <col min="14603" max="14604" width="9.140625" style="556"/>
    <col min="14605" max="14607" width="10.7109375" style="556" customWidth="1"/>
    <col min="14608" max="14618" width="9.140625" style="556"/>
    <col min="14619" max="14619" width="15.7109375" style="556" customWidth="1"/>
    <col min="14620" max="14621" width="10.7109375" style="556" customWidth="1"/>
    <col min="14622" max="14622" width="2.7109375" style="556" customWidth="1"/>
    <col min="14623" max="14624" width="10.7109375" style="556" customWidth="1"/>
    <col min="14625" max="14849" width="9.140625" style="556"/>
    <col min="14850" max="14850" width="15.7109375" style="556" customWidth="1"/>
    <col min="14851" max="14852" width="10.7109375" style="556" customWidth="1"/>
    <col min="14853" max="14853" width="2.7109375" style="556" customWidth="1"/>
    <col min="14854" max="14855" width="10.7109375" style="556" customWidth="1"/>
    <col min="14856" max="14856" width="9.140625" style="556"/>
    <col min="14857" max="14858" width="10.7109375" style="556" customWidth="1"/>
    <col min="14859" max="14860" width="9.140625" style="556"/>
    <col min="14861" max="14863" width="10.7109375" style="556" customWidth="1"/>
    <col min="14864" max="14874" width="9.140625" style="556"/>
    <col min="14875" max="14875" width="15.7109375" style="556" customWidth="1"/>
    <col min="14876" max="14877" width="10.7109375" style="556" customWidth="1"/>
    <col min="14878" max="14878" width="2.7109375" style="556" customWidth="1"/>
    <col min="14879" max="14880" width="10.7109375" style="556" customWidth="1"/>
    <col min="14881" max="15105" width="9.140625" style="556"/>
    <col min="15106" max="15106" width="15.7109375" style="556" customWidth="1"/>
    <col min="15107" max="15108" width="10.7109375" style="556" customWidth="1"/>
    <col min="15109" max="15109" width="2.7109375" style="556" customWidth="1"/>
    <col min="15110" max="15111" width="10.7109375" style="556" customWidth="1"/>
    <col min="15112" max="15112" width="9.140625" style="556"/>
    <col min="15113" max="15114" width="10.7109375" style="556" customWidth="1"/>
    <col min="15115" max="15116" width="9.140625" style="556"/>
    <col min="15117" max="15119" width="10.7109375" style="556" customWidth="1"/>
    <col min="15120" max="15130" width="9.140625" style="556"/>
    <col min="15131" max="15131" width="15.7109375" style="556" customWidth="1"/>
    <col min="15132" max="15133" width="10.7109375" style="556" customWidth="1"/>
    <col min="15134" max="15134" width="2.7109375" style="556" customWidth="1"/>
    <col min="15135" max="15136" width="10.7109375" style="556" customWidth="1"/>
    <col min="15137" max="15361" width="9.140625" style="556"/>
    <col min="15362" max="15362" width="15.7109375" style="556" customWidth="1"/>
    <col min="15363" max="15364" width="10.7109375" style="556" customWidth="1"/>
    <col min="15365" max="15365" width="2.7109375" style="556" customWidth="1"/>
    <col min="15366" max="15367" width="10.7109375" style="556" customWidth="1"/>
    <col min="15368" max="15368" width="9.140625" style="556"/>
    <col min="15369" max="15370" width="10.7109375" style="556" customWidth="1"/>
    <col min="15371" max="15372" width="9.140625" style="556"/>
    <col min="15373" max="15375" width="10.7109375" style="556" customWidth="1"/>
    <col min="15376" max="15386" width="9.140625" style="556"/>
    <col min="15387" max="15387" width="15.7109375" style="556" customWidth="1"/>
    <col min="15388" max="15389" width="10.7109375" style="556" customWidth="1"/>
    <col min="15390" max="15390" width="2.7109375" style="556" customWidth="1"/>
    <col min="15391" max="15392" width="10.7109375" style="556" customWidth="1"/>
    <col min="15393" max="15617" width="9.140625" style="556"/>
    <col min="15618" max="15618" width="15.7109375" style="556" customWidth="1"/>
    <col min="15619" max="15620" width="10.7109375" style="556" customWidth="1"/>
    <col min="15621" max="15621" width="2.7109375" style="556" customWidth="1"/>
    <col min="15622" max="15623" width="10.7109375" style="556" customWidth="1"/>
    <col min="15624" max="15624" width="9.140625" style="556"/>
    <col min="15625" max="15626" width="10.7109375" style="556" customWidth="1"/>
    <col min="15627" max="15628" width="9.140625" style="556"/>
    <col min="15629" max="15631" width="10.7109375" style="556" customWidth="1"/>
    <col min="15632" max="15642" width="9.140625" style="556"/>
    <col min="15643" max="15643" width="15.7109375" style="556" customWidth="1"/>
    <col min="15644" max="15645" width="10.7109375" style="556" customWidth="1"/>
    <col min="15646" max="15646" width="2.7109375" style="556" customWidth="1"/>
    <col min="15647" max="15648" width="10.7109375" style="556" customWidth="1"/>
    <col min="15649" max="15873" width="9.140625" style="556"/>
    <col min="15874" max="15874" width="15.7109375" style="556" customWidth="1"/>
    <col min="15875" max="15876" width="10.7109375" style="556" customWidth="1"/>
    <col min="15877" max="15877" width="2.7109375" style="556" customWidth="1"/>
    <col min="15878" max="15879" width="10.7109375" style="556" customWidth="1"/>
    <col min="15880" max="15880" width="9.140625" style="556"/>
    <col min="15881" max="15882" width="10.7109375" style="556" customWidth="1"/>
    <col min="15883" max="15884" width="9.140625" style="556"/>
    <col min="15885" max="15887" width="10.7109375" style="556" customWidth="1"/>
    <col min="15888" max="15898" width="9.140625" style="556"/>
    <col min="15899" max="15899" width="15.7109375" style="556" customWidth="1"/>
    <col min="15900" max="15901" width="10.7109375" style="556" customWidth="1"/>
    <col min="15902" max="15902" width="2.7109375" style="556" customWidth="1"/>
    <col min="15903" max="15904" width="10.7109375" style="556" customWidth="1"/>
    <col min="15905" max="16129" width="9.140625" style="556"/>
    <col min="16130" max="16130" width="15.7109375" style="556" customWidth="1"/>
    <col min="16131" max="16132" width="10.7109375" style="556" customWidth="1"/>
    <col min="16133" max="16133" width="2.7109375" style="556" customWidth="1"/>
    <col min="16134" max="16135" width="10.7109375" style="556" customWidth="1"/>
    <col min="16136" max="16136" width="9.140625" style="556"/>
    <col min="16137" max="16138" width="10.7109375" style="556" customWidth="1"/>
    <col min="16139" max="16140" width="9.140625" style="556"/>
    <col min="16141" max="16143" width="10.7109375" style="556" customWidth="1"/>
    <col min="16144" max="16154" width="9.140625" style="556"/>
    <col min="16155" max="16155" width="15.7109375" style="556" customWidth="1"/>
    <col min="16156" max="16157" width="10.7109375" style="556" customWidth="1"/>
    <col min="16158" max="16158" width="2.7109375" style="556" customWidth="1"/>
    <col min="16159" max="16160" width="10.7109375" style="556" customWidth="1"/>
    <col min="16161" max="16384" width="9.140625" style="556"/>
  </cols>
  <sheetData>
    <row r="1" spans="2:35" ht="20.25" x14ac:dyDescent="0.3">
      <c r="B1" s="555" t="s">
        <v>856</v>
      </c>
    </row>
    <row r="3" spans="2:35" ht="13.5" thickBot="1" x14ac:dyDescent="0.25"/>
    <row r="4" spans="2:35" ht="15.75" x14ac:dyDescent="0.25">
      <c r="B4" s="987" t="s">
        <v>76</v>
      </c>
      <c r="C4" s="558" t="s">
        <v>1</v>
      </c>
      <c r="D4" s="558" t="s">
        <v>15</v>
      </c>
      <c r="E4" s="559"/>
      <c r="F4" s="560" t="s">
        <v>473</v>
      </c>
      <c r="G4" s="561" t="s">
        <v>15</v>
      </c>
      <c r="I4" s="619" t="s">
        <v>503</v>
      </c>
      <c r="J4" s="865"/>
      <c r="M4" s="564" t="s">
        <v>1</v>
      </c>
      <c r="N4" s="565" t="s">
        <v>15</v>
      </c>
      <c r="O4" s="1009" t="s">
        <v>504</v>
      </c>
      <c r="R4" s="606" t="s">
        <v>849</v>
      </c>
      <c r="S4" s="861"/>
      <c r="V4" s="1010" t="s">
        <v>850</v>
      </c>
      <c r="W4" s="1010"/>
      <c r="AA4" s="987" t="s">
        <v>76</v>
      </c>
      <c r="AB4" s="558" t="s">
        <v>7</v>
      </c>
      <c r="AC4" s="558" t="s">
        <v>7</v>
      </c>
      <c r="AD4" s="559"/>
      <c r="AE4" s="560" t="s">
        <v>473</v>
      </c>
      <c r="AF4" s="561" t="s">
        <v>15</v>
      </c>
      <c r="AH4" s="606" t="s">
        <v>849</v>
      </c>
      <c r="AI4" s="861"/>
    </row>
    <row r="5" spans="2:35" ht="15.75" x14ac:dyDescent="0.25">
      <c r="B5" s="989" t="s">
        <v>0</v>
      </c>
      <c r="C5" s="568" t="s">
        <v>328</v>
      </c>
      <c r="D5" s="568" t="s">
        <v>328</v>
      </c>
      <c r="E5" s="569"/>
      <c r="F5" s="570" t="s">
        <v>3</v>
      </c>
      <c r="G5" s="571" t="s">
        <v>3</v>
      </c>
      <c r="I5" s="725" t="s">
        <v>505</v>
      </c>
      <c r="J5" s="875" t="s">
        <v>477</v>
      </c>
      <c r="M5" s="574" t="s">
        <v>3</v>
      </c>
      <c r="N5" s="575" t="s">
        <v>3</v>
      </c>
      <c r="O5" s="1011" t="s">
        <v>506</v>
      </c>
      <c r="R5" s="635" t="s">
        <v>505</v>
      </c>
      <c r="S5" s="637" t="s">
        <v>477</v>
      </c>
      <c r="V5" s="1010"/>
      <c r="W5" s="1010"/>
      <c r="AA5" s="989" t="s">
        <v>0</v>
      </c>
      <c r="AB5" s="568" t="s">
        <v>1</v>
      </c>
      <c r="AC5" s="568" t="s">
        <v>15</v>
      </c>
      <c r="AD5" s="569"/>
      <c r="AE5" s="570" t="s">
        <v>3</v>
      </c>
      <c r="AF5" s="571" t="s">
        <v>3</v>
      </c>
      <c r="AH5" s="572"/>
      <c r="AI5" s="573"/>
    </row>
    <row r="6" spans="2:35" x14ac:dyDescent="0.2">
      <c r="B6" s="990" t="s">
        <v>387</v>
      </c>
      <c r="C6" s="578" t="s">
        <v>0</v>
      </c>
      <c r="D6" s="578" t="s">
        <v>0</v>
      </c>
      <c r="E6" s="579"/>
      <c r="F6" s="580" t="s">
        <v>0</v>
      </c>
      <c r="G6" s="581" t="s">
        <v>0</v>
      </c>
      <c r="I6" s="734" t="s">
        <v>483</v>
      </c>
      <c r="J6" s="910" t="s">
        <v>484</v>
      </c>
      <c r="M6" s="574" t="s">
        <v>223</v>
      </c>
      <c r="N6" s="575" t="s">
        <v>223</v>
      </c>
      <c r="O6" s="1011" t="s">
        <v>3</v>
      </c>
      <c r="R6" s="582" t="s">
        <v>483</v>
      </c>
      <c r="S6" s="583" t="s">
        <v>484</v>
      </c>
      <c r="V6" s="1010"/>
      <c r="W6" s="1010"/>
      <c r="AA6" s="990" t="s">
        <v>851</v>
      </c>
      <c r="AB6" s="578" t="s">
        <v>328</v>
      </c>
      <c r="AC6" s="578" t="s">
        <v>328</v>
      </c>
      <c r="AD6" s="579"/>
      <c r="AE6" s="580" t="s">
        <v>0</v>
      </c>
      <c r="AF6" s="581" t="s">
        <v>0</v>
      </c>
      <c r="AH6" s="772" t="s">
        <v>477</v>
      </c>
      <c r="AI6" s="773" t="s">
        <v>531</v>
      </c>
    </row>
    <row r="7" spans="2:35" x14ac:dyDescent="0.2">
      <c r="B7" s="567"/>
      <c r="C7" s="569"/>
      <c r="D7" s="569"/>
      <c r="E7" s="569"/>
      <c r="F7" s="586"/>
      <c r="G7" s="587"/>
      <c r="I7" s="622"/>
      <c r="J7" s="623"/>
      <c r="M7" s="593"/>
      <c r="N7" s="594"/>
      <c r="O7" s="576"/>
      <c r="R7" s="572"/>
      <c r="S7" s="573"/>
      <c r="V7" s="1010"/>
      <c r="W7" s="1010"/>
      <c r="AA7" s="567"/>
      <c r="AB7" s="569"/>
      <c r="AC7" s="569"/>
      <c r="AD7" s="569"/>
      <c r="AE7" s="586"/>
      <c r="AF7" s="587"/>
      <c r="AH7" s="572"/>
      <c r="AI7" s="573"/>
    </row>
    <row r="8" spans="2:35" x14ac:dyDescent="0.2">
      <c r="B8" s="567"/>
      <c r="C8" s="569"/>
      <c r="D8" s="569"/>
      <c r="E8" s="569"/>
      <c r="F8" s="586"/>
      <c r="G8" s="587"/>
      <c r="I8" s="622"/>
      <c r="J8" s="623"/>
      <c r="M8" s="593"/>
      <c r="N8" s="594"/>
      <c r="O8" s="576"/>
      <c r="R8" s="572"/>
      <c r="S8" s="573"/>
      <c r="V8" s="1010"/>
      <c r="W8" s="1010"/>
      <c r="AA8" s="567"/>
      <c r="AB8" s="569"/>
      <c r="AC8" s="569"/>
      <c r="AD8" s="569"/>
      <c r="AE8" s="586"/>
      <c r="AF8" s="587"/>
      <c r="AH8" s="572"/>
      <c r="AI8" s="573"/>
    </row>
    <row r="9" spans="2:35" x14ac:dyDescent="0.2">
      <c r="B9" s="567" t="s">
        <v>485</v>
      </c>
      <c r="C9" s="588">
        <v>0.4</v>
      </c>
      <c r="D9" s="588">
        <v>0.4</v>
      </c>
      <c r="E9" s="569"/>
      <c r="F9" s="589">
        <v>20</v>
      </c>
      <c r="G9" s="590">
        <v>10</v>
      </c>
      <c r="I9" s="746">
        <f>(C9-D9)*((1+G9/100)/(1+G$16/100)-1)</f>
        <v>0</v>
      </c>
      <c r="J9" s="898">
        <f>C9*((1+F9/100)/(1+G9/100)-1)*(1+G9/100)/(1+O$16/100)</f>
        <v>3.8022813688212899E-2</v>
      </c>
      <c r="M9" s="593">
        <f>+C9*F9</f>
        <v>8</v>
      </c>
      <c r="N9" s="594">
        <f>+D9*G9</f>
        <v>4</v>
      </c>
      <c r="O9" s="576">
        <f>+C9*G9</f>
        <v>4</v>
      </c>
      <c r="R9" s="591">
        <f>IF(V$16=0,0,((1+I9)*((1+I$16)/(1+X$16))^(V9/V$16)-1))</f>
        <v>0</v>
      </c>
      <c r="S9" s="592">
        <f>IF(W$16=0,0,((1+J9)*((1+J$16)/(1+Y$16))^(W9/W$16)-1))</f>
        <v>3.8276736028774572E-2</v>
      </c>
      <c r="V9" s="1012">
        <f>+ABS(I9)</f>
        <v>0</v>
      </c>
      <c r="W9" s="1012">
        <f>+ABS(J9)</f>
        <v>3.8022813688212899E-2</v>
      </c>
      <c r="AA9" s="567" t="s">
        <v>485</v>
      </c>
      <c r="AB9" s="588">
        <f>+(C9+C41+C73+C105)/4</f>
        <v>0.42500000000000004</v>
      </c>
      <c r="AC9" s="588">
        <f>+(D9+D41+D73+D105)/4</f>
        <v>0.42500000000000004</v>
      </c>
      <c r="AD9" s="569"/>
      <c r="AE9" s="589">
        <f>((1+F9/100)*(1+F41/100)*(1+F73/100)*(1+F105/100)-1)*100</f>
        <v>0.32000000000000917</v>
      </c>
      <c r="AF9" s="590">
        <f>((1+G9/100)*(1+G41/100)*(1+G73/100)*(1+G105/100)-1)*100</f>
        <v>-19.438749999999992</v>
      </c>
      <c r="AH9" s="591">
        <f>((1+R9)*(1+R41)*(1+R73)*(1+R105)-1)</f>
        <v>1.7759402020813386E-2</v>
      </c>
      <c r="AI9" s="592">
        <f>((1+S9)*(1+S41)*(1+S73)*(1+S105)-1)</f>
        <v>8.6593572179611389E-2</v>
      </c>
    </row>
    <row r="10" spans="2:35" x14ac:dyDescent="0.2">
      <c r="B10" s="567"/>
      <c r="C10" s="588"/>
      <c r="D10" s="588"/>
      <c r="E10" s="569"/>
      <c r="F10" s="589"/>
      <c r="G10" s="590"/>
      <c r="I10" s="622"/>
      <c r="J10" s="898"/>
      <c r="M10" s="593"/>
      <c r="N10" s="594"/>
      <c r="O10" s="576"/>
      <c r="R10" s="572"/>
      <c r="S10" s="592"/>
      <c r="V10" s="1012" t="s">
        <v>0</v>
      </c>
      <c r="W10" s="1012" t="s">
        <v>0</v>
      </c>
      <c r="AA10" s="567"/>
      <c r="AB10" s="588"/>
      <c r="AC10" s="588"/>
      <c r="AD10" s="569"/>
      <c r="AE10" s="589"/>
      <c r="AF10" s="590"/>
      <c r="AH10" s="572"/>
      <c r="AI10" s="592"/>
    </row>
    <row r="11" spans="2:35" x14ac:dyDescent="0.2">
      <c r="B11" s="567" t="s">
        <v>486</v>
      </c>
      <c r="C11" s="588">
        <v>0.3</v>
      </c>
      <c r="D11" s="588">
        <v>0.2</v>
      </c>
      <c r="E11" s="569"/>
      <c r="F11" s="589">
        <v>-5</v>
      </c>
      <c r="G11" s="590">
        <v>-4</v>
      </c>
      <c r="I11" s="746">
        <f>(C11-D11)*((1+G11/100)/(1+G$16/100)-1)</f>
        <v>-9.7744360902255675E-3</v>
      </c>
      <c r="J11" s="898">
        <f>C11*((1+F11/100)/(1+G11/100)-1)*(1+G11/100)/(1+O$16/100)</f>
        <v>-2.8517110266159593E-3</v>
      </c>
      <c r="M11" s="593">
        <f>+C11*F11</f>
        <v>-1.5</v>
      </c>
      <c r="N11" s="594">
        <f>+D11*G11</f>
        <v>-0.8</v>
      </c>
      <c r="O11" s="576">
        <f>+C11*G11</f>
        <v>-1.2</v>
      </c>
      <c r="R11" s="591">
        <f>IF(V$16=0,0,((1+I11)*((1+I$16)/(1+X$16))^(V11/V$16)-1))</f>
        <v>-9.787193900979041E-3</v>
      </c>
      <c r="S11" s="592">
        <f>IF(W$16=0,0,((1+J11)*((1+J$16)/(1+Y$16))^(W11/W$16)-1))</f>
        <v>-2.8334188285241702E-3</v>
      </c>
      <c r="V11" s="1012">
        <f>+ABS(I11)</f>
        <v>9.7744360902255675E-3</v>
      </c>
      <c r="W11" s="1012">
        <f>+ABS(J11)</f>
        <v>2.8517110266159593E-3</v>
      </c>
      <c r="AA11" s="567" t="s">
        <v>486</v>
      </c>
      <c r="AB11" s="588">
        <f>+(C11+C43+C75+C107)/4</f>
        <v>0.375</v>
      </c>
      <c r="AC11" s="588">
        <f>+(D11+D43+D75+D107)/4</f>
        <v>0.32500000000000001</v>
      </c>
      <c r="AD11" s="569"/>
      <c r="AE11" s="589">
        <f>((1+F11/100)*(1+F43/100)*(1+F75/100)*(1+F107/100)-1)*100</f>
        <v>-1.719460000000006</v>
      </c>
      <c r="AF11" s="590">
        <f>((1+G11/100)*(1+G43/100)*(1+G75/100)*(1+G107/100)-1)*100</f>
        <v>-0.40960000000000996</v>
      </c>
      <c r="AH11" s="591">
        <f>((1+R11)*(1+R43)*(1+R75)*(1+R107)-1)</f>
        <v>-5.982999006735823E-3</v>
      </c>
      <c r="AI11" s="592">
        <f>((1+S11)*(1+S43)*(1+S75)*(1+S107)-1)</f>
        <v>1.221129069498339E-3</v>
      </c>
    </row>
    <row r="12" spans="2:35" x14ac:dyDescent="0.2">
      <c r="B12" s="567"/>
      <c r="C12" s="588"/>
      <c r="D12" s="588"/>
      <c r="E12" s="569"/>
      <c r="F12" s="589"/>
      <c r="G12" s="590"/>
      <c r="I12" s="622"/>
      <c r="J12" s="898"/>
      <c r="M12" s="593"/>
      <c r="N12" s="594"/>
      <c r="O12" s="576"/>
      <c r="R12" s="572"/>
      <c r="S12" s="592"/>
      <c r="V12" s="1012" t="s">
        <v>0</v>
      </c>
      <c r="W12" s="1012" t="s">
        <v>0</v>
      </c>
      <c r="AA12" s="567"/>
      <c r="AB12" s="588"/>
      <c r="AC12" s="588"/>
      <c r="AD12" s="569"/>
      <c r="AE12" s="589"/>
      <c r="AF12" s="590"/>
      <c r="AH12" s="572"/>
      <c r="AI12" s="592"/>
    </row>
    <row r="13" spans="2:35" x14ac:dyDescent="0.2">
      <c r="B13" s="567" t="s">
        <v>487</v>
      </c>
      <c r="C13" s="588">
        <v>0.3</v>
      </c>
      <c r="D13" s="588">
        <v>0.4</v>
      </c>
      <c r="E13" s="569"/>
      <c r="F13" s="589">
        <v>6</v>
      </c>
      <c r="G13" s="590">
        <v>8</v>
      </c>
      <c r="I13" s="746">
        <f>(C13-D13)*((1+G13/100)/(1+G$16/100)-1)</f>
        <v>-1.5037593984962522E-3</v>
      </c>
      <c r="J13" s="898">
        <f>C13*((1+F13/100)/(1+G13/100)-1)*(1+G13/100)/(1+O$16/100)</f>
        <v>-5.7034220532319307E-3</v>
      </c>
      <c r="M13" s="593">
        <f>+C13*F13</f>
        <v>1.7999999999999998</v>
      </c>
      <c r="N13" s="594">
        <f>+D13*G13</f>
        <v>3.2</v>
      </c>
      <c r="O13" s="576">
        <f>+C13*G13</f>
        <v>2.4</v>
      </c>
      <c r="R13" s="591">
        <f>IF(V$16=0,0,((1+I13)*((1+I$16)/(1+X$16))^(V13/V$16)-1))</f>
        <v>-1.505738542825541E-3</v>
      </c>
      <c r="S13" s="592">
        <f>IF(W$16=0,0,((1+J13)*((1+J$16)/(1+Y$16))^(W13/W$16)-1))</f>
        <v>-5.6669419489369099E-3</v>
      </c>
      <c r="V13" s="1012">
        <f>+ABS(I13)</f>
        <v>1.5037593984962522E-3</v>
      </c>
      <c r="W13" s="1012">
        <f>+ABS(J13)</f>
        <v>5.7034220532319307E-3</v>
      </c>
      <c r="AA13" s="567" t="s">
        <v>487</v>
      </c>
      <c r="AB13" s="588">
        <f>+(C13+C45+C77+C109)/4</f>
        <v>0.2</v>
      </c>
      <c r="AC13" s="588">
        <f>+(D13+D45+D77+D109)/4</f>
        <v>0.25</v>
      </c>
      <c r="AD13" s="569"/>
      <c r="AE13" s="589">
        <f>((1+F13/100)*(1+F45/100)*(1+F77/100)*(1+F109/100)-1)*100</f>
        <v>6.9937499999999764</v>
      </c>
      <c r="AF13" s="590">
        <f>((1+G13/100)*(1+G45/100)*(1+G77/100)*(1+G109/100)-1)*100</f>
        <v>-14.463999999999988</v>
      </c>
      <c r="AH13" s="591">
        <f>((1+R13)*(1+R45)*(1+R77)*(1+R109)-1)</f>
        <v>1.1693729050139545E-3</v>
      </c>
      <c r="AI13" s="592">
        <f>((1+S13)*(1+S45)*(1+S77)*(1+S109)-1)</f>
        <v>4.0407855757464084E-2</v>
      </c>
    </row>
    <row r="14" spans="2:35" x14ac:dyDescent="0.2">
      <c r="B14" s="567"/>
      <c r="C14" s="588"/>
      <c r="D14" s="588"/>
      <c r="E14" s="569"/>
      <c r="F14" s="586"/>
      <c r="G14" s="587"/>
      <c r="I14" s="622"/>
      <c r="J14" s="898"/>
      <c r="M14" s="593"/>
      <c r="N14" s="594"/>
      <c r="O14" s="576"/>
      <c r="R14" s="572"/>
      <c r="S14" s="592"/>
      <c r="V14" s="1012"/>
      <c r="W14" s="1012"/>
      <c r="AA14" s="567"/>
      <c r="AB14" s="588"/>
      <c r="AC14" s="588"/>
      <c r="AD14" s="569"/>
      <c r="AE14" s="586"/>
      <c r="AF14" s="587"/>
      <c r="AH14" s="572"/>
      <c r="AI14" s="592"/>
    </row>
    <row r="15" spans="2:35" x14ac:dyDescent="0.2">
      <c r="B15" s="567"/>
      <c r="C15" s="588"/>
      <c r="D15" s="588"/>
      <c r="E15" s="569"/>
      <c r="F15" s="586"/>
      <c r="G15" s="587"/>
      <c r="I15" s="622"/>
      <c r="J15" s="898"/>
      <c r="M15" s="593"/>
      <c r="N15" s="594"/>
      <c r="O15" s="576"/>
      <c r="R15" s="572"/>
      <c r="S15" s="592"/>
      <c r="V15" s="1012"/>
      <c r="W15" s="1012"/>
      <c r="X15" s="1010" t="s">
        <v>852</v>
      </c>
      <c r="Y15" s="1010"/>
      <c r="AA15" s="567"/>
      <c r="AB15" s="588"/>
      <c r="AC15" s="588"/>
      <c r="AD15" s="569"/>
      <c r="AE15" s="586"/>
      <c r="AF15" s="587"/>
      <c r="AH15" s="572"/>
      <c r="AI15" s="592"/>
    </row>
    <row r="16" spans="2:35" ht="13.5" thickBot="1" x14ac:dyDescent="0.25">
      <c r="B16" s="595" t="s">
        <v>16</v>
      </c>
      <c r="C16" s="596">
        <f>SUM(C9:C13)</f>
        <v>1</v>
      </c>
      <c r="D16" s="596">
        <f>SUM(D9:D13)</f>
        <v>1</v>
      </c>
      <c r="E16" s="597"/>
      <c r="F16" s="598">
        <f>+M16</f>
        <v>8.3000000000000007</v>
      </c>
      <c r="G16" s="599">
        <f>+N16</f>
        <v>6.4</v>
      </c>
      <c r="I16" s="755">
        <f>SUM(I9:I13)</f>
        <v>-1.1278195488721819E-2</v>
      </c>
      <c r="J16" s="757">
        <f>SUM(J9:J13)</f>
        <v>2.9467680608365007E-2</v>
      </c>
      <c r="M16" s="794">
        <f>SUM(M9:M13)</f>
        <v>8.3000000000000007</v>
      </c>
      <c r="N16" s="795">
        <f>SUM(N9:N13)</f>
        <v>6.4</v>
      </c>
      <c r="O16" s="1013">
        <f>SUM(O9:O13)</f>
        <v>5.1999999999999993</v>
      </c>
      <c r="R16" s="847">
        <f>((1+R9)*(1+R11)*(1+R13)-1)</f>
        <v>-1.1278195488721776E-2</v>
      </c>
      <c r="S16" s="615">
        <f>((1+S9)*(1+S11)*(1+S13)-1)</f>
        <v>2.946768060836491E-2</v>
      </c>
      <c r="V16" s="1012">
        <f>SUM(V9:V13)</f>
        <v>1.1278195488721819E-2</v>
      </c>
      <c r="W16" s="1012">
        <f>SUM(W9:W13)</f>
        <v>4.6577946768060791E-2</v>
      </c>
      <c r="X16" s="1014">
        <f>(1+I9)*(1+I11)*(1+I13)-1</f>
        <v>-1.1263497088586094E-2</v>
      </c>
      <c r="Y16" s="1014">
        <f>(1+J9)*(1+J11)*(1+J13)-1</f>
        <v>2.915927331124335E-2</v>
      </c>
      <c r="AA16" s="595" t="s">
        <v>16</v>
      </c>
      <c r="AB16" s="596">
        <f>SUM(AB9:AB13)</f>
        <v>1</v>
      </c>
      <c r="AC16" s="596">
        <f>SUM(AC9:AC13)</f>
        <v>1</v>
      </c>
      <c r="AD16" s="597"/>
      <c r="AE16" s="598">
        <f>((1+F16/100)*(1+F48/100)*(1+F80/100)*(1+F112/100)-1)*100</f>
        <v>3.859320949999967</v>
      </c>
      <c r="AF16" s="599">
        <f>((1+G16/100)*(1+G48/100)*(1+G80/100)*(1+G112/100)-1)*100</f>
        <v>-9.4062519999999932</v>
      </c>
      <c r="AH16" s="847">
        <f>((1+AH9)*(1+AH11)*(1+AH13)-1)</f>
        <v>1.2853168189928654E-2</v>
      </c>
      <c r="AI16" s="615">
        <f>((1+AI9)*(1+AI11)*(1+AI13)-1)</f>
        <v>0.13188097552083589</v>
      </c>
    </row>
    <row r="18" spans="9:36" ht="13.5" thickBot="1" x14ac:dyDescent="0.25">
      <c r="M18" s="556" t="s">
        <v>0</v>
      </c>
    </row>
    <row r="19" spans="9:36" ht="15.75" x14ac:dyDescent="0.25">
      <c r="I19" s="619" t="s">
        <v>507</v>
      </c>
      <c r="J19" s="716"/>
      <c r="K19" s="621">
        <f>(1+F16/100)/(1+G16/100)-1</f>
        <v>1.7857142857142794E-2</v>
      </c>
      <c r="R19" s="606" t="s">
        <v>507</v>
      </c>
      <c r="S19" s="676"/>
      <c r="T19" s="608">
        <f>+K19</f>
        <v>1.7857142857142794E-2</v>
      </c>
      <c r="AH19" s="606" t="s">
        <v>507</v>
      </c>
      <c r="AI19" s="676"/>
      <c r="AJ19" s="608">
        <f>(1+AE16/100)/(1+AF16/100)-1</f>
        <v>0.1464292320701861</v>
      </c>
    </row>
    <row r="20" spans="9:36" ht="13.5" thickBot="1" x14ac:dyDescent="0.25">
      <c r="I20" s="622"/>
      <c r="J20" s="609"/>
      <c r="K20" s="763"/>
      <c r="M20" s="556" t="s">
        <v>223</v>
      </c>
      <c r="R20" s="572"/>
      <c r="S20" s="609"/>
      <c r="T20" s="804"/>
      <c r="AH20" s="572"/>
      <c r="AI20" s="609"/>
      <c r="AJ20" s="804"/>
    </row>
    <row r="21" spans="9:36" x14ac:dyDescent="0.2">
      <c r="I21" s="622" t="s">
        <v>508</v>
      </c>
      <c r="J21" s="609"/>
      <c r="K21" s="624">
        <f>+I16</f>
        <v>-1.1278195488721819E-2</v>
      </c>
      <c r="M21" s="611">
        <f>+(1+O16/100)/(1+G16/100)-1</f>
        <v>-1.1278195488721776E-2</v>
      </c>
      <c r="R21" s="572" t="s">
        <v>477</v>
      </c>
      <c r="S21" s="609"/>
      <c r="T21" s="610">
        <f>+R16</f>
        <v>-1.1278195488721776E-2</v>
      </c>
      <c r="AH21" s="572" t="s">
        <v>477</v>
      </c>
      <c r="AI21" s="609"/>
      <c r="AJ21" s="610">
        <f>+AH16</f>
        <v>1.2853168189928654E-2</v>
      </c>
    </row>
    <row r="22" spans="9:36" ht="13.5" thickBot="1" x14ac:dyDescent="0.25">
      <c r="I22" s="622" t="s">
        <v>509</v>
      </c>
      <c r="J22" s="609"/>
      <c r="K22" s="624">
        <f>+J16</f>
        <v>2.9467680608365007E-2</v>
      </c>
      <c r="M22" s="612">
        <f>+(1+F16/100)/(1+O16/100)-1</f>
        <v>2.946768060836491E-2</v>
      </c>
      <c r="R22" s="572" t="s">
        <v>531</v>
      </c>
      <c r="S22" s="609"/>
      <c r="T22" s="610">
        <f>+S16</f>
        <v>2.946768060836491E-2</v>
      </c>
      <c r="AH22" s="572" t="s">
        <v>531</v>
      </c>
      <c r="AI22" s="609"/>
      <c r="AJ22" s="610">
        <f>+AI16</f>
        <v>0.13188097552083589</v>
      </c>
    </row>
    <row r="23" spans="9:36" x14ac:dyDescent="0.2">
      <c r="I23" s="622" t="s">
        <v>0</v>
      </c>
      <c r="J23" s="609"/>
      <c r="K23" s="624" t="s">
        <v>0</v>
      </c>
      <c r="R23" s="572" t="s">
        <v>0</v>
      </c>
      <c r="S23" s="609"/>
      <c r="T23" s="610" t="s">
        <v>0</v>
      </c>
      <c r="AH23" s="572" t="s">
        <v>0</v>
      </c>
      <c r="AI23" s="609"/>
      <c r="AJ23" s="610" t="s">
        <v>0</v>
      </c>
    </row>
    <row r="24" spans="9:36" ht="13.5" thickBot="1" x14ac:dyDescent="0.25">
      <c r="I24" s="625" t="s">
        <v>141</v>
      </c>
      <c r="J24" s="626"/>
      <c r="K24" s="627">
        <f>(1+K19)/((1+K21)*(1+K22))-1</f>
        <v>0</v>
      </c>
      <c r="R24" s="613" t="s">
        <v>524</v>
      </c>
      <c r="S24" s="614"/>
      <c r="T24" s="615">
        <f>(1+T19)/((1+T21)*(1+T22))-1</f>
        <v>0</v>
      </c>
      <c r="AH24" s="613" t="s">
        <v>524</v>
      </c>
      <c r="AI24" s="614"/>
      <c r="AJ24" s="615">
        <f>(1+AJ19)/((1+AJ21)*(1+AJ22))-1</f>
        <v>0</v>
      </c>
    </row>
    <row r="35" spans="2:25" ht="13.5" thickBot="1" x14ac:dyDescent="0.25"/>
    <row r="36" spans="2:25" ht="15.75" x14ac:dyDescent="0.25">
      <c r="B36" s="987" t="s">
        <v>76</v>
      </c>
      <c r="C36" s="558" t="s">
        <v>1</v>
      </c>
      <c r="D36" s="558" t="s">
        <v>15</v>
      </c>
      <c r="E36" s="559"/>
      <c r="F36" s="560" t="s">
        <v>473</v>
      </c>
      <c r="G36" s="561" t="s">
        <v>15</v>
      </c>
      <c r="I36" s="606" t="s">
        <v>503</v>
      </c>
      <c r="J36" s="861"/>
      <c r="M36" s="564" t="s">
        <v>1</v>
      </c>
      <c r="N36" s="565" t="s">
        <v>15</v>
      </c>
      <c r="O36" s="1009" t="s">
        <v>504</v>
      </c>
      <c r="R36" s="606" t="s">
        <v>849</v>
      </c>
      <c r="S36" s="861"/>
      <c r="V36" s="1010" t="s">
        <v>850</v>
      </c>
      <c r="W36" s="1010"/>
    </row>
    <row r="37" spans="2:25" ht="15.75" x14ac:dyDescent="0.25">
      <c r="B37" s="989" t="s">
        <v>0</v>
      </c>
      <c r="C37" s="568" t="s">
        <v>328</v>
      </c>
      <c r="D37" s="568" t="s">
        <v>328</v>
      </c>
      <c r="E37" s="569"/>
      <c r="F37" s="570" t="s">
        <v>3</v>
      </c>
      <c r="G37" s="571" t="s">
        <v>3</v>
      </c>
      <c r="I37" s="635" t="s">
        <v>505</v>
      </c>
      <c r="J37" s="637" t="s">
        <v>477</v>
      </c>
      <c r="M37" s="574" t="s">
        <v>3</v>
      </c>
      <c r="N37" s="575" t="s">
        <v>3</v>
      </c>
      <c r="O37" s="1011" t="s">
        <v>506</v>
      </c>
      <c r="R37" s="635" t="s">
        <v>505</v>
      </c>
      <c r="S37" s="637" t="s">
        <v>477</v>
      </c>
      <c r="V37" s="1010"/>
      <c r="W37" s="1010"/>
    </row>
    <row r="38" spans="2:25" x14ac:dyDescent="0.2">
      <c r="B38" s="990" t="s">
        <v>390</v>
      </c>
      <c r="C38" s="578" t="s">
        <v>0</v>
      </c>
      <c r="D38" s="578" t="s">
        <v>0</v>
      </c>
      <c r="E38" s="579"/>
      <c r="F38" s="580" t="s">
        <v>0</v>
      </c>
      <c r="G38" s="581" t="s">
        <v>0</v>
      </c>
      <c r="I38" s="582" t="s">
        <v>483</v>
      </c>
      <c r="J38" s="583" t="s">
        <v>484</v>
      </c>
      <c r="M38" s="574" t="s">
        <v>223</v>
      </c>
      <c r="N38" s="575" t="s">
        <v>223</v>
      </c>
      <c r="O38" s="1011" t="s">
        <v>3</v>
      </c>
      <c r="R38" s="582" t="s">
        <v>483</v>
      </c>
      <c r="S38" s="583" t="s">
        <v>484</v>
      </c>
      <c r="V38" s="1010"/>
      <c r="W38" s="1010"/>
    </row>
    <row r="39" spans="2:25" x14ac:dyDescent="0.2">
      <c r="B39" s="567"/>
      <c r="C39" s="569"/>
      <c r="D39" s="569"/>
      <c r="E39" s="569"/>
      <c r="F39" s="586"/>
      <c r="G39" s="587"/>
      <c r="I39" s="572"/>
      <c r="J39" s="573"/>
      <c r="M39" s="593"/>
      <c r="N39" s="594"/>
      <c r="O39" s="576"/>
      <c r="R39" s="572"/>
      <c r="S39" s="573"/>
      <c r="V39" s="1010"/>
      <c r="W39" s="1010"/>
    </row>
    <row r="40" spans="2:25" x14ac:dyDescent="0.2">
      <c r="B40" s="567"/>
      <c r="C40" s="569"/>
      <c r="D40" s="569"/>
      <c r="E40" s="569"/>
      <c r="F40" s="586"/>
      <c r="G40" s="587"/>
      <c r="I40" s="572"/>
      <c r="J40" s="573"/>
      <c r="M40" s="593"/>
      <c r="N40" s="594"/>
      <c r="O40" s="576"/>
      <c r="R40" s="572"/>
      <c r="S40" s="573"/>
      <c r="V40" s="1010"/>
      <c r="W40" s="1010"/>
    </row>
    <row r="41" spans="2:25" x14ac:dyDescent="0.2">
      <c r="B41" s="567" t="s">
        <v>485</v>
      </c>
      <c r="C41" s="588">
        <v>0.7</v>
      </c>
      <c r="D41" s="588">
        <v>0.4</v>
      </c>
      <c r="E41" s="569"/>
      <c r="F41" s="589">
        <v>-5</v>
      </c>
      <c r="G41" s="590">
        <v>-7</v>
      </c>
      <c r="I41" s="591">
        <f>(C41-D41)*((1+G41/100)/(1+G$48/100)-1)</f>
        <v>-7.5471698113207513E-3</v>
      </c>
      <c r="J41" s="592">
        <f>C41*((1+F41/100)/(1+G41/100)-1)*(1+G41/100)/(1+O$48/100)</f>
        <v>1.4752370916754463E-2</v>
      </c>
      <c r="M41" s="593">
        <f>+C41*F41</f>
        <v>-3.5</v>
      </c>
      <c r="N41" s="594">
        <f>+D41*G41</f>
        <v>-2.8000000000000003</v>
      </c>
      <c r="O41" s="576">
        <f>+C41*G41</f>
        <v>-4.8999999999999995</v>
      </c>
      <c r="R41" s="591">
        <f>IF(V$48=0,0,((1+I41)*((1+I$48)/(1+X$48))^(V41/V$48)-1))</f>
        <v>-7.515116027885238E-3</v>
      </c>
      <c r="S41" s="592">
        <f>IF(W$48=0,0,((1+J41)*((1+J$48)/(1+Y$48))^(W41/W$48)-1))</f>
        <v>1.4728866141482833E-2</v>
      </c>
      <c r="V41" s="1012">
        <f>+ABS(I41)</f>
        <v>7.5471698113207513E-3</v>
      </c>
      <c r="W41" s="1012">
        <f>+ABS(J41)</f>
        <v>1.4752370916754463E-2</v>
      </c>
    </row>
    <row r="42" spans="2:25" x14ac:dyDescent="0.2">
      <c r="B42" s="567"/>
      <c r="C42" s="588"/>
      <c r="D42" s="588"/>
      <c r="E42" s="569"/>
      <c r="F42" s="589"/>
      <c r="G42" s="590"/>
      <c r="I42" s="572"/>
      <c r="J42" s="592"/>
      <c r="M42" s="593"/>
      <c r="N42" s="594"/>
      <c r="O42" s="576"/>
      <c r="R42" s="572"/>
      <c r="S42" s="592"/>
      <c r="V42" s="1012" t="s">
        <v>0</v>
      </c>
      <c r="W42" s="1012" t="s">
        <v>0</v>
      </c>
    </row>
    <row r="43" spans="2:25" x14ac:dyDescent="0.2">
      <c r="B43" s="567" t="s">
        <v>486</v>
      </c>
      <c r="C43" s="588">
        <v>0.2</v>
      </c>
      <c r="D43" s="588">
        <v>0.3</v>
      </c>
      <c r="E43" s="569"/>
      <c r="F43" s="589">
        <v>3</v>
      </c>
      <c r="G43" s="590">
        <v>4</v>
      </c>
      <c r="I43" s="591">
        <f>(C43-D43)*((1+G43/100)/(1+G$48/100)-1)</f>
        <v>-9.0146750524109122E-3</v>
      </c>
      <c r="J43" s="592">
        <f>C43*((1+F43/100)/(1+G43/100)-1)*(1+G43/100)/(1+O$48/100)</f>
        <v>-2.107481559536347E-3</v>
      </c>
      <c r="M43" s="593">
        <f>+C43*F43</f>
        <v>0.60000000000000009</v>
      </c>
      <c r="N43" s="594">
        <f>+D43*G43</f>
        <v>1.2</v>
      </c>
      <c r="O43" s="576">
        <f>+C43*G43</f>
        <v>0.8</v>
      </c>
      <c r="R43" s="591">
        <f>IF(V$48=0,0,((1+I43)*((1+I$48)/(1+X$48))^(V43/V$48)-1))</f>
        <v>-8.9764450816735009E-3</v>
      </c>
      <c r="S43" s="592">
        <f>IF(W$48=0,0,((1+J43)*((1+J$48)/(1+Y$48))^(W43/W$48)-1))</f>
        <v>-2.1107836279462555E-3</v>
      </c>
      <c r="V43" s="1012">
        <f>+ABS(I43)</f>
        <v>9.0146750524109122E-3</v>
      </c>
      <c r="W43" s="1012">
        <f>+ABS(J43)</f>
        <v>2.107481559536347E-3</v>
      </c>
    </row>
    <row r="44" spans="2:25" x14ac:dyDescent="0.2">
      <c r="B44" s="567"/>
      <c r="C44" s="588"/>
      <c r="D44" s="588"/>
      <c r="E44" s="569"/>
      <c r="F44" s="589"/>
      <c r="G44" s="590"/>
      <c r="I44" s="572"/>
      <c r="J44" s="592"/>
      <c r="M44" s="593"/>
      <c r="N44" s="594"/>
      <c r="O44" s="576"/>
      <c r="R44" s="572"/>
      <c r="S44" s="592"/>
      <c r="V44" s="1012" t="s">
        <v>0</v>
      </c>
      <c r="W44" s="1012" t="s">
        <v>0</v>
      </c>
    </row>
    <row r="45" spans="2:25" x14ac:dyDescent="0.2">
      <c r="B45" s="567" t="s">
        <v>487</v>
      </c>
      <c r="C45" s="588">
        <v>0.1</v>
      </c>
      <c r="D45" s="588">
        <v>0.3</v>
      </c>
      <c r="E45" s="569"/>
      <c r="F45" s="589">
        <v>-5</v>
      </c>
      <c r="G45" s="590">
        <v>-10</v>
      </c>
      <c r="I45" s="591">
        <f>(C45-D45)*((1+G45/100)/(1+G$48/100)-1)</f>
        <v>1.1320754716981128E-2</v>
      </c>
      <c r="J45" s="592">
        <f>C45*((1+F45/100)/(1+G45/100)-1)*(1+G45/100)/(1+O$48/100)</f>
        <v>5.2687038988408885E-3</v>
      </c>
      <c r="M45" s="593">
        <f>+C45*F45</f>
        <v>-0.5</v>
      </c>
      <c r="N45" s="594">
        <f>+D45*G45</f>
        <v>-3</v>
      </c>
      <c r="O45" s="576">
        <f>+C45*G45</f>
        <v>-1</v>
      </c>
      <c r="R45" s="591">
        <f>IF(V$48=0,0,((1+I45)*((1+I$48)/(1+X$48))^(V45/V$48)-1))</f>
        <v>1.1369749869011514E-2</v>
      </c>
      <c r="S45" s="592">
        <f>IF(W$48=0,0,((1+J45)*((1+J$48)/(1+Y$48))^(W45/W$48)-1))</f>
        <v>5.26038772818338E-3</v>
      </c>
      <c r="V45" s="1012">
        <f>+ABS(I45)</f>
        <v>1.1320754716981128E-2</v>
      </c>
      <c r="W45" s="1012">
        <f>+ABS(J45)</f>
        <v>5.2687038988408885E-3</v>
      </c>
    </row>
    <row r="46" spans="2:25" x14ac:dyDescent="0.2">
      <c r="B46" s="567"/>
      <c r="C46" s="588"/>
      <c r="D46" s="588"/>
      <c r="E46" s="569"/>
      <c r="F46" s="586"/>
      <c r="G46" s="587"/>
      <c r="I46" s="572"/>
      <c r="J46" s="592"/>
      <c r="M46" s="593"/>
      <c r="N46" s="594"/>
      <c r="O46" s="576"/>
      <c r="R46" s="572"/>
      <c r="S46" s="592"/>
      <c r="V46" s="1012"/>
      <c r="W46" s="1012"/>
    </row>
    <row r="47" spans="2:25" x14ac:dyDescent="0.2">
      <c r="B47" s="567"/>
      <c r="C47" s="588"/>
      <c r="D47" s="588"/>
      <c r="E47" s="569"/>
      <c r="F47" s="586"/>
      <c r="G47" s="587"/>
      <c r="I47" s="572"/>
      <c r="J47" s="592"/>
      <c r="M47" s="593"/>
      <c r="N47" s="594"/>
      <c r="O47" s="576"/>
      <c r="R47" s="572"/>
      <c r="S47" s="592"/>
      <c r="V47" s="1012"/>
      <c r="W47" s="1012"/>
      <c r="X47" s="1010" t="s">
        <v>852</v>
      </c>
      <c r="Y47" s="1010"/>
    </row>
    <row r="48" spans="2:25" ht="13.5" thickBot="1" x14ac:dyDescent="0.25">
      <c r="B48" s="595" t="s">
        <v>16</v>
      </c>
      <c r="C48" s="596">
        <f>SUM(C41:C45)</f>
        <v>0.99999999999999989</v>
      </c>
      <c r="D48" s="596">
        <f>SUM(D41:D45)</f>
        <v>1</v>
      </c>
      <c r="E48" s="597"/>
      <c r="F48" s="598">
        <f>+M48</f>
        <v>-3.4</v>
      </c>
      <c r="G48" s="599">
        <f>+N48</f>
        <v>-4.6000000000000005</v>
      </c>
      <c r="I48" s="601">
        <f>SUM(I41:I45)</f>
        <v>-5.2410901467505339E-3</v>
      </c>
      <c r="J48" s="602">
        <f>SUM(J41:J45)</f>
        <v>1.7913593256059006E-2</v>
      </c>
      <c r="M48" s="794">
        <f>SUM(M41:M45)</f>
        <v>-3.4</v>
      </c>
      <c r="N48" s="795">
        <f>SUM(N41:N45)</f>
        <v>-4.6000000000000005</v>
      </c>
      <c r="O48" s="1013">
        <f>SUM(O41:O45)</f>
        <v>-5.0999999999999996</v>
      </c>
      <c r="R48" s="847">
        <f>((1+R41)*(1+R43)*(1+R45)-1)</f>
        <v>-5.2410901467502269E-3</v>
      </c>
      <c r="S48" s="615">
        <f>((1+S41)*(1+S43)*(1+S45)-1)</f>
        <v>1.7913593256059013E-2</v>
      </c>
      <c r="V48" s="1012">
        <f>SUM(V41:V45)</f>
        <v>2.7882599580712791E-2</v>
      </c>
      <c r="W48" s="1012">
        <f>SUM(W41:W45)</f>
        <v>2.2128556375131697E-2</v>
      </c>
      <c r="X48" s="1014">
        <f>(1+I41)*(1+I43)*(1+I45)-1</f>
        <v>-5.359777235943608E-3</v>
      </c>
      <c r="Y48" s="1014">
        <f>(1+J41)*(1+J43)*(1+J45)-1</f>
        <v>1.7948961278402731E-2</v>
      </c>
    </row>
    <row r="50" spans="9:20" ht="13.5" thickBot="1" x14ac:dyDescent="0.25">
      <c r="M50" s="556" t="s">
        <v>0</v>
      </c>
    </row>
    <row r="51" spans="9:20" ht="15.75" x14ac:dyDescent="0.25">
      <c r="I51" s="606" t="s">
        <v>507</v>
      </c>
      <c r="J51" s="676"/>
      <c r="K51" s="608">
        <f>(1+F48/100)/(1+G48/100)-1</f>
        <v>1.2578616352201255E-2</v>
      </c>
      <c r="R51" s="606" t="s">
        <v>507</v>
      </c>
      <c r="S51" s="676"/>
      <c r="T51" s="608">
        <f>+K51</f>
        <v>1.2578616352201255E-2</v>
      </c>
    </row>
    <row r="52" spans="9:20" ht="13.5" thickBot="1" x14ac:dyDescent="0.25">
      <c r="I52" s="572"/>
      <c r="J52" s="609"/>
      <c r="K52" s="804"/>
      <c r="M52" s="556" t="s">
        <v>223</v>
      </c>
      <c r="R52" s="572"/>
      <c r="S52" s="609"/>
      <c r="T52" s="804"/>
    </row>
    <row r="53" spans="9:20" x14ac:dyDescent="0.2">
      <c r="I53" s="572" t="s">
        <v>508</v>
      </c>
      <c r="J53" s="609"/>
      <c r="K53" s="610">
        <f>+I48</f>
        <v>-5.2410901467505339E-3</v>
      </c>
      <c r="M53" s="611">
        <f>+(1+O48/100)/(1+G48/100)-1</f>
        <v>-5.24109014675056E-3</v>
      </c>
      <c r="R53" s="572" t="s">
        <v>477</v>
      </c>
      <c r="S53" s="609"/>
      <c r="T53" s="610">
        <f>+R48</f>
        <v>-5.2410901467502269E-3</v>
      </c>
    </row>
    <row r="54" spans="9:20" ht="13.5" thickBot="1" x14ac:dyDescent="0.25">
      <c r="I54" s="572" t="s">
        <v>509</v>
      </c>
      <c r="J54" s="609"/>
      <c r="K54" s="610">
        <f>+J48</f>
        <v>1.7913593256059006E-2</v>
      </c>
      <c r="M54" s="612">
        <f>+(1+F48/100)/(1+O48/100)-1</f>
        <v>1.7913593256059013E-2</v>
      </c>
      <c r="R54" s="572" t="s">
        <v>531</v>
      </c>
      <c r="S54" s="609"/>
      <c r="T54" s="610">
        <f>+S48</f>
        <v>1.7913593256059013E-2</v>
      </c>
    </row>
    <row r="55" spans="9:20" x14ac:dyDescent="0.2">
      <c r="I55" s="572" t="s">
        <v>0</v>
      </c>
      <c r="J55" s="609"/>
      <c r="K55" s="610" t="s">
        <v>0</v>
      </c>
      <c r="R55" s="572" t="s">
        <v>0</v>
      </c>
      <c r="S55" s="609"/>
      <c r="T55" s="610" t="s">
        <v>0</v>
      </c>
    </row>
    <row r="56" spans="9:20" ht="13.5" thickBot="1" x14ac:dyDescent="0.25">
      <c r="I56" s="613" t="s">
        <v>141</v>
      </c>
      <c r="J56" s="614"/>
      <c r="K56" s="615">
        <f>(1+K51)/((1+K53)*(1+K54))-1</f>
        <v>0</v>
      </c>
      <c r="R56" s="613" t="s">
        <v>524</v>
      </c>
      <c r="S56" s="614"/>
      <c r="T56" s="615">
        <f>(1+T51)/((1+T53)*(1+T54))-1</f>
        <v>0</v>
      </c>
    </row>
    <row r="67" spans="2:25" ht="13.5" thickBot="1" x14ac:dyDescent="0.25"/>
    <row r="68" spans="2:25" ht="15.75" x14ac:dyDescent="0.25">
      <c r="B68" s="987" t="s">
        <v>76</v>
      </c>
      <c r="C68" s="558" t="s">
        <v>1</v>
      </c>
      <c r="D68" s="558" t="s">
        <v>15</v>
      </c>
      <c r="E68" s="559"/>
      <c r="F68" s="560" t="s">
        <v>473</v>
      </c>
      <c r="G68" s="561" t="s">
        <v>15</v>
      </c>
      <c r="I68" s="606" t="s">
        <v>503</v>
      </c>
      <c r="J68" s="861"/>
      <c r="M68" s="564" t="s">
        <v>1</v>
      </c>
      <c r="N68" s="565" t="s">
        <v>15</v>
      </c>
      <c r="O68" s="1009" t="s">
        <v>504</v>
      </c>
      <c r="R68" s="606" t="s">
        <v>849</v>
      </c>
      <c r="S68" s="861"/>
      <c r="V68" s="1010" t="s">
        <v>850</v>
      </c>
      <c r="W68" s="1010"/>
    </row>
    <row r="69" spans="2:25" ht="15.75" x14ac:dyDescent="0.25">
      <c r="B69" s="989" t="s">
        <v>0</v>
      </c>
      <c r="C69" s="568" t="s">
        <v>328</v>
      </c>
      <c r="D69" s="568" t="s">
        <v>328</v>
      </c>
      <c r="E69" s="569"/>
      <c r="F69" s="570" t="s">
        <v>3</v>
      </c>
      <c r="G69" s="571" t="s">
        <v>3</v>
      </c>
      <c r="I69" s="635" t="s">
        <v>505</v>
      </c>
      <c r="J69" s="637" t="s">
        <v>477</v>
      </c>
      <c r="M69" s="574" t="s">
        <v>3</v>
      </c>
      <c r="N69" s="575" t="s">
        <v>3</v>
      </c>
      <c r="O69" s="1011" t="s">
        <v>506</v>
      </c>
      <c r="R69" s="635" t="s">
        <v>505</v>
      </c>
      <c r="S69" s="637" t="s">
        <v>477</v>
      </c>
      <c r="V69" s="1010"/>
      <c r="W69" s="1010"/>
    </row>
    <row r="70" spans="2:25" x14ac:dyDescent="0.2">
      <c r="B70" s="990" t="s">
        <v>391</v>
      </c>
      <c r="C70" s="578" t="s">
        <v>0</v>
      </c>
      <c r="D70" s="578" t="s">
        <v>0</v>
      </c>
      <c r="E70" s="579"/>
      <c r="F70" s="580" t="s">
        <v>0</v>
      </c>
      <c r="G70" s="581" t="s">
        <v>0</v>
      </c>
      <c r="I70" s="582" t="s">
        <v>483</v>
      </c>
      <c r="J70" s="583" t="s">
        <v>484</v>
      </c>
      <c r="M70" s="574" t="s">
        <v>223</v>
      </c>
      <c r="N70" s="575" t="s">
        <v>223</v>
      </c>
      <c r="O70" s="1011" t="s">
        <v>3</v>
      </c>
      <c r="R70" s="582" t="s">
        <v>483</v>
      </c>
      <c r="S70" s="583" t="s">
        <v>484</v>
      </c>
      <c r="V70" s="1010"/>
      <c r="W70" s="1010"/>
    </row>
    <row r="71" spans="2:25" x14ac:dyDescent="0.2">
      <c r="B71" s="567"/>
      <c r="C71" s="569"/>
      <c r="D71" s="569"/>
      <c r="E71" s="569"/>
      <c r="F71" s="586"/>
      <c r="G71" s="587"/>
      <c r="I71" s="572"/>
      <c r="J71" s="573"/>
      <c r="M71" s="593"/>
      <c r="N71" s="594"/>
      <c r="O71" s="576"/>
      <c r="R71" s="572"/>
      <c r="S71" s="573"/>
      <c r="V71" s="1010"/>
      <c r="W71" s="1010"/>
    </row>
    <row r="72" spans="2:25" x14ac:dyDescent="0.2">
      <c r="B72" s="567"/>
      <c r="C72" s="569"/>
      <c r="D72" s="569"/>
      <c r="E72" s="569"/>
      <c r="F72" s="586"/>
      <c r="G72" s="587"/>
      <c r="I72" s="572"/>
      <c r="J72" s="573"/>
      <c r="M72" s="593"/>
      <c r="N72" s="594"/>
      <c r="O72" s="576"/>
      <c r="R72" s="572"/>
      <c r="S72" s="573"/>
      <c r="V72" s="1010"/>
      <c r="W72" s="1010"/>
    </row>
    <row r="73" spans="2:25" x14ac:dyDescent="0.2">
      <c r="B73" s="567" t="s">
        <v>485</v>
      </c>
      <c r="C73" s="588">
        <v>0.3</v>
      </c>
      <c r="D73" s="588">
        <v>0.5</v>
      </c>
      <c r="E73" s="569"/>
      <c r="F73" s="589">
        <v>-20</v>
      </c>
      <c r="G73" s="590">
        <v>-25</v>
      </c>
      <c r="I73" s="591">
        <f>(C73-D73)*((1+G73/100)/(1+G$80/100)-1)</f>
        <v>2.8571428571428581E-2</v>
      </c>
      <c r="J73" s="592">
        <f>C73*((1+F73/100)/(1+G73/100)-1)*(1+G73/100)/(1+O$80/100)</f>
        <v>1.6483516483516477E-2</v>
      </c>
      <c r="M73" s="593">
        <f>+C73*F73</f>
        <v>-6</v>
      </c>
      <c r="N73" s="594">
        <f>+D73*G73</f>
        <v>-12.5</v>
      </c>
      <c r="O73" s="576">
        <f>+C73*G73</f>
        <v>-7.5</v>
      </c>
      <c r="R73" s="591">
        <f>IF(V$80=0,0,((1+I73)*((1+I$80)/(1+X$80))^(V73/V$80)-1))</f>
        <v>2.8497159872471256E-2</v>
      </c>
      <c r="S73" s="592">
        <f>IF(W$80=0,0,((1+J73)*((1+J$80)/(1+Y$80))^(W73/W$80)-1))</f>
        <v>1.6251037162222204E-2</v>
      </c>
      <c r="V73" s="1012">
        <f>+ABS(I73)</f>
        <v>2.8571428571428581E-2</v>
      </c>
      <c r="W73" s="1012">
        <f>+ABS(J73)</f>
        <v>1.6483516483516477E-2</v>
      </c>
    </row>
    <row r="74" spans="2:25" x14ac:dyDescent="0.2">
      <c r="B74" s="567"/>
      <c r="C74" s="588"/>
      <c r="D74" s="588"/>
      <c r="E74" s="569"/>
      <c r="F74" s="589"/>
      <c r="G74" s="590"/>
      <c r="I74" s="572"/>
      <c r="J74" s="592"/>
      <c r="M74" s="593"/>
      <c r="N74" s="594"/>
      <c r="O74" s="576"/>
      <c r="R74" s="572"/>
      <c r="S74" s="592"/>
      <c r="V74" s="1012" t="s">
        <v>0</v>
      </c>
      <c r="W74" s="1012" t="s">
        <v>0</v>
      </c>
    </row>
    <row r="75" spans="2:25" x14ac:dyDescent="0.2">
      <c r="B75" s="567" t="s">
        <v>486</v>
      </c>
      <c r="C75" s="588">
        <v>0.5</v>
      </c>
      <c r="D75" s="588">
        <v>0.4</v>
      </c>
      <c r="E75" s="569"/>
      <c r="F75" s="589">
        <v>8</v>
      </c>
      <c r="G75" s="590">
        <v>5</v>
      </c>
      <c r="I75" s="591">
        <f>(C75-D75)*((1+G75/100)/(1+G$80/100)-1)</f>
        <v>1.999999999999999E-2</v>
      </c>
      <c r="J75" s="592">
        <f>C75*((1+F75/100)/(1+G75/100)-1)*(1+G75/100)/(1+O$80/100)</f>
        <v>1.6483516483516553E-2</v>
      </c>
      <c r="M75" s="593">
        <f>+C75*F75</f>
        <v>4</v>
      </c>
      <c r="N75" s="594">
        <f>+D75*G75</f>
        <v>2</v>
      </c>
      <c r="O75" s="576">
        <f>+C75*G75</f>
        <v>2.5</v>
      </c>
      <c r="R75" s="591">
        <f>IF(V$80=0,0,((1+I75)*((1+I$80)/(1+X$80))^(V75/V$80)-1))</f>
        <v>1.9948444586406877E-2</v>
      </c>
      <c r="S75" s="592">
        <f>IF(W$80=0,0,((1+J75)*((1+J$80)/(1+Y$80))^(W75/W$80)-1))</f>
        <v>1.6251037162222426E-2</v>
      </c>
      <c r="V75" s="1012">
        <f>+ABS(I75)</f>
        <v>1.999999999999999E-2</v>
      </c>
      <c r="W75" s="1012">
        <f>+ABS(J75)</f>
        <v>1.6483516483516553E-2</v>
      </c>
    </row>
    <row r="76" spans="2:25" x14ac:dyDescent="0.2">
      <c r="B76" s="567"/>
      <c r="C76" s="588"/>
      <c r="D76" s="588"/>
      <c r="E76" s="569"/>
      <c r="F76" s="589"/>
      <c r="G76" s="590"/>
      <c r="I76" s="572"/>
      <c r="J76" s="592"/>
      <c r="M76" s="593"/>
      <c r="N76" s="594"/>
      <c r="O76" s="576"/>
      <c r="R76" s="572"/>
      <c r="S76" s="592"/>
      <c r="V76" s="1012" t="s">
        <v>0</v>
      </c>
      <c r="W76" s="1012" t="s">
        <v>0</v>
      </c>
    </row>
    <row r="77" spans="2:25" x14ac:dyDescent="0.2">
      <c r="B77" s="567" t="s">
        <v>487</v>
      </c>
      <c r="C77" s="588">
        <v>0.2</v>
      </c>
      <c r="D77" s="588">
        <v>0.1</v>
      </c>
      <c r="E77" s="569"/>
      <c r="F77" s="589">
        <v>-15</v>
      </c>
      <c r="G77" s="590">
        <v>-20</v>
      </c>
      <c r="I77" s="591">
        <f>(C77-D77)*((1+G77/100)/(1+G$80/100)-1)</f>
        <v>-8.5714285714285632E-3</v>
      </c>
      <c r="J77" s="592">
        <f>C77*((1+F77/100)/(1+G77/100)-1)*(1+G77/100)/(1+O$80/100)</f>
        <v>1.0989010989010992E-2</v>
      </c>
      <c r="M77" s="593">
        <f>+C77*F77</f>
        <v>-3</v>
      </c>
      <c r="N77" s="594">
        <f>+D77*G77</f>
        <v>-2</v>
      </c>
      <c r="O77" s="576">
        <f>+C77*G77</f>
        <v>-4</v>
      </c>
      <c r="R77" s="591">
        <f>IF(V$80=0,0,((1+I77)*((1+I$80)/(1+X$80))^(V77/V$80)-1))</f>
        <v>-8.5929051463079498E-3</v>
      </c>
      <c r="S77" s="592">
        <f>IF(W$80=0,0,((1+J77)*((1+J$80)/(1+Y$80))^(W77/W$80)-1))</f>
        <v>1.0834856661671166E-2</v>
      </c>
      <c r="V77" s="1012">
        <f>+ABS(I77)</f>
        <v>8.5714285714285632E-3</v>
      </c>
      <c r="W77" s="1012">
        <f>+ABS(J77)</f>
        <v>1.0989010989010992E-2</v>
      </c>
    </row>
    <row r="78" spans="2:25" x14ac:dyDescent="0.2">
      <c r="B78" s="567"/>
      <c r="C78" s="588"/>
      <c r="D78" s="588"/>
      <c r="E78" s="569"/>
      <c r="F78" s="586"/>
      <c r="G78" s="587"/>
      <c r="I78" s="572"/>
      <c r="J78" s="592"/>
      <c r="M78" s="593"/>
      <c r="N78" s="594"/>
      <c r="O78" s="576"/>
      <c r="R78" s="572"/>
      <c r="S78" s="592"/>
      <c r="V78" s="1012"/>
      <c r="W78" s="1012"/>
    </row>
    <row r="79" spans="2:25" x14ac:dyDescent="0.2">
      <c r="B79" s="567"/>
      <c r="C79" s="588"/>
      <c r="D79" s="588"/>
      <c r="E79" s="569"/>
      <c r="F79" s="586"/>
      <c r="G79" s="587"/>
      <c r="I79" s="572"/>
      <c r="J79" s="592"/>
      <c r="M79" s="593"/>
      <c r="N79" s="594"/>
      <c r="O79" s="576"/>
      <c r="R79" s="572"/>
      <c r="S79" s="592"/>
      <c r="V79" s="1012"/>
      <c r="W79" s="1012"/>
      <c r="X79" s="1010" t="s">
        <v>852</v>
      </c>
      <c r="Y79" s="1010"/>
    </row>
    <row r="80" spans="2:25" ht="13.5" thickBot="1" x14ac:dyDescent="0.25">
      <c r="B80" s="595" t="s">
        <v>16</v>
      </c>
      <c r="C80" s="596">
        <f>SUM(C73:C77)</f>
        <v>1</v>
      </c>
      <c r="D80" s="596">
        <f>SUM(D73:D77)</f>
        <v>1</v>
      </c>
      <c r="E80" s="597"/>
      <c r="F80" s="598">
        <f>+M80</f>
        <v>-5</v>
      </c>
      <c r="G80" s="599">
        <f>+N80</f>
        <v>-12.5</v>
      </c>
      <c r="I80" s="601">
        <f>SUM(I73:I77)</f>
        <v>4.0000000000000008E-2</v>
      </c>
      <c r="J80" s="602">
        <f>SUM(J73:J77)</f>
        <v>4.3956043956044022E-2</v>
      </c>
      <c r="M80" s="794">
        <f>SUM(M73:M77)</f>
        <v>-5</v>
      </c>
      <c r="N80" s="795">
        <f>SUM(N73:N77)</f>
        <v>-12.5</v>
      </c>
      <c r="O80" s="1013">
        <f>SUM(O73:O77)</f>
        <v>-9</v>
      </c>
      <c r="R80" s="847">
        <f>((1+R73)*(1+R75)*(1+R77)-1)</f>
        <v>4.0000000000000036E-2</v>
      </c>
      <c r="S80" s="615">
        <f>((1+S73)*(1+S75)*(1+S77)-1)</f>
        <v>4.3956043956044022E-2</v>
      </c>
      <c r="V80" s="1012">
        <f>SUM(V73:V77)</f>
        <v>5.7142857142857134E-2</v>
      </c>
      <c r="W80" s="1012">
        <f>SUM(W73:W77)</f>
        <v>4.3956043956044022E-2</v>
      </c>
      <c r="X80" s="1014">
        <f>(1+I73)*(1+I75)*(1+I77)-1</f>
        <v>4.0150204081632612E-2</v>
      </c>
      <c r="Y80" s="1014">
        <f>(1+J73)*(1+J75)*(1+J77)-1</f>
        <v>4.4593011142944672E-2</v>
      </c>
    </row>
    <row r="82" spans="9:20" ht="13.5" thickBot="1" x14ac:dyDescent="0.25">
      <c r="M82" s="556" t="s">
        <v>0</v>
      </c>
    </row>
    <row r="83" spans="9:20" ht="15.75" x14ac:dyDescent="0.25">
      <c r="I83" s="606" t="s">
        <v>507</v>
      </c>
      <c r="J83" s="676"/>
      <c r="K83" s="608">
        <f>(1+F80/100)/(1+G80/100)-1</f>
        <v>8.5714285714285632E-2</v>
      </c>
      <c r="R83" s="606" t="s">
        <v>507</v>
      </c>
      <c r="S83" s="676"/>
      <c r="T83" s="608">
        <f>+K83</f>
        <v>8.5714285714285632E-2</v>
      </c>
    </row>
    <row r="84" spans="9:20" ht="13.5" thickBot="1" x14ac:dyDescent="0.25">
      <c r="I84" s="572"/>
      <c r="J84" s="609"/>
      <c r="K84" s="804"/>
      <c r="M84" s="556" t="s">
        <v>223</v>
      </c>
      <c r="R84" s="572"/>
      <c r="S84" s="609"/>
      <c r="T84" s="804"/>
    </row>
    <row r="85" spans="9:20" x14ac:dyDescent="0.2">
      <c r="I85" s="572" t="s">
        <v>508</v>
      </c>
      <c r="J85" s="609"/>
      <c r="K85" s="610">
        <f>+I80</f>
        <v>4.0000000000000008E-2</v>
      </c>
      <c r="M85" s="611">
        <f>+(1+O80/100)/(1+G80/100)-1</f>
        <v>4.0000000000000036E-2</v>
      </c>
      <c r="R85" s="572" t="s">
        <v>477</v>
      </c>
      <c r="S85" s="609"/>
      <c r="T85" s="610">
        <f>+R80</f>
        <v>4.0000000000000036E-2</v>
      </c>
    </row>
    <row r="86" spans="9:20" ht="13.5" thickBot="1" x14ac:dyDescent="0.25">
      <c r="I86" s="572" t="s">
        <v>509</v>
      </c>
      <c r="J86" s="609"/>
      <c r="K86" s="610">
        <f>+J80</f>
        <v>4.3956043956044022E-2</v>
      </c>
      <c r="M86" s="612">
        <f>+(1+F80/100)/(1+O80/100)-1</f>
        <v>4.39560439560438E-2</v>
      </c>
      <c r="R86" s="572" t="s">
        <v>531</v>
      </c>
      <c r="S86" s="609"/>
      <c r="T86" s="610">
        <f>+S80</f>
        <v>4.3956043956044022E-2</v>
      </c>
    </row>
    <row r="87" spans="9:20" x14ac:dyDescent="0.2">
      <c r="I87" s="572" t="s">
        <v>0</v>
      </c>
      <c r="J87" s="609"/>
      <c r="K87" s="610" t="s">
        <v>0</v>
      </c>
      <c r="R87" s="572" t="s">
        <v>0</v>
      </c>
      <c r="S87" s="609"/>
      <c r="T87" s="610" t="s">
        <v>0</v>
      </c>
    </row>
    <row r="88" spans="9:20" ht="13.5" thickBot="1" x14ac:dyDescent="0.25">
      <c r="I88" s="613" t="s">
        <v>141</v>
      </c>
      <c r="J88" s="614"/>
      <c r="K88" s="615">
        <f>(1+K83)/((1+K85)*(1+K86))-1</f>
        <v>0</v>
      </c>
      <c r="R88" s="613" t="s">
        <v>524</v>
      </c>
      <c r="S88" s="614"/>
      <c r="T88" s="615">
        <f>(1+T83)/((1+T85)*(1+T86))-1</f>
        <v>0</v>
      </c>
    </row>
    <row r="99" spans="2:25" ht="13.5" thickBot="1" x14ac:dyDescent="0.25"/>
    <row r="100" spans="2:25" ht="15.75" x14ac:dyDescent="0.25">
      <c r="B100" s="987" t="s">
        <v>76</v>
      </c>
      <c r="C100" s="558" t="s">
        <v>1</v>
      </c>
      <c r="D100" s="558" t="s">
        <v>15</v>
      </c>
      <c r="E100" s="559"/>
      <c r="F100" s="560" t="s">
        <v>473</v>
      </c>
      <c r="G100" s="561" t="s">
        <v>15</v>
      </c>
      <c r="I100" s="606" t="s">
        <v>503</v>
      </c>
      <c r="J100" s="861"/>
      <c r="M100" s="564" t="s">
        <v>1</v>
      </c>
      <c r="N100" s="565" t="s">
        <v>15</v>
      </c>
      <c r="O100" s="1009" t="s">
        <v>504</v>
      </c>
      <c r="R100" s="606" t="s">
        <v>849</v>
      </c>
      <c r="S100" s="861"/>
      <c r="V100" s="1010" t="s">
        <v>850</v>
      </c>
      <c r="W100" s="1010"/>
    </row>
    <row r="101" spans="2:25" ht="15.75" x14ac:dyDescent="0.25">
      <c r="B101" s="989" t="s">
        <v>0</v>
      </c>
      <c r="C101" s="568" t="s">
        <v>328</v>
      </c>
      <c r="D101" s="568" t="s">
        <v>328</v>
      </c>
      <c r="E101" s="569"/>
      <c r="F101" s="570" t="s">
        <v>3</v>
      </c>
      <c r="G101" s="571" t="s">
        <v>3</v>
      </c>
      <c r="I101" s="635" t="s">
        <v>505</v>
      </c>
      <c r="J101" s="637" t="s">
        <v>477</v>
      </c>
      <c r="M101" s="574" t="s">
        <v>3</v>
      </c>
      <c r="N101" s="575" t="s">
        <v>3</v>
      </c>
      <c r="O101" s="1011" t="s">
        <v>506</v>
      </c>
      <c r="R101" s="635" t="s">
        <v>505</v>
      </c>
      <c r="S101" s="637" t="s">
        <v>477</v>
      </c>
      <c r="V101" s="1010"/>
      <c r="W101" s="1010"/>
    </row>
    <row r="102" spans="2:25" x14ac:dyDescent="0.2">
      <c r="B102" s="990" t="s">
        <v>392</v>
      </c>
      <c r="C102" s="578" t="s">
        <v>0</v>
      </c>
      <c r="D102" s="578" t="s">
        <v>0</v>
      </c>
      <c r="E102" s="579"/>
      <c r="F102" s="580" t="s">
        <v>0</v>
      </c>
      <c r="G102" s="581" t="s">
        <v>0</v>
      </c>
      <c r="I102" s="582" t="s">
        <v>483</v>
      </c>
      <c r="J102" s="583" t="s">
        <v>484</v>
      </c>
      <c r="M102" s="574" t="s">
        <v>223</v>
      </c>
      <c r="N102" s="575" t="s">
        <v>223</v>
      </c>
      <c r="O102" s="1011" t="s">
        <v>3</v>
      </c>
      <c r="R102" s="582" t="s">
        <v>483</v>
      </c>
      <c r="S102" s="583" t="s">
        <v>484</v>
      </c>
      <c r="V102" s="1010"/>
      <c r="W102" s="1010"/>
    </row>
    <row r="103" spans="2:25" x14ac:dyDescent="0.2">
      <c r="B103" s="567"/>
      <c r="C103" s="569"/>
      <c r="D103" s="569"/>
      <c r="E103" s="569"/>
      <c r="F103" s="586"/>
      <c r="G103" s="587"/>
      <c r="I103" s="572"/>
      <c r="J103" s="573"/>
      <c r="M103" s="593"/>
      <c r="N103" s="594"/>
      <c r="O103" s="576"/>
      <c r="R103" s="572"/>
      <c r="S103" s="573"/>
      <c r="V103" s="1010"/>
      <c r="W103" s="1010"/>
    </row>
    <row r="104" spans="2:25" x14ac:dyDescent="0.2">
      <c r="B104" s="567"/>
      <c r="C104" s="569"/>
      <c r="D104" s="569"/>
      <c r="E104" s="569"/>
      <c r="F104" s="586"/>
      <c r="G104" s="587"/>
      <c r="I104" s="572"/>
      <c r="J104" s="573"/>
      <c r="M104" s="593"/>
      <c r="N104" s="594"/>
      <c r="O104" s="576"/>
      <c r="R104" s="572"/>
      <c r="S104" s="573"/>
      <c r="V104" s="1010"/>
      <c r="W104" s="1010"/>
    </row>
    <row r="105" spans="2:25" x14ac:dyDescent="0.2">
      <c r="B105" s="567" t="s">
        <v>485</v>
      </c>
      <c r="C105" s="588">
        <v>0.3</v>
      </c>
      <c r="D105" s="588">
        <v>0.4</v>
      </c>
      <c r="E105" s="569"/>
      <c r="F105" s="589">
        <v>10</v>
      </c>
      <c r="G105" s="590">
        <v>5</v>
      </c>
      <c r="I105" s="591">
        <f>(C105-D105)*((1+G105/100)/(1+G$112/100)-1)</f>
        <v>-2.9411764705882478E-3</v>
      </c>
      <c r="J105" s="592">
        <f>C105*((1+F105/100)/(1+G105/100)-1)*(1+G105/100)/(1+O$112/100)</f>
        <v>1.4851485148514868E-2</v>
      </c>
      <c r="M105" s="593">
        <f>+C105*F105</f>
        <v>3</v>
      </c>
      <c r="N105" s="594">
        <f>+D105*G105</f>
        <v>2</v>
      </c>
      <c r="O105" s="576">
        <f>+C105*G105</f>
        <v>1.5</v>
      </c>
      <c r="R105" s="591">
        <f>IF(V$112=0,0,((1+I105)*((1+I$112)/(1+X$112))^(V105/V$112)-1))</f>
        <v>-2.9472737209871314E-3</v>
      </c>
      <c r="S105" s="592">
        <f>IF(W$112=0,0,((1+J105)*((1+J$112)/(1+Y$112))^(W105/W$112)-1))</f>
        <v>1.4852653532790638E-2</v>
      </c>
      <c r="V105" s="1012">
        <f>+ABS(I105)</f>
        <v>2.9411764705882478E-3</v>
      </c>
      <c r="W105" s="1012">
        <f>+ABS(J105)</f>
        <v>1.4851485148514868E-2</v>
      </c>
    </row>
    <row r="106" spans="2:25" x14ac:dyDescent="0.2">
      <c r="B106" s="567"/>
      <c r="C106" s="588"/>
      <c r="D106" s="588"/>
      <c r="E106" s="569"/>
      <c r="F106" s="589"/>
      <c r="G106" s="590"/>
      <c r="I106" s="572"/>
      <c r="J106" s="592"/>
      <c r="M106" s="593"/>
      <c r="N106" s="594"/>
      <c r="O106" s="576"/>
      <c r="R106" s="572"/>
      <c r="S106" s="592"/>
      <c r="V106" s="1012" t="s">
        <v>0</v>
      </c>
      <c r="W106" s="1012" t="s">
        <v>0</v>
      </c>
    </row>
    <row r="107" spans="2:25" x14ac:dyDescent="0.2">
      <c r="B107" s="567" t="s">
        <v>486</v>
      </c>
      <c r="C107" s="588">
        <v>0.5</v>
      </c>
      <c r="D107" s="588">
        <v>0.4</v>
      </c>
      <c r="E107" s="569"/>
      <c r="F107" s="589">
        <v>-7</v>
      </c>
      <c r="G107" s="590">
        <v>-5</v>
      </c>
      <c r="I107" s="591">
        <f>(C107-D107)*((1+G107/100)/(1+G$112/100)-1)</f>
        <v>-6.8627450980392234E-3</v>
      </c>
      <c r="J107" s="592">
        <f>C107*((1+F107/100)/(1+G107/100)-1)*(1+G107/100)/(1+O$112/100)</f>
        <v>-9.9009900990099323E-3</v>
      </c>
      <c r="M107" s="593">
        <f>+C107*F107</f>
        <v>-3.5</v>
      </c>
      <c r="N107" s="594">
        <f>+D107*G107</f>
        <v>-2</v>
      </c>
      <c r="O107" s="576">
        <f>+C107*G107</f>
        <v>-2.5</v>
      </c>
      <c r="R107" s="591">
        <f>IF(V$112=0,0,((1+I107)*((1+I$112)/(1+X$112))^(V107/V$112)-1))</f>
        <v>-6.876916001452793E-3</v>
      </c>
      <c r="S107" s="592">
        <f>IF(W$112=0,0,((1+J107)*((1+J$112)/(1+Y$112))^(W107/W$112)-1))</f>
        <v>-9.900230174423541E-3</v>
      </c>
      <c r="V107" s="1012">
        <f>+ABS(I107)</f>
        <v>6.8627450980392234E-3</v>
      </c>
      <c r="W107" s="1012">
        <f>+ABS(J107)</f>
        <v>9.9009900990099323E-3</v>
      </c>
    </row>
    <row r="108" spans="2:25" x14ac:dyDescent="0.2">
      <c r="B108" s="567"/>
      <c r="C108" s="588"/>
      <c r="D108" s="588"/>
      <c r="E108" s="569"/>
      <c r="F108" s="589"/>
      <c r="G108" s="590"/>
      <c r="I108" s="572"/>
      <c r="J108" s="592"/>
      <c r="M108" s="593"/>
      <c r="N108" s="594"/>
      <c r="O108" s="576"/>
      <c r="R108" s="572"/>
      <c r="S108" s="592"/>
      <c r="V108" s="1012" t="s">
        <v>0</v>
      </c>
      <c r="W108" s="1012" t="s">
        <v>0</v>
      </c>
    </row>
    <row r="109" spans="2:25" x14ac:dyDescent="0.2">
      <c r="B109" s="567" t="s">
        <v>487</v>
      </c>
      <c r="C109" s="588">
        <v>0.2</v>
      </c>
      <c r="D109" s="588">
        <v>0.2</v>
      </c>
      <c r="E109" s="569"/>
      <c r="F109" s="589">
        <v>25</v>
      </c>
      <c r="G109" s="590">
        <v>10</v>
      </c>
      <c r="I109" s="591">
        <f>(C109-D109)*((1+G109/100)/(1+G$112/100)-1)</f>
        <v>0</v>
      </c>
      <c r="J109" s="592">
        <f>C109*((1+F109/100)/(1+G109/100)-1)*(1+G109/100)/(1+O$112/100)</f>
        <v>2.9702970297029681E-2</v>
      </c>
      <c r="M109" s="593">
        <f>+C109*F109</f>
        <v>5</v>
      </c>
      <c r="N109" s="594">
        <f>+D109*G109</f>
        <v>2</v>
      </c>
      <c r="O109" s="576">
        <f>+C109*G109</f>
        <v>2</v>
      </c>
      <c r="R109" s="591">
        <f>IF(V$112=0,0,((1+I109)*((1+I$112)/(1+X$112))^(V109/V$112)-1))</f>
        <v>0</v>
      </c>
      <c r="S109" s="592">
        <f>IF(W$112=0,0,((1+J109)*((1+J$112)/(1+Y$112))^(W109/W$112)-1))</f>
        <v>2.970534126355906E-2</v>
      </c>
      <c r="V109" s="1012">
        <f>+ABS(I109)</f>
        <v>0</v>
      </c>
      <c r="W109" s="1012">
        <f>+ABS(J109)</f>
        <v>2.9702970297029681E-2</v>
      </c>
    </row>
    <row r="110" spans="2:25" x14ac:dyDescent="0.2">
      <c r="B110" s="567"/>
      <c r="C110" s="588"/>
      <c r="D110" s="588" t="s">
        <v>0</v>
      </c>
      <c r="E110" s="569"/>
      <c r="F110" s="586"/>
      <c r="G110" s="587"/>
      <c r="I110" s="572"/>
      <c r="J110" s="592"/>
      <c r="M110" s="593"/>
      <c r="N110" s="594"/>
      <c r="O110" s="576"/>
      <c r="R110" s="572"/>
      <c r="S110" s="592"/>
      <c r="V110" s="1012"/>
      <c r="W110" s="1012"/>
    </row>
    <row r="111" spans="2:25" x14ac:dyDescent="0.2">
      <c r="B111" s="567"/>
      <c r="C111" s="588"/>
      <c r="D111" s="588"/>
      <c r="E111" s="569"/>
      <c r="F111" s="586"/>
      <c r="G111" s="587"/>
      <c r="I111" s="572"/>
      <c r="J111" s="592"/>
      <c r="M111" s="593"/>
      <c r="N111" s="594"/>
      <c r="O111" s="576"/>
      <c r="R111" s="572"/>
      <c r="S111" s="592"/>
      <c r="V111" s="1012"/>
      <c r="W111" s="1012"/>
      <c r="X111" s="1010" t="s">
        <v>852</v>
      </c>
      <c r="Y111" s="1010"/>
    </row>
    <row r="112" spans="2:25" ht="13.5" thickBot="1" x14ac:dyDescent="0.25">
      <c r="B112" s="595" t="s">
        <v>16</v>
      </c>
      <c r="C112" s="596">
        <f>SUM(C105:C109)</f>
        <v>1</v>
      </c>
      <c r="D112" s="596">
        <f>SUM(D105:D110)</f>
        <v>1</v>
      </c>
      <c r="E112" s="752"/>
      <c r="F112" s="598">
        <f>+M112</f>
        <v>4.5</v>
      </c>
      <c r="G112" s="599">
        <f>+N112</f>
        <v>2</v>
      </c>
      <c r="I112" s="601">
        <f>SUM(I105:I109)</f>
        <v>-9.8039215686274717E-3</v>
      </c>
      <c r="J112" s="602">
        <f>SUM(J105:J109)</f>
        <v>3.4653465346534615E-2</v>
      </c>
      <c r="M112" s="794">
        <f>SUM(M105:M109)</f>
        <v>4.5</v>
      </c>
      <c r="N112" s="795">
        <f>SUM(N105:N109)</f>
        <v>2</v>
      </c>
      <c r="O112" s="1013">
        <f>SUM(O105:O109)</f>
        <v>1</v>
      </c>
      <c r="R112" s="847">
        <f>((1+R105)*(1+R107)*(1+R109)-1)</f>
        <v>-9.8039215686274161E-3</v>
      </c>
      <c r="S112" s="615">
        <f>((1+S105)*(1+S107)*(1+S109)-1)</f>
        <v>3.4653465346534462E-2</v>
      </c>
      <c r="V112" s="1012">
        <f>SUM(V105:V109)</f>
        <v>9.8039215686274717E-3</v>
      </c>
      <c r="W112" s="1012">
        <f>SUM(W105:W109)</f>
        <v>5.4455445544554483E-2</v>
      </c>
      <c r="X112" s="1014">
        <f>(1+I105)*(1+I107)*(1+I109)-1</f>
        <v>-9.7837370242214172E-3</v>
      </c>
      <c r="Y112" s="1014">
        <f>(1+J105)*(1+J107)*(1+J109)-1</f>
        <v>3.4649097690869102E-2</v>
      </c>
    </row>
    <row r="114" spans="9:20" ht="13.5" thickBot="1" x14ac:dyDescent="0.25">
      <c r="M114" s="556" t="s">
        <v>0</v>
      </c>
    </row>
    <row r="115" spans="9:20" ht="15.75" x14ac:dyDescent="0.25">
      <c r="I115" s="606" t="s">
        <v>507</v>
      </c>
      <c r="J115" s="676"/>
      <c r="K115" s="608">
        <f>(1+F112/100)/(1+G112/100)-1</f>
        <v>2.450980392156854E-2</v>
      </c>
      <c r="R115" s="606" t="s">
        <v>507</v>
      </c>
      <c r="S115" s="676"/>
      <c r="T115" s="608">
        <f>+K115</f>
        <v>2.450980392156854E-2</v>
      </c>
    </row>
    <row r="116" spans="9:20" ht="13.5" thickBot="1" x14ac:dyDescent="0.25">
      <c r="I116" s="572"/>
      <c r="J116" s="609"/>
      <c r="K116" s="804"/>
      <c r="M116" s="556" t="s">
        <v>223</v>
      </c>
      <c r="R116" s="572"/>
      <c r="S116" s="609"/>
      <c r="T116" s="804"/>
    </row>
    <row r="117" spans="9:20" x14ac:dyDescent="0.2">
      <c r="I117" s="572" t="s">
        <v>508</v>
      </c>
      <c r="J117" s="609"/>
      <c r="K117" s="610">
        <f>+I112</f>
        <v>-9.8039215686274717E-3</v>
      </c>
      <c r="M117" s="611">
        <f>+(1+O112/100)/(1+G112/100)-1</f>
        <v>-9.8039215686274161E-3</v>
      </c>
      <c r="R117" s="572" t="s">
        <v>477</v>
      </c>
      <c r="S117" s="609"/>
      <c r="T117" s="610">
        <f>+R112</f>
        <v>-9.8039215686274161E-3</v>
      </c>
    </row>
    <row r="118" spans="9:20" ht="13.5" thickBot="1" x14ac:dyDescent="0.25">
      <c r="I118" s="572" t="s">
        <v>509</v>
      </c>
      <c r="J118" s="609"/>
      <c r="K118" s="610">
        <f>+J112</f>
        <v>3.4653465346534615E-2</v>
      </c>
      <c r="M118" s="612">
        <f>+(1+F112/100)/(1+O112/100)-1</f>
        <v>3.4653465346534684E-2</v>
      </c>
      <c r="R118" s="572" t="s">
        <v>531</v>
      </c>
      <c r="S118" s="609"/>
      <c r="T118" s="610">
        <f>+S112</f>
        <v>3.4653465346534462E-2</v>
      </c>
    </row>
    <row r="119" spans="9:20" x14ac:dyDescent="0.2">
      <c r="I119" s="572" t="s">
        <v>0</v>
      </c>
      <c r="J119" s="609"/>
      <c r="K119" s="610" t="s">
        <v>0</v>
      </c>
      <c r="R119" s="572" t="s">
        <v>0</v>
      </c>
      <c r="S119" s="609"/>
      <c r="T119" s="610" t="s">
        <v>0</v>
      </c>
    </row>
    <row r="120" spans="9:20" ht="13.5" thickBot="1" x14ac:dyDescent="0.25">
      <c r="I120" s="613" t="s">
        <v>141</v>
      </c>
      <c r="J120" s="614"/>
      <c r="K120" s="615">
        <f>(1+K115)/((1+K117)*(1+K118))-1</f>
        <v>0</v>
      </c>
      <c r="R120" s="613" t="s">
        <v>524</v>
      </c>
      <c r="S120" s="614"/>
      <c r="T120" s="615">
        <f>(1+T115)/((1+T117)*(1+T118))-1</f>
        <v>0</v>
      </c>
    </row>
    <row r="131" spans="2:10" ht="13.5" thickBot="1" x14ac:dyDescent="0.25"/>
    <row r="132" spans="2:10" ht="15.75" x14ac:dyDescent="0.25">
      <c r="B132" s="987" t="s">
        <v>76</v>
      </c>
      <c r="C132" s="558" t="s">
        <v>1</v>
      </c>
      <c r="D132" s="558" t="s">
        <v>15</v>
      </c>
      <c r="E132" s="559"/>
      <c r="F132" s="560" t="s">
        <v>473</v>
      </c>
      <c r="G132" s="561" t="s">
        <v>15</v>
      </c>
      <c r="I132" s="606" t="s">
        <v>503</v>
      </c>
      <c r="J132" s="861"/>
    </row>
    <row r="133" spans="2:10" ht="15.75" x14ac:dyDescent="0.25">
      <c r="B133" s="989" t="s">
        <v>0</v>
      </c>
      <c r="C133" s="568" t="s">
        <v>328</v>
      </c>
      <c r="D133" s="568" t="s">
        <v>328</v>
      </c>
      <c r="E133" s="569"/>
      <c r="F133" s="570" t="s">
        <v>3</v>
      </c>
      <c r="G133" s="571" t="s">
        <v>3</v>
      </c>
      <c r="I133" s="635" t="s">
        <v>505</v>
      </c>
      <c r="J133" s="637" t="s">
        <v>477</v>
      </c>
    </row>
    <row r="134" spans="2:10" x14ac:dyDescent="0.2">
      <c r="B134" s="990" t="s">
        <v>822</v>
      </c>
      <c r="C134" s="578" t="s">
        <v>0</v>
      </c>
      <c r="D134" s="578" t="s">
        <v>0</v>
      </c>
      <c r="E134" s="579"/>
      <c r="F134" s="580" t="s">
        <v>0</v>
      </c>
      <c r="G134" s="581" t="s">
        <v>0</v>
      </c>
      <c r="I134" s="582" t="s">
        <v>483</v>
      </c>
      <c r="J134" s="583" t="s">
        <v>484</v>
      </c>
    </row>
    <row r="135" spans="2:10" x14ac:dyDescent="0.2">
      <c r="B135" s="567"/>
      <c r="C135" s="569"/>
      <c r="D135" s="569"/>
      <c r="E135" s="569"/>
      <c r="F135" s="586"/>
      <c r="G135" s="587"/>
      <c r="I135" s="572"/>
      <c r="J135" s="573"/>
    </row>
    <row r="136" spans="2:10" x14ac:dyDescent="0.2">
      <c r="B136" s="567"/>
      <c r="C136" s="569"/>
      <c r="D136" s="569"/>
      <c r="E136" s="569"/>
      <c r="F136" s="586"/>
      <c r="G136" s="587"/>
      <c r="I136" s="572"/>
      <c r="J136" s="573"/>
    </row>
    <row r="137" spans="2:10" x14ac:dyDescent="0.2">
      <c r="B137" s="567" t="s">
        <v>485</v>
      </c>
      <c r="C137" s="588">
        <f>+(C9+C41+C73+C105)/4</f>
        <v>0.42500000000000004</v>
      </c>
      <c r="D137" s="588">
        <f>+(D9+D41+D73+D105)/4</f>
        <v>0.42500000000000004</v>
      </c>
      <c r="E137" s="569"/>
      <c r="F137" s="589">
        <f>((1+F9/100)*(1+F41/100)*(1+F73/100)*(1+F105/100)-1)*100</f>
        <v>0.32000000000000917</v>
      </c>
      <c r="G137" s="590">
        <f>((1+G9/100)*(1+G41/100)*(1+G73/100)*(1+G105/100)-1)*100</f>
        <v>-19.438749999999992</v>
      </c>
      <c r="I137" s="591">
        <f>((1+I9/100)*(1+I41/100)*(1+I73/100)*(1+I105/100)-1)*100</f>
        <v>1.8080307658152606E-2</v>
      </c>
      <c r="J137" s="592">
        <f>((1+J9/100)*(1+J41/100)*(1+J73/100)*(1+J105/100)-1)*100</f>
        <v>8.4134783705236416E-2</v>
      </c>
    </row>
    <row r="138" spans="2:10" x14ac:dyDescent="0.2">
      <c r="B138" s="567"/>
      <c r="C138" s="588"/>
      <c r="D138" s="588"/>
      <c r="E138" s="569"/>
      <c r="F138" s="589"/>
      <c r="G138" s="590"/>
      <c r="I138" s="572"/>
      <c r="J138" s="592"/>
    </row>
    <row r="139" spans="2:10" x14ac:dyDescent="0.2">
      <c r="B139" s="567" t="s">
        <v>486</v>
      </c>
      <c r="C139" s="588">
        <f>+(C11+C43+C75+C107)/4</f>
        <v>0.375</v>
      </c>
      <c r="D139" s="588">
        <f>+(D11+D43+D75+D107)/4</f>
        <v>0.32500000000000001</v>
      </c>
      <c r="E139" s="569"/>
      <c r="F139" s="589">
        <f>((1+F11/100)*(1+F43/100)*(1+F75/100)*(1+F107/100)-1)*100</f>
        <v>-1.719460000000006</v>
      </c>
      <c r="G139" s="590">
        <f>((1+G11/100)*(1+G43/100)*(1+G75/100)*(1+G107/100)-1)*100</f>
        <v>-0.40960000000000996</v>
      </c>
      <c r="I139" s="591">
        <f>((1+I11/100)*(1+I43/100)*(1+I75/100)*(1+I107/100)-1)*100</f>
        <v>-5.6548156558200446E-3</v>
      </c>
      <c r="J139" s="592">
        <f>((1+J11/100)*(1+J43/100)*(1+J75/100)*(1+J107/100)-1)*100</f>
        <v>1.6214355110344414E-3</v>
      </c>
    </row>
    <row r="140" spans="2:10" x14ac:dyDescent="0.2">
      <c r="B140" s="567"/>
      <c r="C140" s="588"/>
      <c r="D140" s="588"/>
      <c r="E140" s="569"/>
      <c r="F140" s="589"/>
      <c r="G140" s="590"/>
      <c r="I140" s="572"/>
      <c r="J140" s="592"/>
    </row>
    <row r="141" spans="2:10" x14ac:dyDescent="0.2">
      <c r="B141" s="567" t="s">
        <v>487</v>
      </c>
      <c r="C141" s="588">
        <f>+(C13+C45+C77+C109)/4</f>
        <v>0.2</v>
      </c>
      <c r="D141" s="588">
        <f>+(D13+D45+D77+D109)/4</f>
        <v>0.25</v>
      </c>
      <c r="E141" s="569"/>
      <c r="F141" s="589">
        <f>((1+F13/100)*(1+F45/100)*(1+F77/100)*(1+F109/100)-1)*100</f>
        <v>6.9937499999999764</v>
      </c>
      <c r="G141" s="590">
        <f>((1+G13/100)*(1+G45/100)*(1+G77/100)*(1+G109/100)-1)*100</f>
        <v>-14.463999999999988</v>
      </c>
      <c r="I141" s="591">
        <f>((1+I13/100)*(1+I45/100)*(1+I77/100)*(1+I109/100)-1)*100</f>
        <v>1.2445550679807127E-3</v>
      </c>
      <c r="J141" s="592">
        <f>((1+J13/100)*(1+J45/100)*(1+J77/100)*(1+J109/100)-1)*100</f>
        <v>4.0260049665996611E-2</v>
      </c>
    </row>
    <row r="142" spans="2:10" x14ac:dyDescent="0.2">
      <c r="B142" s="567"/>
      <c r="C142" s="588"/>
      <c r="D142" s="588" t="s">
        <v>0</v>
      </c>
      <c r="E142" s="569"/>
      <c r="F142" s="586"/>
      <c r="G142" s="587"/>
      <c r="I142" s="572"/>
      <c r="J142" s="592"/>
    </row>
    <row r="143" spans="2:10" x14ac:dyDescent="0.2">
      <c r="B143" s="567"/>
      <c r="C143" s="588"/>
      <c r="D143" s="588"/>
      <c r="E143" s="569"/>
      <c r="F143" s="586"/>
      <c r="G143" s="587"/>
      <c r="I143" s="572"/>
      <c r="J143" s="592"/>
    </row>
    <row r="144" spans="2:10" ht="13.5" thickBot="1" x14ac:dyDescent="0.25">
      <c r="B144" s="595" t="s">
        <v>16</v>
      </c>
      <c r="C144" s="596">
        <f>SUM(C137:C141)</f>
        <v>1</v>
      </c>
      <c r="D144" s="596">
        <f>SUM(D137:D142)</f>
        <v>1</v>
      </c>
      <c r="E144" s="752"/>
      <c r="F144" s="598">
        <f>((1+F16/100)*(1+F48/100)*(1+F80/100)*(1+F112/100)-1)*100</f>
        <v>3.859320949999967</v>
      </c>
      <c r="G144" s="599">
        <f>((1+G16/100)*(1+G48/100)*(1+G80/100)*(1+G112/100)-1)*100</f>
        <v>-9.4062519999999932</v>
      </c>
      <c r="I144" s="601">
        <f>(1+I16)*(1+I48)*(1+I80)*(1+I112)-1</f>
        <v>1.2853168189928654E-2</v>
      </c>
      <c r="J144" s="602">
        <f>(1+J16)*(1+J48)*(1+J80)*(1+J112)-1</f>
        <v>0.131880975520837</v>
      </c>
    </row>
    <row r="147" spans="9:11" ht="15.75" x14ac:dyDescent="0.25">
      <c r="I147" s="619" t="s">
        <v>507</v>
      </c>
      <c r="J147" s="716"/>
      <c r="K147" s="621">
        <f>(1+F144/100)/(1+G144/100)-1</f>
        <v>0.1464292320701861</v>
      </c>
    </row>
    <row r="148" spans="9:11" x14ac:dyDescent="0.2">
      <c r="I148" s="622"/>
      <c r="J148" s="609"/>
      <c r="K148" s="763"/>
    </row>
    <row r="149" spans="9:11" x14ac:dyDescent="0.2">
      <c r="I149" s="622" t="s">
        <v>508</v>
      </c>
      <c r="J149" s="609"/>
      <c r="K149" s="624">
        <f>+I144</f>
        <v>1.2853168189928654E-2</v>
      </c>
    </row>
    <row r="150" spans="9:11" x14ac:dyDescent="0.2">
      <c r="I150" s="622" t="s">
        <v>509</v>
      </c>
      <c r="J150" s="609"/>
      <c r="K150" s="624">
        <f>+J144</f>
        <v>0.131880975520837</v>
      </c>
    </row>
    <row r="151" spans="9:11" x14ac:dyDescent="0.2">
      <c r="I151" s="622" t="s">
        <v>0</v>
      </c>
      <c r="J151" s="609"/>
      <c r="K151" s="624" t="s">
        <v>0</v>
      </c>
    </row>
    <row r="152" spans="9:11" x14ac:dyDescent="0.2">
      <c r="I152" s="625" t="s">
        <v>141</v>
      </c>
      <c r="J152" s="626"/>
      <c r="K152" s="627">
        <f>(1+K147)/((1+K149)*(1+K150))-1</f>
        <v>0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38A4-48FF-49EE-ABD5-C3FD555734F7}">
  <dimension ref="B2:L13"/>
  <sheetViews>
    <sheetView workbookViewId="0">
      <selection activeCell="M29" sqref="M29"/>
    </sheetView>
  </sheetViews>
  <sheetFormatPr defaultRowHeight="15" x14ac:dyDescent="0.25"/>
  <cols>
    <col min="4" max="4" width="13" customWidth="1"/>
    <col min="6" max="6" width="10.85546875" customWidth="1"/>
    <col min="7" max="7" width="9.85546875" customWidth="1"/>
    <col min="8" max="8" width="10.5703125" customWidth="1"/>
    <col min="9" max="10" width="10.42578125" customWidth="1"/>
  </cols>
  <sheetData>
    <row r="2" spans="2:12" ht="20.25" x14ac:dyDescent="0.3">
      <c r="B2" s="164" t="s">
        <v>861</v>
      </c>
    </row>
    <row r="3" spans="2:12" ht="15.75" thickBot="1" x14ac:dyDescent="0.3"/>
    <row r="4" spans="2:12" x14ac:dyDescent="0.25">
      <c r="D4" s="1016"/>
      <c r="E4" s="1017" t="s">
        <v>1</v>
      </c>
      <c r="F4" s="1017" t="s">
        <v>15</v>
      </c>
      <c r="G4" s="1017" t="s">
        <v>76</v>
      </c>
      <c r="H4" s="1017" t="s">
        <v>477</v>
      </c>
      <c r="I4" s="1017" t="s">
        <v>476</v>
      </c>
      <c r="J4" s="1018" t="s">
        <v>359</v>
      </c>
    </row>
    <row r="5" spans="2:12" ht="15.75" thickBot="1" x14ac:dyDescent="0.3">
      <c r="D5" s="1019"/>
      <c r="E5" s="1020"/>
      <c r="F5" s="1020"/>
      <c r="G5" s="1020" t="s">
        <v>71</v>
      </c>
      <c r="H5" s="1020" t="s">
        <v>484</v>
      </c>
      <c r="I5" s="1020" t="s">
        <v>483</v>
      </c>
      <c r="J5" s="1021"/>
    </row>
    <row r="6" spans="2:12" x14ac:dyDescent="0.25">
      <c r="D6" s="1029">
        <v>2003</v>
      </c>
      <c r="E6" s="1022">
        <v>10.5</v>
      </c>
      <c r="F6" s="1023">
        <v>8.6</v>
      </c>
      <c r="G6" s="1024">
        <f>((1+E6/100)/(1+F6/100)-1)*100</f>
        <v>1.7495395948434522</v>
      </c>
      <c r="H6" s="1023">
        <v>2.2999999999999998</v>
      </c>
      <c r="I6" s="1023">
        <v>1.8</v>
      </c>
      <c r="J6" s="1025">
        <v>-2.2967430869534455</v>
      </c>
      <c r="L6" s="1" t="s">
        <v>0</v>
      </c>
    </row>
    <row r="7" spans="2:12" x14ac:dyDescent="0.25">
      <c r="D7" s="1029">
        <v>2002</v>
      </c>
      <c r="E7" s="1023">
        <v>-5.6</v>
      </c>
      <c r="F7" s="1023">
        <v>-8.1</v>
      </c>
      <c r="G7" s="1024">
        <f t="shared" ref="G7:G10" si="0">((1+E7/100)/(1+F7/100)-1)*100</f>
        <v>2.7203482045701666</v>
      </c>
      <c r="H7" s="1023">
        <v>1.1000000000000001</v>
      </c>
      <c r="I7" s="1023">
        <v>0.5</v>
      </c>
      <c r="J7" s="1025">
        <v>1.0972321425219977</v>
      </c>
      <c r="L7" s="1" t="s">
        <v>0</v>
      </c>
    </row>
    <row r="8" spans="2:12" x14ac:dyDescent="0.25">
      <c r="D8" s="1029">
        <v>2001</v>
      </c>
      <c r="E8" s="1023">
        <v>23.4</v>
      </c>
      <c r="F8" s="1023">
        <v>18.7</v>
      </c>
      <c r="G8" s="1024">
        <f t="shared" si="0"/>
        <v>3.9595619208087518</v>
      </c>
      <c r="H8" s="1023">
        <v>0.7</v>
      </c>
      <c r="I8" s="1023">
        <v>1.1000000000000001</v>
      </c>
      <c r="J8" s="1025">
        <v>2.1136534081496405</v>
      </c>
      <c r="L8" s="1" t="s">
        <v>0</v>
      </c>
    </row>
    <row r="9" spans="2:12" x14ac:dyDescent="0.25">
      <c r="D9" s="1029">
        <v>2000</v>
      </c>
      <c r="E9" s="1023">
        <v>-15.7</v>
      </c>
      <c r="F9" s="1023">
        <v>-13.2</v>
      </c>
      <c r="G9" s="1024">
        <f t="shared" si="0"/>
        <v>-2.880184331797242</v>
      </c>
      <c r="H9" s="1023">
        <v>-2.5</v>
      </c>
      <c r="I9" s="1023">
        <v>-0.9</v>
      </c>
      <c r="J9" s="1025">
        <v>0.51469964884240937</v>
      </c>
      <c r="L9" s="1" t="s">
        <v>0</v>
      </c>
    </row>
    <row r="10" spans="2:12" x14ac:dyDescent="0.25">
      <c r="D10" s="1029">
        <v>1999</v>
      </c>
      <c r="E10" s="1023">
        <v>8.9</v>
      </c>
      <c r="F10" s="1023">
        <v>12.5</v>
      </c>
      <c r="G10" s="1024">
        <f t="shared" si="0"/>
        <v>-3.2000000000000028</v>
      </c>
      <c r="H10" s="1023">
        <v>-2.7</v>
      </c>
      <c r="I10" s="1023">
        <v>1.1000000000000001</v>
      </c>
      <c r="J10" s="1025">
        <v>-1.5963151479663984</v>
      </c>
      <c r="L10" s="1" t="s">
        <v>0</v>
      </c>
    </row>
    <row r="11" spans="2:12" ht="15.75" thickBot="1" x14ac:dyDescent="0.3">
      <c r="D11" s="1029"/>
      <c r="E11" s="1023"/>
      <c r="F11" s="1023"/>
      <c r="G11" s="1023"/>
      <c r="H11" s="1023"/>
      <c r="I11" s="1023"/>
      <c r="J11" s="1026"/>
      <c r="L11" s="1" t="s">
        <v>0</v>
      </c>
    </row>
    <row r="12" spans="2:12" x14ac:dyDescent="0.25">
      <c r="D12" s="1031" t="s">
        <v>62</v>
      </c>
      <c r="E12" s="1032">
        <f>((1+E6/100)*(1+E7/100)*(1+E8/100)*(1+E9/100)*(1+E10/100)-1)*100</f>
        <v>18.169360811215963</v>
      </c>
      <c r="F12" s="1032">
        <f>((1+F6/100)*(1+F7/100)*(1+F8/100)*(1+F9/100)*(1+F10/100)-1)*100</f>
        <v>15.682669858699994</v>
      </c>
      <c r="G12" s="1032">
        <f>((1+G6/100)*(1+G7/100)*(1+G8/100)*(1+G9/100)*(1+G10/100)-1)*100</f>
        <v>2.1495794966984283</v>
      </c>
      <c r="H12" s="1032">
        <f t="shared" ref="H12:J12" si="1">((1+H6/100)*(1+H7/100)*(1+H8/100)*(1+H9/100)*(1+H10/100)-1)*100</f>
        <v>-1.1961845471575416</v>
      </c>
      <c r="I12" s="1032">
        <f t="shared" si="1"/>
        <v>3.6310277924989753</v>
      </c>
      <c r="J12" s="1033">
        <f t="shared" si="1"/>
        <v>-0.23618187949600022</v>
      </c>
      <c r="L12" s="1" t="s">
        <v>0</v>
      </c>
    </row>
    <row r="13" spans="2:12" ht="15.75" thickBot="1" x14ac:dyDescent="0.3">
      <c r="D13" s="1030" t="s">
        <v>860</v>
      </c>
      <c r="E13" s="1027">
        <f>((1+E12/100)^(0.2)-1)*100</f>
        <v>3.3953427653047319</v>
      </c>
      <c r="F13" s="1027">
        <f>((1+F12/100)^(0.2)-1)*100</f>
        <v>2.9564739964345055</v>
      </c>
      <c r="G13" s="1027">
        <f>((1+G12/100)^(0.2)-1)*100</f>
        <v>0.42626631607975973</v>
      </c>
      <c r="H13" s="1027">
        <f t="shared" ref="H13:J13" si="2">((1+H12/100)^(0.2)-1)*100</f>
        <v>-0.24038988036474418</v>
      </c>
      <c r="I13" s="1027">
        <f t="shared" si="2"/>
        <v>0.71588217364708662</v>
      </c>
      <c r="J13" s="1028">
        <f t="shared" si="2"/>
        <v>-4.7281064746518275E-2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E736-7240-41E0-AC14-2B70FA72BCE5}">
  <dimension ref="B2:U24"/>
  <sheetViews>
    <sheetView workbookViewId="0">
      <selection activeCell="I24" sqref="I24"/>
    </sheetView>
  </sheetViews>
  <sheetFormatPr defaultRowHeight="12.75" x14ac:dyDescent="0.2"/>
  <cols>
    <col min="1" max="1" width="9.140625" style="158"/>
    <col min="2" max="2" width="15.7109375" style="158" customWidth="1"/>
    <col min="3" max="4" width="10.7109375" style="158" customWidth="1"/>
    <col min="5" max="5" width="2.7109375" style="158" customWidth="1"/>
    <col min="6" max="7" width="10.7109375" style="158" customWidth="1"/>
    <col min="8" max="8" width="12.7109375" style="158" customWidth="1"/>
    <col min="9" max="9" width="10.7109375" style="158" customWidth="1"/>
    <col min="10" max="11" width="9.140625" style="158"/>
    <col min="12" max="12" width="10.7109375" style="158" customWidth="1"/>
    <col min="13" max="13" width="12.7109375" style="158" customWidth="1"/>
    <col min="14" max="14" width="10.7109375" style="158" customWidth="1"/>
    <col min="15" max="16" width="9.140625" style="158"/>
    <col min="17" max="18" width="10.7109375" style="158" customWidth="1"/>
    <col min="19" max="20" width="12.7109375" style="158" customWidth="1"/>
    <col min="21" max="257" width="9.140625" style="158"/>
    <col min="258" max="258" width="15.7109375" style="158" customWidth="1"/>
    <col min="259" max="260" width="10.7109375" style="158" customWidth="1"/>
    <col min="261" max="261" width="2.7109375" style="158" customWidth="1"/>
    <col min="262" max="263" width="10.7109375" style="158" customWidth="1"/>
    <col min="264" max="264" width="12.7109375" style="158" customWidth="1"/>
    <col min="265" max="265" width="10.7109375" style="158" customWidth="1"/>
    <col min="266" max="267" width="9.140625" style="158"/>
    <col min="268" max="268" width="10.7109375" style="158" customWidth="1"/>
    <col min="269" max="269" width="12.7109375" style="158" customWidth="1"/>
    <col min="270" max="270" width="10.7109375" style="158" customWidth="1"/>
    <col min="271" max="272" width="9.140625" style="158"/>
    <col min="273" max="274" width="10.7109375" style="158" customWidth="1"/>
    <col min="275" max="276" width="12.7109375" style="158" customWidth="1"/>
    <col min="277" max="513" width="9.140625" style="158"/>
    <col min="514" max="514" width="15.7109375" style="158" customWidth="1"/>
    <col min="515" max="516" width="10.7109375" style="158" customWidth="1"/>
    <col min="517" max="517" width="2.7109375" style="158" customWidth="1"/>
    <col min="518" max="519" width="10.7109375" style="158" customWidth="1"/>
    <col min="520" max="520" width="12.7109375" style="158" customWidth="1"/>
    <col min="521" max="521" width="10.7109375" style="158" customWidth="1"/>
    <col min="522" max="523" width="9.140625" style="158"/>
    <col min="524" max="524" width="10.7109375" style="158" customWidth="1"/>
    <col min="525" max="525" width="12.7109375" style="158" customWidth="1"/>
    <col min="526" max="526" width="10.7109375" style="158" customWidth="1"/>
    <col min="527" max="528" width="9.140625" style="158"/>
    <col min="529" max="530" width="10.7109375" style="158" customWidth="1"/>
    <col min="531" max="532" width="12.7109375" style="158" customWidth="1"/>
    <col min="533" max="769" width="9.140625" style="158"/>
    <col min="770" max="770" width="15.7109375" style="158" customWidth="1"/>
    <col min="771" max="772" width="10.7109375" style="158" customWidth="1"/>
    <col min="773" max="773" width="2.7109375" style="158" customWidth="1"/>
    <col min="774" max="775" width="10.7109375" style="158" customWidth="1"/>
    <col min="776" max="776" width="12.7109375" style="158" customWidth="1"/>
    <col min="777" max="777" width="10.7109375" style="158" customWidth="1"/>
    <col min="778" max="779" width="9.140625" style="158"/>
    <col min="780" max="780" width="10.7109375" style="158" customWidth="1"/>
    <col min="781" max="781" width="12.7109375" style="158" customWidth="1"/>
    <col min="782" max="782" width="10.7109375" style="158" customWidth="1"/>
    <col min="783" max="784" width="9.140625" style="158"/>
    <col min="785" max="786" width="10.7109375" style="158" customWidth="1"/>
    <col min="787" max="788" width="12.7109375" style="158" customWidth="1"/>
    <col min="789" max="1025" width="9.140625" style="158"/>
    <col min="1026" max="1026" width="15.7109375" style="158" customWidth="1"/>
    <col min="1027" max="1028" width="10.7109375" style="158" customWidth="1"/>
    <col min="1029" max="1029" width="2.7109375" style="158" customWidth="1"/>
    <col min="1030" max="1031" width="10.7109375" style="158" customWidth="1"/>
    <col min="1032" max="1032" width="12.7109375" style="158" customWidth="1"/>
    <col min="1033" max="1033" width="10.7109375" style="158" customWidth="1"/>
    <col min="1034" max="1035" width="9.140625" style="158"/>
    <col min="1036" max="1036" width="10.7109375" style="158" customWidth="1"/>
    <col min="1037" max="1037" width="12.7109375" style="158" customWidth="1"/>
    <col min="1038" max="1038" width="10.7109375" style="158" customWidth="1"/>
    <col min="1039" max="1040" width="9.140625" style="158"/>
    <col min="1041" max="1042" width="10.7109375" style="158" customWidth="1"/>
    <col min="1043" max="1044" width="12.7109375" style="158" customWidth="1"/>
    <col min="1045" max="1281" width="9.140625" style="158"/>
    <col min="1282" max="1282" width="15.7109375" style="158" customWidth="1"/>
    <col min="1283" max="1284" width="10.7109375" style="158" customWidth="1"/>
    <col min="1285" max="1285" width="2.7109375" style="158" customWidth="1"/>
    <col min="1286" max="1287" width="10.7109375" style="158" customWidth="1"/>
    <col min="1288" max="1288" width="12.7109375" style="158" customWidth="1"/>
    <col min="1289" max="1289" width="10.7109375" style="158" customWidth="1"/>
    <col min="1290" max="1291" width="9.140625" style="158"/>
    <col min="1292" max="1292" width="10.7109375" style="158" customWidth="1"/>
    <col min="1293" max="1293" width="12.7109375" style="158" customWidth="1"/>
    <col min="1294" max="1294" width="10.7109375" style="158" customWidth="1"/>
    <col min="1295" max="1296" width="9.140625" style="158"/>
    <col min="1297" max="1298" width="10.7109375" style="158" customWidth="1"/>
    <col min="1299" max="1300" width="12.7109375" style="158" customWidth="1"/>
    <col min="1301" max="1537" width="9.140625" style="158"/>
    <col min="1538" max="1538" width="15.7109375" style="158" customWidth="1"/>
    <col min="1539" max="1540" width="10.7109375" style="158" customWidth="1"/>
    <col min="1541" max="1541" width="2.7109375" style="158" customWidth="1"/>
    <col min="1542" max="1543" width="10.7109375" style="158" customWidth="1"/>
    <col min="1544" max="1544" width="12.7109375" style="158" customWidth="1"/>
    <col min="1545" max="1545" width="10.7109375" style="158" customWidth="1"/>
    <col min="1546" max="1547" width="9.140625" style="158"/>
    <col min="1548" max="1548" width="10.7109375" style="158" customWidth="1"/>
    <col min="1549" max="1549" width="12.7109375" style="158" customWidth="1"/>
    <col min="1550" max="1550" width="10.7109375" style="158" customWidth="1"/>
    <col min="1551" max="1552" width="9.140625" style="158"/>
    <col min="1553" max="1554" width="10.7109375" style="158" customWidth="1"/>
    <col min="1555" max="1556" width="12.7109375" style="158" customWidth="1"/>
    <col min="1557" max="1793" width="9.140625" style="158"/>
    <col min="1794" max="1794" width="15.7109375" style="158" customWidth="1"/>
    <col min="1795" max="1796" width="10.7109375" style="158" customWidth="1"/>
    <col min="1797" max="1797" width="2.7109375" style="158" customWidth="1"/>
    <col min="1798" max="1799" width="10.7109375" style="158" customWidth="1"/>
    <col min="1800" max="1800" width="12.7109375" style="158" customWidth="1"/>
    <col min="1801" max="1801" width="10.7109375" style="158" customWidth="1"/>
    <col min="1802" max="1803" width="9.140625" style="158"/>
    <col min="1804" max="1804" width="10.7109375" style="158" customWidth="1"/>
    <col min="1805" max="1805" width="12.7109375" style="158" customWidth="1"/>
    <col min="1806" max="1806" width="10.7109375" style="158" customWidth="1"/>
    <col min="1807" max="1808" width="9.140625" style="158"/>
    <col min="1809" max="1810" width="10.7109375" style="158" customWidth="1"/>
    <col min="1811" max="1812" width="12.7109375" style="158" customWidth="1"/>
    <col min="1813" max="2049" width="9.140625" style="158"/>
    <col min="2050" max="2050" width="15.7109375" style="158" customWidth="1"/>
    <col min="2051" max="2052" width="10.7109375" style="158" customWidth="1"/>
    <col min="2053" max="2053" width="2.7109375" style="158" customWidth="1"/>
    <col min="2054" max="2055" width="10.7109375" style="158" customWidth="1"/>
    <col min="2056" max="2056" width="12.7109375" style="158" customWidth="1"/>
    <col min="2057" max="2057" width="10.7109375" style="158" customWidth="1"/>
    <col min="2058" max="2059" width="9.140625" style="158"/>
    <col min="2060" max="2060" width="10.7109375" style="158" customWidth="1"/>
    <col min="2061" max="2061" width="12.7109375" style="158" customWidth="1"/>
    <col min="2062" max="2062" width="10.7109375" style="158" customWidth="1"/>
    <col min="2063" max="2064" width="9.140625" style="158"/>
    <col min="2065" max="2066" width="10.7109375" style="158" customWidth="1"/>
    <col min="2067" max="2068" width="12.7109375" style="158" customWidth="1"/>
    <col min="2069" max="2305" width="9.140625" style="158"/>
    <col min="2306" max="2306" width="15.7109375" style="158" customWidth="1"/>
    <col min="2307" max="2308" width="10.7109375" style="158" customWidth="1"/>
    <col min="2309" max="2309" width="2.7109375" style="158" customWidth="1"/>
    <col min="2310" max="2311" width="10.7109375" style="158" customWidth="1"/>
    <col min="2312" max="2312" width="12.7109375" style="158" customWidth="1"/>
    <col min="2313" max="2313" width="10.7109375" style="158" customWidth="1"/>
    <col min="2314" max="2315" width="9.140625" style="158"/>
    <col min="2316" max="2316" width="10.7109375" style="158" customWidth="1"/>
    <col min="2317" max="2317" width="12.7109375" style="158" customWidth="1"/>
    <col min="2318" max="2318" width="10.7109375" style="158" customWidth="1"/>
    <col min="2319" max="2320" width="9.140625" style="158"/>
    <col min="2321" max="2322" width="10.7109375" style="158" customWidth="1"/>
    <col min="2323" max="2324" width="12.7109375" style="158" customWidth="1"/>
    <col min="2325" max="2561" width="9.140625" style="158"/>
    <col min="2562" max="2562" width="15.7109375" style="158" customWidth="1"/>
    <col min="2563" max="2564" width="10.7109375" style="158" customWidth="1"/>
    <col min="2565" max="2565" width="2.7109375" style="158" customWidth="1"/>
    <col min="2566" max="2567" width="10.7109375" style="158" customWidth="1"/>
    <col min="2568" max="2568" width="12.7109375" style="158" customWidth="1"/>
    <col min="2569" max="2569" width="10.7109375" style="158" customWidth="1"/>
    <col min="2570" max="2571" width="9.140625" style="158"/>
    <col min="2572" max="2572" width="10.7109375" style="158" customWidth="1"/>
    <col min="2573" max="2573" width="12.7109375" style="158" customWidth="1"/>
    <col min="2574" max="2574" width="10.7109375" style="158" customWidth="1"/>
    <col min="2575" max="2576" width="9.140625" style="158"/>
    <col min="2577" max="2578" width="10.7109375" style="158" customWidth="1"/>
    <col min="2579" max="2580" width="12.7109375" style="158" customWidth="1"/>
    <col min="2581" max="2817" width="9.140625" style="158"/>
    <col min="2818" max="2818" width="15.7109375" style="158" customWidth="1"/>
    <col min="2819" max="2820" width="10.7109375" style="158" customWidth="1"/>
    <col min="2821" max="2821" width="2.7109375" style="158" customWidth="1"/>
    <col min="2822" max="2823" width="10.7109375" style="158" customWidth="1"/>
    <col min="2824" max="2824" width="12.7109375" style="158" customWidth="1"/>
    <col min="2825" max="2825" width="10.7109375" style="158" customWidth="1"/>
    <col min="2826" max="2827" width="9.140625" style="158"/>
    <col min="2828" max="2828" width="10.7109375" style="158" customWidth="1"/>
    <col min="2829" max="2829" width="12.7109375" style="158" customWidth="1"/>
    <col min="2830" max="2830" width="10.7109375" style="158" customWidth="1"/>
    <col min="2831" max="2832" width="9.140625" style="158"/>
    <col min="2833" max="2834" width="10.7109375" style="158" customWidth="1"/>
    <col min="2835" max="2836" width="12.7109375" style="158" customWidth="1"/>
    <col min="2837" max="3073" width="9.140625" style="158"/>
    <col min="3074" max="3074" width="15.7109375" style="158" customWidth="1"/>
    <col min="3075" max="3076" width="10.7109375" style="158" customWidth="1"/>
    <col min="3077" max="3077" width="2.7109375" style="158" customWidth="1"/>
    <col min="3078" max="3079" width="10.7109375" style="158" customWidth="1"/>
    <col min="3080" max="3080" width="12.7109375" style="158" customWidth="1"/>
    <col min="3081" max="3081" width="10.7109375" style="158" customWidth="1"/>
    <col min="3082" max="3083" width="9.140625" style="158"/>
    <col min="3084" max="3084" width="10.7109375" style="158" customWidth="1"/>
    <col min="3085" max="3085" width="12.7109375" style="158" customWidth="1"/>
    <col min="3086" max="3086" width="10.7109375" style="158" customWidth="1"/>
    <col min="3087" max="3088" width="9.140625" style="158"/>
    <col min="3089" max="3090" width="10.7109375" style="158" customWidth="1"/>
    <col min="3091" max="3092" width="12.7109375" style="158" customWidth="1"/>
    <col min="3093" max="3329" width="9.140625" style="158"/>
    <col min="3330" max="3330" width="15.7109375" style="158" customWidth="1"/>
    <col min="3331" max="3332" width="10.7109375" style="158" customWidth="1"/>
    <col min="3333" max="3333" width="2.7109375" style="158" customWidth="1"/>
    <col min="3334" max="3335" width="10.7109375" style="158" customWidth="1"/>
    <col min="3336" max="3336" width="12.7109375" style="158" customWidth="1"/>
    <col min="3337" max="3337" width="10.7109375" style="158" customWidth="1"/>
    <col min="3338" max="3339" width="9.140625" style="158"/>
    <col min="3340" max="3340" width="10.7109375" style="158" customWidth="1"/>
    <col min="3341" max="3341" width="12.7109375" style="158" customWidth="1"/>
    <col min="3342" max="3342" width="10.7109375" style="158" customWidth="1"/>
    <col min="3343" max="3344" width="9.140625" style="158"/>
    <col min="3345" max="3346" width="10.7109375" style="158" customWidth="1"/>
    <col min="3347" max="3348" width="12.7109375" style="158" customWidth="1"/>
    <col min="3349" max="3585" width="9.140625" style="158"/>
    <col min="3586" max="3586" width="15.7109375" style="158" customWidth="1"/>
    <col min="3587" max="3588" width="10.7109375" style="158" customWidth="1"/>
    <col min="3589" max="3589" width="2.7109375" style="158" customWidth="1"/>
    <col min="3590" max="3591" width="10.7109375" style="158" customWidth="1"/>
    <col min="3592" max="3592" width="12.7109375" style="158" customWidth="1"/>
    <col min="3593" max="3593" width="10.7109375" style="158" customWidth="1"/>
    <col min="3594" max="3595" width="9.140625" style="158"/>
    <col min="3596" max="3596" width="10.7109375" style="158" customWidth="1"/>
    <col min="3597" max="3597" width="12.7109375" style="158" customWidth="1"/>
    <col min="3598" max="3598" width="10.7109375" style="158" customWidth="1"/>
    <col min="3599" max="3600" width="9.140625" style="158"/>
    <col min="3601" max="3602" width="10.7109375" style="158" customWidth="1"/>
    <col min="3603" max="3604" width="12.7109375" style="158" customWidth="1"/>
    <col min="3605" max="3841" width="9.140625" style="158"/>
    <col min="3842" max="3842" width="15.7109375" style="158" customWidth="1"/>
    <col min="3843" max="3844" width="10.7109375" style="158" customWidth="1"/>
    <col min="3845" max="3845" width="2.7109375" style="158" customWidth="1"/>
    <col min="3846" max="3847" width="10.7109375" style="158" customWidth="1"/>
    <col min="3848" max="3848" width="12.7109375" style="158" customWidth="1"/>
    <col min="3849" max="3849" width="10.7109375" style="158" customWidth="1"/>
    <col min="3850" max="3851" width="9.140625" style="158"/>
    <col min="3852" max="3852" width="10.7109375" style="158" customWidth="1"/>
    <col min="3853" max="3853" width="12.7109375" style="158" customWidth="1"/>
    <col min="3854" max="3854" width="10.7109375" style="158" customWidth="1"/>
    <col min="3855" max="3856" width="9.140625" style="158"/>
    <col min="3857" max="3858" width="10.7109375" style="158" customWidth="1"/>
    <col min="3859" max="3860" width="12.7109375" style="158" customWidth="1"/>
    <col min="3861" max="4097" width="9.140625" style="158"/>
    <col min="4098" max="4098" width="15.7109375" style="158" customWidth="1"/>
    <col min="4099" max="4100" width="10.7109375" style="158" customWidth="1"/>
    <col min="4101" max="4101" width="2.7109375" style="158" customWidth="1"/>
    <col min="4102" max="4103" width="10.7109375" style="158" customWidth="1"/>
    <col min="4104" max="4104" width="12.7109375" style="158" customWidth="1"/>
    <col min="4105" max="4105" width="10.7109375" style="158" customWidth="1"/>
    <col min="4106" max="4107" width="9.140625" style="158"/>
    <col min="4108" max="4108" width="10.7109375" style="158" customWidth="1"/>
    <col min="4109" max="4109" width="12.7109375" style="158" customWidth="1"/>
    <col min="4110" max="4110" width="10.7109375" style="158" customWidth="1"/>
    <col min="4111" max="4112" width="9.140625" style="158"/>
    <col min="4113" max="4114" width="10.7109375" style="158" customWidth="1"/>
    <col min="4115" max="4116" width="12.7109375" style="158" customWidth="1"/>
    <col min="4117" max="4353" width="9.140625" style="158"/>
    <col min="4354" max="4354" width="15.7109375" style="158" customWidth="1"/>
    <col min="4355" max="4356" width="10.7109375" style="158" customWidth="1"/>
    <col min="4357" max="4357" width="2.7109375" style="158" customWidth="1"/>
    <col min="4358" max="4359" width="10.7109375" style="158" customWidth="1"/>
    <col min="4360" max="4360" width="12.7109375" style="158" customWidth="1"/>
    <col min="4361" max="4361" width="10.7109375" style="158" customWidth="1"/>
    <col min="4362" max="4363" width="9.140625" style="158"/>
    <col min="4364" max="4364" width="10.7109375" style="158" customWidth="1"/>
    <col min="4365" max="4365" width="12.7109375" style="158" customWidth="1"/>
    <col min="4366" max="4366" width="10.7109375" style="158" customWidth="1"/>
    <col min="4367" max="4368" width="9.140625" style="158"/>
    <col min="4369" max="4370" width="10.7109375" style="158" customWidth="1"/>
    <col min="4371" max="4372" width="12.7109375" style="158" customWidth="1"/>
    <col min="4373" max="4609" width="9.140625" style="158"/>
    <col min="4610" max="4610" width="15.7109375" style="158" customWidth="1"/>
    <col min="4611" max="4612" width="10.7109375" style="158" customWidth="1"/>
    <col min="4613" max="4613" width="2.7109375" style="158" customWidth="1"/>
    <col min="4614" max="4615" width="10.7109375" style="158" customWidth="1"/>
    <col min="4616" max="4616" width="12.7109375" style="158" customWidth="1"/>
    <col min="4617" max="4617" width="10.7109375" style="158" customWidth="1"/>
    <col min="4618" max="4619" width="9.140625" style="158"/>
    <col min="4620" max="4620" width="10.7109375" style="158" customWidth="1"/>
    <col min="4621" max="4621" width="12.7109375" style="158" customWidth="1"/>
    <col min="4622" max="4622" width="10.7109375" style="158" customWidth="1"/>
    <col min="4623" max="4624" width="9.140625" style="158"/>
    <col min="4625" max="4626" width="10.7109375" style="158" customWidth="1"/>
    <col min="4627" max="4628" width="12.7109375" style="158" customWidth="1"/>
    <col min="4629" max="4865" width="9.140625" style="158"/>
    <col min="4866" max="4866" width="15.7109375" style="158" customWidth="1"/>
    <col min="4867" max="4868" width="10.7109375" style="158" customWidth="1"/>
    <col min="4869" max="4869" width="2.7109375" style="158" customWidth="1"/>
    <col min="4870" max="4871" width="10.7109375" style="158" customWidth="1"/>
    <col min="4872" max="4872" width="12.7109375" style="158" customWidth="1"/>
    <col min="4873" max="4873" width="10.7109375" style="158" customWidth="1"/>
    <col min="4874" max="4875" width="9.140625" style="158"/>
    <col min="4876" max="4876" width="10.7109375" style="158" customWidth="1"/>
    <col min="4877" max="4877" width="12.7109375" style="158" customWidth="1"/>
    <col min="4878" max="4878" width="10.7109375" style="158" customWidth="1"/>
    <col min="4879" max="4880" width="9.140625" style="158"/>
    <col min="4881" max="4882" width="10.7109375" style="158" customWidth="1"/>
    <col min="4883" max="4884" width="12.7109375" style="158" customWidth="1"/>
    <col min="4885" max="5121" width="9.140625" style="158"/>
    <col min="5122" max="5122" width="15.7109375" style="158" customWidth="1"/>
    <col min="5123" max="5124" width="10.7109375" style="158" customWidth="1"/>
    <col min="5125" max="5125" width="2.7109375" style="158" customWidth="1"/>
    <col min="5126" max="5127" width="10.7109375" style="158" customWidth="1"/>
    <col min="5128" max="5128" width="12.7109375" style="158" customWidth="1"/>
    <col min="5129" max="5129" width="10.7109375" style="158" customWidth="1"/>
    <col min="5130" max="5131" width="9.140625" style="158"/>
    <col min="5132" max="5132" width="10.7109375" style="158" customWidth="1"/>
    <col min="5133" max="5133" width="12.7109375" style="158" customWidth="1"/>
    <col min="5134" max="5134" width="10.7109375" style="158" customWidth="1"/>
    <col min="5135" max="5136" width="9.140625" style="158"/>
    <col min="5137" max="5138" width="10.7109375" style="158" customWidth="1"/>
    <col min="5139" max="5140" width="12.7109375" style="158" customWidth="1"/>
    <col min="5141" max="5377" width="9.140625" style="158"/>
    <col min="5378" max="5378" width="15.7109375" style="158" customWidth="1"/>
    <col min="5379" max="5380" width="10.7109375" style="158" customWidth="1"/>
    <col min="5381" max="5381" width="2.7109375" style="158" customWidth="1"/>
    <col min="5382" max="5383" width="10.7109375" style="158" customWidth="1"/>
    <col min="5384" max="5384" width="12.7109375" style="158" customWidth="1"/>
    <col min="5385" max="5385" width="10.7109375" style="158" customWidth="1"/>
    <col min="5386" max="5387" width="9.140625" style="158"/>
    <col min="5388" max="5388" width="10.7109375" style="158" customWidth="1"/>
    <col min="5389" max="5389" width="12.7109375" style="158" customWidth="1"/>
    <col min="5390" max="5390" width="10.7109375" style="158" customWidth="1"/>
    <col min="5391" max="5392" width="9.140625" style="158"/>
    <col min="5393" max="5394" width="10.7109375" style="158" customWidth="1"/>
    <col min="5395" max="5396" width="12.7109375" style="158" customWidth="1"/>
    <col min="5397" max="5633" width="9.140625" style="158"/>
    <col min="5634" max="5634" width="15.7109375" style="158" customWidth="1"/>
    <col min="5635" max="5636" width="10.7109375" style="158" customWidth="1"/>
    <col min="5637" max="5637" width="2.7109375" style="158" customWidth="1"/>
    <col min="5638" max="5639" width="10.7109375" style="158" customWidth="1"/>
    <col min="5640" max="5640" width="12.7109375" style="158" customWidth="1"/>
    <col min="5641" max="5641" width="10.7109375" style="158" customWidth="1"/>
    <col min="5642" max="5643" width="9.140625" style="158"/>
    <col min="5644" max="5644" width="10.7109375" style="158" customWidth="1"/>
    <col min="5645" max="5645" width="12.7109375" style="158" customWidth="1"/>
    <col min="5646" max="5646" width="10.7109375" style="158" customWidth="1"/>
    <col min="5647" max="5648" width="9.140625" style="158"/>
    <col min="5649" max="5650" width="10.7109375" style="158" customWidth="1"/>
    <col min="5651" max="5652" width="12.7109375" style="158" customWidth="1"/>
    <col min="5653" max="5889" width="9.140625" style="158"/>
    <col min="5890" max="5890" width="15.7109375" style="158" customWidth="1"/>
    <col min="5891" max="5892" width="10.7109375" style="158" customWidth="1"/>
    <col min="5893" max="5893" width="2.7109375" style="158" customWidth="1"/>
    <col min="5894" max="5895" width="10.7109375" style="158" customWidth="1"/>
    <col min="5896" max="5896" width="12.7109375" style="158" customWidth="1"/>
    <col min="5897" max="5897" width="10.7109375" style="158" customWidth="1"/>
    <col min="5898" max="5899" width="9.140625" style="158"/>
    <col min="5900" max="5900" width="10.7109375" style="158" customWidth="1"/>
    <col min="5901" max="5901" width="12.7109375" style="158" customWidth="1"/>
    <col min="5902" max="5902" width="10.7109375" style="158" customWidth="1"/>
    <col min="5903" max="5904" width="9.140625" style="158"/>
    <col min="5905" max="5906" width="10.7109375" style="158" customWidth="1"/>
    <col min="5907" max="5908" width="12.7109375" style="158" customWidth="1"/>
    <col min="5909" max="6145" width="9.140625" style="158"/>
    <col min="6146" max="6146" width="15.7109375" style="158" customWidth="1"/>
    <col min="6147" max="6148" width="10.7109375" style="158" customWidth="1"/>
    <col min="6149" max="6149" width="2.7109375" style="158" customWidth="1"/>
    <col min="6150" max="6151" width="10.7109375" style="158" customWidth="1"/>
    <col min="6152" max="6152" width="12.7109375" style="158" customWidth="1"/>
    <col min="6153" max="6153" width="10.7109375" style="158" customWidth="1"/>
    <col min="6154" max="6155" width="9.140625" style="158"/>
    <col min="6156" max="6156" width="10.7109375" style="158" customWidth="1"/>
    <col min="6157" max="6157" width="12.7109375" style="158" customWidth="1"/>
    <col min="6158" max="6158" width="10.7109375" style="158" customWidth="1"/>
    <col min="6159" max="6160" width="9.140625" style="158"/>
    <col min="6161" max="6162" width="10.7109375" style="158" customWidth="1"/>
    <col min="6163" max="6164" width="12.7109375" style="158" customWidth="1"/>
    <col min="6165" max="6401" width="9.140625" style="158"/>
    <col min="6402" max="6402" width="15.7109375" style="158" customWidth="1"/>
    <col min="6403" max="6404" width="10.7109375" style="158" customWidth="1"/>
    <col min="6405" max="6405" width="2.7109375" style="158" customWidth="1"/>
    <col min="6406" max="6407" width="10.7109375" style="158" customWidth="1"/>
    <col min="6408" max="6408" width="12.7109375" style="158" customWidth="1"/>
    <col min="6409" max="6409" width="10.7109375" style="158" customWidth="1"/>
    <col min="6410" max="6411" width="9.140625" style="158"/>
    <col min="6412" max="6412" width="10.7109375" style="158" customWidth="1"/>
    <col min="6413" max="6413" width="12.7109375" style="158" customWidth="1"/>
    <col min="6414" max="6414" width="10.7109375" style="158" customWidth="1"/>
    <col min="6415" max="6416" width="9.140625" style="158"/>
    <col min="6417" max="6418" width="10.7109375" style="158" customWidth="1"/>
    <col min="6419" max="6420" width="12.7109375" style="158" customWidth="1"/>
    <col min="6421" max="6657" width="9.140625" style="158"/>
    <col min="6658" max="6658" width="15.7109375" style="158" customWidth="1"/>
    <col min="6659" max="6660" width="10.7109375" style="158" customWidth="1"/>
    <col min="6661" max="6661" width="2.7109375" style="158" customWidth="1"/>
    <col min="6662" max="6663" width="10.7109375" style="158" customWidth="1"/>
    <col min="6664" max="6664" width="12.7109375" style="158" customWidth="1"/>
    <col min="6665" max="6665" width="10.7109375" style="158" customWidth="1"/>
    <col min="6666" max="6667" width="9.140625" style="158"/>
    <col min="6668" max="6668" width="10.7109375" style="158" customWidth="1"/>
    <col min="6669" max="6669" width="12.7109375" style="158" customWidth="1"/>
    <col min="6670" max="6670" width="10.7109375" style="158" customWidth="1"/>
    <col min="6671" max="6672" width="9.140625" style="158"/>
    <col min="6673" max="6674" width="10.7109375" style="158" customWidth="1"/>
    <col min="6675" max="6676" width="12.7109375" style="158" customWidth="1"/>
    <col min="6677" max="6913" width="9.140625" style="158"/>
    <col min="6914" max="6914" width="15.7109375" style="158" customWidth="1"/>
    <col min="6915" max="6916" width="10.7109375" style="158" customWidth="1"/>
    <col min="6917" max="6917" width="2.7109375" style="158" customWidth="1"/>
    <col min="6918" max="6919" width="10.7109375" style="158" customWidth="1"/>
    <col min="6920" max="6920" width="12.7109375" style="158" customWidth="1"/>
    <col min="6921" max="6921" width="10.7109375" style="158" customWidth="1"/>
    <col min="6922" max="6923" width="9.140625" style="158"/>
    <col min="6924" max="6924" width="10.7109375" style="158" customWidth="1"/>
    <col min="6925" max="6925" width="12.7109375" style="158" customWidth="1"/>
    <col min="6926" max="6926" width="10.7109375" style="158" customWidth="1"/>
    <col min="6927" max="6928" width="9.140625" style="158"/>
    <col min="6929" max="6930" width="10.7109375" style="158" customWidth="1"/>
    <col min="6931" max="6932" width="12.7109375" style="158" customWidth="1"/>
    <col min="6933" max="7169" width="9.140625" style="158"/>
    <col min="7170" max="7170" width="15.7109375" style="158" customWidth="1"/>
    <col min="7171" max="7172" width="10.7109375" style="158" customWidth="1"/>
    <col min="7173" max="7173" width="2.7109375" style="158" customWidth="1"/>
    <col min="7174" max="7175" width="10.7109375" style="158" customWidth="1"/>
    <col min="7176" max="7176" width="12.7109375" style="158" customWidth="1"/>
    <col min="7177" max="7177" width="10.7109375" style="158" customWidth="1"/>
    <col min="7178" max="7179" width="9.140625" style="158"/>
    <col min="7180" max="7180" width="10.7109375" style="158" customWidth="1"/>
    <col min="7181" max="7181" width="12.7109375" style="158" customWidth="1"/>
    <col min="7182" max="7182" width="10.7109375" style="158" customWidth="1"/>
    <col min="7183" max="7184" width="9.140625" style="158"/>
    <col min="7185" max="7186" width="10.7109375" style="158" customWidth="1"/>
    <col min="7187" max="7188" width="12.7109375" style="158" customWidth="1"/>
    <col min="7189" max="7425" width="9.140625" style="158"/>
    <col min="7426" max="7426" width="15.7109375" style="158" customWidth="1"/>
    <col min="7427" max="7428" width="10.7109375" style="158" customWidth="1"/>
    <col min="7429" max="7429" width="2.7109375" style="158" customWidth="1"/>
    <col min="7430" max="7431" width="10.7109375" style="158" customWidth="1"/>
    <col min="7432" max="7432" width="12.7109375" style="158" customWidth="1"/>
    <col min="7433" max="7433" width="10.7109375" style="158" customWidth="1"/>
    <col min="7434" max="7435" width="9.140625" style="158"/>
    <col min="7436" max="7436" width="10.7109375" style="158" customWidth="1"/>
    <col min="7437" max="7437" width="12.7109375" style="158" customWidth="1"/>
    <col min="7438" max="7438" width="10.7109375" style="158" customWidth="1"/>
    <col min="7439" max="7440" width="9.140625" style="158"/>
    <col min="7441" max="7442" width="10.7109375" style="158" customWidth="1"/>
    <col min="7443" max="7444" width="12.7109375" style="158" customWidth="1"/>
    <col min="7445" max="7681" width="9.140625" style="158"/>
    <col min="7682" max="7682" width="15.7109375" style="158" customWidth="1"/>
    <col min="7683" max="7684" width="10.7109375" style="158" customWidth="1"/>
    <col min="7685" max="7685" width="2.7109375" style="158" customWidth="1"/>
    <col min="7686" max="7687" width="10.7109375" style="158" customWidth="1"/>
    <col min="7688" max="7688" width="12.7109375" style="158" customWidth="1"/>
    <col min="7689" max="7689" width="10.7109375" style="158" customWidth="1"/>
    <col min="7690" max="7691" width="9.140625" style="158"/>
    <col min="7692" max="7692" width="10.7109375" style="158" customWidth="1"/>
    <col min="7693" max="7693" width="12.7109375" style="158" customWidth="1"/>
    <col min="7694" max="7694" width="10.7109375" style="158" customWidth="1"/>
    <col min="7695" max="7696" width="9.140625" style="158"/>
    <col min="7697" max="7698" width="10.7109375" style="158" customWidth="1"/>
    <col min="7699" max="7700" width="12.7109375" style="158" customWidth="1"/>
    <col min="7701" max="7937" width="9.140625" style="158"/>
    <col min="7938" max="7938" width="15.7109375" style="158" customWidth="1"/>
    <col min="7939" max="7940" width="10.7109375" style="158" customWidth="1"/>
    <col min="7941" max="7941" width="2.7109375" style="158" customWidth="1"/>
    <col min="7942" max="7943" width="10.7109375" style="158" customWidth="1"/>
    <col min="7944" max="7944" width="12.7109375" style="158" customWidth="1"/>
    <col min="7945" max="7945" width="10.7109375" style="158" customWidth="1"/>
    <col min="7946" max="7947" width="9.140625" style="158"/>
    <col min="7948" max="7948" width="10.7109375" style="158" customWidth="1"/>
    <col min="7949" max="7949" width="12.7109375" style="158" customWidth="1"/>
    <col min="7950" max="7950" width="10.7109375" style="158" customWidth="1"/>
    <col min="7951" max="7952" width="9.140625" style="158"/>
    <col min="7953" max="7954" width="10.7109375" style="158" customWidth="1"/>
    <col min="7955" max="7956" width="12.7109375" style="158" customWidth="1"/>
    <col min="7957" max="8193" width="9.140625" style="158"/>
    <col min="8194" max="8194" width="15.7109375" style="158" customWidth="1"/>
    <col min="8195" max="8196" width="10.7109375" style="158" customWidth="1"/>
    <col min="8197" max="8197" width="2.7109375" style="158" customWidth="1"/>
    <col min="8198" max="8199" width="10.7109375" style="158" customWidth="1"/>
    <col min="8200" max="8200" width="12.7109375" style="158" customWidth="1"/>
    <col min="8201" max="8201" width="10.7109375" style="158" customWidth="1"/>
    <col min="8202" max="8203" width="9.140625" style="158"/>
    <col min="8204" max="8204" width="10.7109375" style="158" customWidth="1"/>
    <col min="8205" max="8205" width="12.7109375" style="158" customWidth="1"/>
    <col min="8206" max="8206" width="10.7109375" style="158" customWidth="1"/>
    <col min="8207" max="8208" width="9.140625" style="158"/>
    <col min="8209" max="8210" width="10.7109375" style="158" customWidth="1"/>
    <col min="8211" max="8212" width="12.7109375" style="158" customWidth="1"/>
    <col min="8213" max="8449" width="9.140625" style="158"/>
    <col min="8450" max="8450" width="15.7109375" style="158" customWidth="1"/>
    <col min="8451" max="8452" width="10.7109375" style="158" customWidth="1"/>
    <col min="8453" max="8453" width="2.7109375" style="158" customWidth="1"/>
    <col min="8454" max="8455" width="10.7109375" style="158" customWidth="1"/>
    <col min="8456" max="8456" width="12.7109375" style="158" customWidth="1"/>
    <col min="8457" max="8457" width="10.7109375" style="158" customWidth="1"/>
    <col min="8458" max="8459" width="9.140625" style="158"/>
    <col min="8460" max="8460" width="10.7109375" style="158" customWidth="1"/>
    <col min="8461" max="8461" width="12.7109375" style="158" customWidth="1"/>
    <col min="8462" max="8462" width="10.7109375" style="158" customWidth="1"/>
    <col min="8463" max="8464" width="9.140625" style="158"/>
    <col min="8465" max="8466" width="10.7109375" style="158" customWidth="1"/>
    <col min="8467" max="8468" width="12.7109375" style="158" customWidth="1"/>
    <col min="8469" max="8705" width="9.140625" style="158"/>
    <col min="8706" max="8706" width="15.7109375" style="158" customWidth="1"/>
    <col min="8707" max="8708" width="10.7109375" style="158" customWidth="1"/>
    <col min="8709" max="8709" width="2.7109375" style="158" customWidth="1"/>
    <col min="8710" max="8711" width="10.7109375" style="158" customWidth="1"/>
    <col min="8712" max="8712" width="12.7109375" style="158" customWidth="1"/>
    <col min="8713" max="8713" width="10.7109375" style="158" customWidth="1"/>
    <col min="8714" max="8715" width="9.140625" style="158"/>
    <col min="8716" max="8716" width="10.7109375" style="158" customWidth="1"/>
    <col min="8717" max="8717" width="12.7109375" style="158" customWidth="1"/>
    <col min="8718" max="8718" width="10.7109375" style="158" customWidth="1"/>
    <col min="8719" max="8720" width="9.140625" style="158"/>
    <col min="8721" max="8722" width="10.7109375" style="158" customWidth="1"/>
    <col min="8723" max="8724" width="12.7109375" style="158" customWidth="1"/>
    <col min="8725" max="8961" width="9.140625" style="158"/>
    <col min="8962" max="8962" width="15.7109375" style="158" customWidth="1"/>
    <col min="8963" max="8964" width="10.7109375" style="158" customWidth="1"/>
    <col min="8965" max="8965" width="2.7109375" style="158" customWidth="1"/>
    <col min="8966" max="8967" width="10.7109375" style="158" customWidth="1"/>
    <col min="8968" max="8968" width="12.7109375" style="158" customWidth="1"/>
    <col min="8969" max="8969" width="10.7109375" style="158" customWidth="1"/>
    <col min="8970" max="8971" width="9.140625" style="158"/>
    <col min="8972" max="8972" width="10.7109375" style="158" customWidth="1"/>
    <col min="8973" max="8973" width="12.7109375" style="158" customWidth="1"/>
    <col min="8974" max="8974" width="10.7109375" style="158" customWidth="1"/>
    <col min="8975" max="8976" width="9.140625" style="158"/>
    <col min="8977" max="8978" width="10.7109375" style="158" customWidth="1"/>
    <col min="8979" max="8980" width="12.7109375" style="158" customWidth="1"/>
    <col min="8981" max="9217" width="9.140625" style="158"/>
    <col min="9218" max="9218" width="15.7109375" style="158" customWidth="1"/>
    <col min="9219" max="9220" width="10.7109375" style="158" customWidth="1"/>
    <col min="9221" max="9221" width="2.7109375" style="158" customWidth="1"/>
    <col min="9222" max="9223" width="10.7109375" style="158" customWidth="1"/>
    <col min="9224" max="9224" width="12.7109375" style="158" customWidth="1"/>
    <col min="9225" max="9225" width="10.7109375" style="158" customWidth="1"/>
    <col min="9226" max="9227" width="9.140625" style="158"/>
    <col min="9228" max="9228" width="10.7109375" style="158" customWidth="1"/>
    <col min="9229" max="9229" width="12.7109375" style="158" customWidth="1"/>
    <col min="9230" max="9230" width="10.7109375" style="158" customWidth="1"/>
    <col min="9231" max="9232" width="9.140625" style="158"/>
    <col min="9233" max="9234" width="10.7109375" style="158" customWidth="1"/>
    <col min="9235" max="9236" width="12.7109375" style="158" customWidth="1"/>
    <col min="9237" max="9473" width="9.140625" style="158"/>
    <col min="9474" max="9474" width="15.7109375" style="158" customWidth="1"/>
    <col min="9475" max="9476" width="10.7109375" style="158" customWidth="1"/>
    <col min="9477" max="9477" width="2.7109375" style="158" customWidth="1"/>
    <col min="9478" max="9479" width="10.7109375" style="158" customWidth="1"/>
    <col min="9480" max="9480" width="12.7109375" style="158" customWidth="1"/>
    <col min="9481" max="9481" width="10.7109375" style="158" customWidth="1"/>
    <col min="9482" max="9483" width="9.140625" style="158"/>
    <col min="9484" max="9484" width="10.7109375" style="158" customWidth="1"/>
    <col min="9485" max="9485" width="12.7109375" style="158" customWidth="1"/>
    <col min="9486" max="9486" width="10.7109375" style="158" customWidth="1"/>
    <col min="9487" max="9488" width="9.140625" style="158"/>
    <col min="9489" max="9490" width="10.7109375" style="158" customWidth="1"/>
    <col min="9491" max="9492" width="12.7109375" style="158" customWidth="1"/>
    <col min="9493" max="9729" width="9.140625" style="158"/>
    <col min="9730" max="9730" width="15.7109375" style="158" customWidth="1"/>
    <col min="9731" max="9732" width="10.7109375" style="158" customWidth="1"/>
    <col min="9733" max="9733" width="2.7109375" style="158" customWidth="1"/>
    <col min="9734" max="9735" width="10.7109375" style="158" customWidth="1"/>
    <col min="9736" max="9736" width="12.7109375" style="158" customWidth="1"/>
    <col min="9737" max="9737" width="10.7109375" style="158" customWidth="1"/>
    <col min="9738" max="9739" width="9.140625" style="158"/>
    <col min="9740" max="9740" width="10.7109375" style="158" customWidth="1"/>
    <col min="9741" max="9741" width="12.7109375" style="158" customWidth="1"/>
    <col min="9742" max="9742" width="10.7109375" style="158" customWidth="1"/>
    <col min="9743" max="9744" width="9.140625" style="158"/>
    <col min="9745" max="9746" width="10.7109375" style="158" customWidth="1"/>
    <col min="9747" max="9748" width="12.7109375" style="158" customWidth="1"/>
    <col min="9749" max="9985" width="9.140625" style="158"/>
    <col min="9986" max="9986" width="15.7109375" style="158" customWidth="1"/>
    <col min="9987" max="9988" width="10.7109375" style="158" customWidth="1"/>
    <col min="9989" max="9989" width="2.7109375" style="158" customWidth="1"/>
    <col min="9990" max="9991" width="10.7109375" style="158" customWidth="1"/>
    <col min="9992" max="9992" width="12.7109375" style="158" customWidth="1"/>
    <col min="9993" max="9993" width="10.7109375" style="158" customWidth="1"/>
    <col min="9994" max="9995" width="9.140625" style="158"/>
    <col min="9996" max="9996" width="10.7109375" style="158" customWidth="1"/>
    <col min="9997" max="9997" width="12.7109375" style="158" customWidth="1"/>
    <col min="9998" max="9998" width="10.7109375" style="158" customWidth="1"/>
    <col min="9999" max="10000" width="9.140625" style="158"/>
    <col min="10001" max="10002" width="10.7109375" style="158" customWidth="1"/>
    <col min="10003" max="10004" width="12.7109375" style="158" customWidth="1"/>
    <col min="10005" max="10241" width="9.140625" style="158"/>
    <col min="10242" max="10242" width="15.7109375" style="158" customWidth="1"/>
    <col min="10243" max="10244" width="10.7109375" style="158" customWidth="1"/>
    <col min="10245" max="10245" width="2.7109375" style="158" customWidth="1"/>
    <col min="10246" max="10247" width="10.7109375" style="158" customWidth="1"/>
    <col min="10248" max="10248" width="12.7109375" style="158" customWidth="1"/>
    <col min="10249" max="10249" width="10.7109375" style="158" customWidth="1"/>
    <col min="10250" max="10251" width="9.140625" style="158"/>
    <col min="10252" max="10252" width="10.7109375" style="158" customWidth="1"/>
    <col min="10253" max="10253" width="12.7109375" style="158" customWidth="1"/>
    <col min="10254" max="10254" width="10.7109375" style="158" customWidth="1"/>
    <col min="10255" max="10256" width="9.140625" style="158"/>
    <col min="10257" max="10258" width="10.7109375" style="158" customWidth="1"/>
    <col min="10259" max="10260" width="12.7109375" style="158" customWidth="1"/>
    <col min="10261" max="10497" width="9.140625" style="158"/>
    <col min="10498" max="10498" width="15.7109375" style="158" customWidth="1"/>
    <col min="10499" max="10500" width="10.7109375" style="158" customWidth="1"/>
    <col min="10501" max="10501" width="2.7109375" style="158" customWidth="1"/>
    <col min="10502" max="10503" width="10.7109375" style="158" customWidth="1"/>
    <col min="10504" max="10504" width="12.7109375" style="158" customWidth="1"/>
    <col min="10505" max="10505" width="10.7109375" style="158" customWidth="1"/>
    <col min="10506" max="10507" width="9.140625" style="158"/>
    <col min="10508" max="10508" width="10.7109375" style="158" customWidth="1"/>
    <col min="10509" max="10509" width="12.7109375" style="158" customWidth="1"/>
    <col min="10510" max="10510" width="10.7109375" style="158" customWidth="1"/>
    <col min="10511" max="10512" width="9.140625" style="158"/>
    <col min="10513" max="10514" width="10.7109375" style="158" customWidth="1"/>
    <col min="10515" max="10516" width="12.7109375" style="158" customWidth="1"/>
    <col min="10517" max="10753" width="9.140625" style="158"/>
    <col min="10754" max="10754" width="15.7109375" style="158" customWidth="1"/>
    <col min="10755" max="10756" width="10.7109375" style="158" customWidth="1"/>
    <col min="10757" max="10757" width="2.7109375" style="158" customWidth="1"/>
    <col min="10758" max="10759" width="10.7109375" style="158" customWidth="1"/>
    <col min="10760" max="10760" width="12.7109375" style="158" customWidth="1"/>
    <col min="10761" max="10761" width="10.7109375" style="158" customWidth="1"/>
    <col min="10762" max="10763" width="9.140625" style="158"/>
    <col min="10764" max="10764" width="10.7109375" style="158" customWidth="1"/>
    <col min="10765" max="10765" width="12.7109375" style="158" customWidth="1"/>
    <col min="10766" max="10766" width="10.7109375" style="158" customWidth="1"/>
    <col min="10767" max="10768" width="9.140625" style="158"/>
    <col min="10769" max="10770" width="10.7109375" style="158" customWidth="1"/>
    <col min="10771" max="10772" width="12.7109375" style="158" customWidth="1"/>
    <col min="10773" max="11009" width="9.140625" style="158"/>
    <col min="11010" max="11010" width="15.7109375" style="158" customWidth="1"/>
    <col min="11011" max="11012" width="10.7109375" style="158" customWidth="1"/>
    <col min="11013" max="11013" width="2.7109375" style="158" customWidth="1"/>
    <col min="11014" max="11015" width="10.7109375" style="158" customWidth="1"/>
    <col min="11016" max="11016" width="12.7109375" style="158" customWidth="1"/>
    <col min="11017" max="11017" width="10.7109375" style="158" customWidth="1"/>
    <col min="11018" max="11019" width="9.140625" style="158"/>
    <col min="11020" max="11020" width="10.7109375" style="158" customWidth="1"/>
    <col min="11021" max="11021" width="12.7109375" style="158" customWidth="1"/>
    <col min="11022" max="11022" width="10.7109375" style="158" customWidth="1"/>
    <col min="11023" max="11024" width="9.140625" style="158"/>
    <col min="11025" max="11026" width="10.7109375" style="158" customWidth="1"/>
    <col min="11027" max="11028" width="12.7109375" style="158" customWidth="1"/>
    <col min="11029" max="11265" width="9.140625" style="158"/>
    <col min="11266" max="11266" width="15.7109375" style="158" customWidth="1"/>
    <col min="11267" max="11268" width="10.7109375" style="158" customWidth="1"/>
    <col min="11269" max="11269" width="2.7109375" style="158" customWidth="1"/>
    <col min="11270" max="11271" width="10.7109375" style="158" customWidth="1"/>
    <col min="11272" max="11272" width="12.7109375" style="158" customWidth="1"/>
    <col min="11273" max="11273" width="10.7109375" style="158" customWidth="1"/>
    <col min="11274" max="11275" width="9.140625" style="158"/>
    <col min="11276" max="11276" width="10.7109375" style="158" customWidth="1"/>
    <col min="11277" max="11277" width="12.7109375" style="158" customWidth="1"/>
    <col min="11278" max="11278" width="10.7109375" style="158" customWidth="1"/>
    <col min="11279" max="11280" width="9.140625" style="158"/>
    <col min="11281" max="11282" width="10.7109375" style="158" customWidth="1"/>
    <col min="11283" max="11284" width="12.7109375" style="158" customWidth="1"/>
    <col min="11285" max="11521" width="9.140625" style="158"/>
    <col min="11522" max="11522" width="15.7109375" style="158" customWidth="1"/>
    <col min="11523" max="11524" width="10.7109375" style="158" customWidth="1"/>
    <col min="11525" max="11525" width="2.7109375" style="158" customWidth="1"/>
    <col min="11526" max="11527" width="10.7109375" style="158" customWidth="1"/>
    <col min="11528" max="11528" width="12.7109375" style="158" customWidth="1"/>
    <col min="11529" max="11529" width="10.7109375" style="158" customWidth="1"/>
    <col min="11530" max="11531" width="9.140625" style="158"/>
    <col min="11532" max="11532" width="10.7109375" style="158" customWidth="1"/>
    <col min="11533" max="11533" width="12.7109375" style="158" customWidth="1"/>
    <col min="11534" max="11534" width="10.7109375" style="158" customWidth="1"/>
    <col min="11535" max="11536" width="9.140625" style="158"/>
    <col min="11537" max="11538" width="10.7109375" style="158" customWidth="1"/>
    <col min="11539" max="11540" width="12.7109375" style="158" customWidth="1"/>
    <col min="11541" max="11777" width="9.140625" style="158"/>
    <col min="11778" max="11778" width="15.7109375" style="158" customWidth="1"/>
    <col min="11779" max="11780" width="10.7109375" style="158" customWidth="1"/>
    <col min="11781" max="11781" width="2.7109375" style="158" customWidth="1"/>
    <col min="11782" max="11783" width="10.7109375" style="158" customWidth="1"/>
    <col min="11784" max="11784" width="12.7109375" style="158" customWidth="1"/>
    <col min="11785" max="11785" width="10.7109375" style="158" customWidth="1"/>
    <col min="11786" max="11787" width="9.140625" style="158"/>
    <col min="11788" max="11788" width="10.7109375" style="158" customWidth="1"/>
    <col min="11789" max="11789" width="12.7109375" style="158" customWidth="1"/>
    <col min="11790" max="11790" width="10.7109375" style="158" customWidth="1"/>
    <col min="11791" max="11792" width="9.140625" style="158"/>
    <col min="11793" max="11794" width="10.7109375" style="158" customWidth="1"/>
    <col min="11795" max="11796" width="12.7109375" style="158" customWidth="1"/>
    <col min="11797" max="12033" width="9.140625" style="158"/>
    <col min="12034" max="12034" width="15.7109375" style="158" customWidth="1"/>
    <col min="12035" max="12036" width="10.7109375" style="158" customWidth="1"/>
    <col min="12037" max="12037" width="2.7109375" style="158" customWidth="1"/>
    <col min="12038" max="12039" width="10.7109375" style="158" customWidth="1"/>
    <col min="12040" max="12040" width="12.7109375" style="158" customWidth="1"/>
    <col min="12041" max="12041" width="10.7109375" style="158" customWidth="1"/>
    <col min="12042" max="12043" width="9.140625" style="158"/>
    <col min="12044" max="12044" width="10.7109375" style="158" customWidth="1"/>
    <col min="12045" max="12045" width="12.7109375" style="158" customWidth="1"/>
    <col min="12046" max="12046" width="10.7109375" style="158" customWidth="1"/>
    <col min="12047" max="12048" width="9.140625" style="158"/>
    <col min="12049" max="12050" width="10.7109375" style="158" customWidth="1"/>
    <col min="12051" max="12052" width="12.7109375" style="158" customWidth="1"/>
    <col min="12053" max="12289" width="9.140625" style="158"/>
    <col min="12290" max="12290" width="15.7109375" style="158" customWidth="1"/>
    <col min="12291" max="12292" width="10.7109375" style="158" customWidth="1"/>
    <col min="12293" max="12293" width="2.7109375" style="158" customWidth="1"/>
    <col min="12294" max="12295" width="10.7109375" style="158" customWidth="1"/>
    <col min="12296" max="12296" width="12.7109375" style="158" customWidth="1"/>
    <col min="12297" max="12297" width="10.7109375" style="158" customWidth="1"/>
    <col min="12298" max="12299" width="9.140625" style="158"/>
    <col min="12300" max="12300" width="10.7109375" style="158" customWidth="1"/>
    <col min="12301" max="12301" width="12.7109375" style="158" customWidth="1"/>
    <col min="12302" max="12302" width="10.7109375" style="158" customWidth="1"/>
    <col min="12303" max="12304" width="9.140625" style="158"/>
    <col min="12305" max="12306" width="10.7109375" style="158" customWidth="1"/>
    <col min="12307" max="12308" width="12.7109375" style="158" customWidth="1"/>
    <col min="12309" max="12545" width="9.140625" style="158"/>
    <col min="12546" max="12546" width="15.7109375" style="158" customWidth="1"/>
    <col min="12547" max="12548" width="10.7109375" style="158" customWidth="1"/>
    <col min="12549" max="12549" width="2.7109375" style="158" customWidth="1"/>
    <col min="12550" max="12551" width="10.7109375" style="158" customWidth="1"/>
    <col min="12552" max="12552" width="12.7109375" style="158" customWidth="1"/>
    <col min="12553" max="12553" width="10.7109375" style="158" customWidth="1"/>
    <col min="12554" max="12555" width="9.140625" style="158"/>
    <col min="12556" max="12556" width="10.7109375" style="158" customWidth="1"/>
    <col min="12557" max="12557" width="12.7109375" style="158" customWidth="1"/>
    <col min="12558" max="12558" width="10.7109375" style="158" customWidth="1"/>
    <col min="12559" max="12560" width="9.140625" style="158"/>
    <col min="12561" max="12562" width="10.7109375" style="158" customWidth="1"/>
    <col min="12563" max="12564" width="12.7109375" style="158" customWidth="1"/>
    <col min="12565" max="12801" width="9.140625" style="158"/>
    <col min="12802" max="12802" width="15.7109375" style="158" customWidth="1"/>
    <col min="12803" max="12804" width="10.7109375" style="158" customWidth="1"/>
    <col min="12805" max="12805" width="2.7109375" style="158" customWidth="1"/>
    <col min="12806" max="12807" width="10.7109375" style="158" customWidth="1"/>
    <col min="12808" max="12808" width="12.7109375" style="158" customWidth="1"/>
    <col min="12809" max="12809" width="10.7109375" style="158" customWidth="1"/>
    <col min="12810" max="12811" width="9.140625" style="158"/>
    <col min="12812" max="12812" width="10.7109375" style="158" customWidth="1"/>
    <col min="12813" max="12813" width="12.7109375" style="158" customWidth="1"/>
    <col min="12814" max="12814" width="10.7109375" style="158" customWidth="1"/>
    <col min="12815" max="12816" width="9.140625" style="158"/>
    <col min="12817" max="12818" width="10.7109375" style="158" customWidth="1"/>
    <col min="12819" max="12820" width="12.7109375" style="158" customWidth="1"/>
    <col min="12821" max="13057" width="9.140625" style="158"/>
    <col min="13058" max="13058" width="15.7109375" style="158" customWidth="1"/>
    <col min="13059" max="13060" width="10.7109375" style="158" customWidth="1"/>
    <col min="13061" max="13061" width="2.7109375" style="158" customWidth="1"/>
    <col min="13062" max="13063" width="10.7109375" style="158" customWidth="1"/>
    <col min="13064" max="13064" width="12.7109375" style="158" customWidth="1"/>
    <col min="13065" max="13065" width="10.7109375" style="158" customWidth="1"/>
    <col min="13066" max="13067" width="9.140625" style="158"/>
    <col min="13068" max="13068" width="10.7109375" style="158" customWidth="1"/>
    <col min="13069" max="13069" width="12.7109375" style="158" customWidth="1"/>
    <col min="13070" max="13070" width="10.7109375" style="158" customWidth="1"/>
    <col min="13071" max="13072" width="9.140625" style="158"/>
    <col min="13073" max="13074" width="10.7109375" style="158" customWidth="1"/>
    <col min="13075" max="13076" width="12.7109375" style="158" customWidth="1"/>
    <col min="13077" max="13313" width="9.140625" style="158"/>
    <col min="13314" max="13314" width="15.7109375" style="158" customWidth="1"/>
    <col min="13315" max="13316" width="10.7109375" style="158" customWidth="1"/>
    <col min="13317" max="13317" width="2.7109375" style="158" customWidth="1"/>
    <col min="13318" max="13319" width="10.7109375" style="158" customWidth="1"/>
    <col min="13320" max="13320" width="12.7109375" style="158" customWidth="1"/>
    <col min="13321" max="13321" width="10.7109375" style="158" customWidth="1"/>
    <col min="13322" max="13323" width="9.140625" style="158"/>
    <col min="13324" max="13324" width="10.7109375" style="158" customWidth="1"/>
    <col min="13325" max="13325" width="12.7109375" style="158" customWidth="1"/>
    <col min="13326" max="13326" width="10.7109375" style="158" customWidth="1"/>
    <col min="13327" max="13328" width="9.140625" style="158"/>
    <col min="13329" max="13330" width="10.7109375" style="158" customWidth="1"/>
    <col min="13331" max="13332" width="12.7109375" style="158" customWidth="1"/>
    <col min="13333" max="13569" width="9.140625" style="158"/>
    <col min="13570" max="13570" width="15.7109375" style="158" customWidth="1"/>
    <col min="13571" max="13572" width="10.7109375" style="158" customWidth="1"/>
    <col min="13573" max="13573" width="2.7109375" style="158" customWidth="1"/>
    <col min="13574" max="13575" width="10.7109375" style="158" customWidth="1"/>
    <col min="13576" max="13576" width="12.7109375" style="158" customWidth="1"/>
    <col min="13577" max="13577" width="10.7109375" style="158" customWidth="1"/>
    <col min="13578" max="13579" width="9.140625" style="158"/>
    <col min="13580" max="13580" width="10.7109375" style="158" customWidth="1"/>
    <col min="13581" max="13581" width="12.7109375" style="158" customWidth="1"/>
    <col min="13582" max="13582" width="10.7109375" style="158" customWidth="1"/>
    <col min="13583" max="13584" width="9.140625" style="158"/>
    <col min="13585" max="13586" width="10.7109375" style="158" customWidth="1"/>
    <col min="13587" max="13588" width="12.7109375" style="158" customWidth="1"/>
    <col min="13589" max="13825" width="9.140625" style="158"/>
    <col min="13826" max="13826" width="15.7109375" style="158" customWidth="1"/>
    <col min="13827" max="13828" width="10.7109375" style="158" customWidth="1"/>
    <col min="13829" max="13829" width="2.7109375" style="158" customWidth="1"/>
    <col min="13830" max="13831" width="10.7109375" style="158" customWidth="1"/>
    <col min="13832" max="13832" width="12.7109375" style="158" customWidth="1"/>
    <col min="13833" max="13833" width="10.7109375" style="158" customWidth="1"/>
    <col min="13834" max="13835" width="9.140625" style="158"/>
    <col min="13836" max="13836" width="10.7109375" style="158" customWidth="1"/>
    <col min="13837" max="13837" width="12.7109375" style="158" customWidth="1"/>
    <col min="13838" max="13838" width="10.7109375" style="158" customWidth="1"/>
    <col min="13839" max="13840" width="9.140625" style="158"/>
    <col min="13841" max="13842" width="10.7109375" style="158" customWidth="1"/>
    <col min="13843" max="13844" width="12.7109375" style="158" customWidth="1"/>
    <col min="13845" max="14081" width="9.140625" style="158"/>
    <col min="14082" max="14082" width="15.7109375" style="158" customWidth="1"/>
    <col min="14083" max="14084" width="10.7109375" style="158" customWidth="1"/>
    <col min="14085" max="14085" width="2.7109375" style="158" customWidth="1"/>
    <col min="14086" max="14087" width="10.7109375" style="158" customWidth="1"/>
    <col min="14088" max="14088" width="12.7109375" style="158" customWidth="1"/>
    <col min="14089" max="14089" width="10.7109375" style="158" customWidth="1"/>
    <col min="14090" max="14091" width="9.140625" style="158"/>
    <col min="14092" max="14092" width="10.7109375" style="158" customWidth="1"/>
    <col min="14093" max="14093" width="12.7109375" style="158" customWidth="1"/>
    <col min="14094" max="14094" width="10.7109375" style="158" customWidth="1"/>
    <col min="14095" max="14096" width="9.140625" style="158"/>
    <col min="14097" max="14098" width="10.7109375" style="158" customWidth="1"/>
    <col min="14099" max="14100" width="12.7109375" style="158" customWidth="1"/>
    <col min="14101" max="14337" width="9.140625" style="158"/>
    <col min="14338" max="14338" width="15.7109375" style="158" customWidth="1"/>
    <col min="14339" max="14340" width="10.7109375" style="158" customWidth="1"/>
    <col min="14341" max="14341" width="2.7109375" style="158" customWidth="1"/>
    <col min="14342" max="14343" width="10.7109375" style="158" customWidth="1"/>
    <col min="14344" max="14344" width="12.7109375" style="158" customWidth="1"/>
    <col min="14345" max="14345" width="10.7109375" style="158" customWidth="1"/>
    <col min="14346" max="14347" width="9.140625" style="158"/>
    <col min="14348" max="14348" width="10.7109375" style="158" customWidth="1"/>
    <col min="14349" max="14349" width="12.7109375" style="158" customWidth="1"/>
    <col min="14350" max="14350" width="10.7109375" style="158" customWidth="1"/>
    <col min="14351" max="14352" width="9.140625" style="158"/>
    <col min="14353" max="14354" width="10.7109375" style="158" customWidth="1"/>
    <col min="14355" max="14356" width="12.7109375" style="158" customWidth="1"/>
    <col min="14357" max="14593" width="9.140625" style="158"/>
    <col min="14594" max="14594" width="15.7109375" style="158" customWidth="1"/>
    <col min="14595" max="14596" width="10.7109375" style="158" customWidth="1"/>
    <col min="14597" max="14597" width="2.7109375" style="158" customWidth="1"/>
    <col min="14598" max="14599" width="10.7109375" style="158" customWidth="1"/>
    <col min="14600" max="14600" width="12.7109375" style="158" customWidth="1"/>
    <col min="14601" max="14601" width="10.7109375" style="158" customWidth="1"/>
    <col min="14602" max="14603" width="9.140625" style="158"/>
    <col min="14604" max="14604" width="10.7109375" style="158" customWidth="1"/>
    <col min="14605" max="14605" width="12.7109375" style="158" customWidth="1"/>
    <col min="14606" max="14606" width="10.7109375" style="158" customWidth="1"/>
    <col min="14607" max="14608" width="9.140625" style="158"/>
    <col min="14609" max="14610" width="10.7109375" style="158" customWidth="1"/>
    <col min="14611" max="14612" width="12.7109375" style="158" customWidth="1"/>
    <col min="14613" max="14849" width="9.140625" style="158"/>
    <col min="14850" max="14850" width="15.7109375" style="158" customWidth="1"/>
    <col min="14851" max="14852" width="10.7109375" style="158" customWidth="1"/>
    <col min="14853" max="14853" width="2.7109375" style="158" customWidth="1"/>
    <col min="14854" max="14855" width="10.7109375" style="158" customWidth="1"/>
    <col min="14856" max="14856" width="12.7109375" style="158" customWidth="1"/>
    <col min="14857" max="14857" width="10.7109375" style="158" customWidth="1"/>
    <col min="14858" max="14859" width="9.140625" style="158"/>
    <col min="14860" max="14860" width="10.7109375" style="158" customWidth="1"/>
    <col min="14861" max="14861" width="12.7109375" style="158" customWidth="1"/>
    <col min="14862" max="14862" width="10.7109375" style="158" customWidth="1"/>
    <col min="14863" max="14864" width="9.140625" style="158"/>
    <col min="14865" max="14866" width="10.7109375" style="158" customWidth="1"/>
    <col min="14867" max="14868" width="12.7109375" style="158" customWidth="1"/>
    <col min="14869" max="15105" width="9.140625" style="158"/>
    <col min="15106" max="15106" width="15.7109375" style="158" customWidth="1"/>
    <col min="15107" max="15108" width="10.7109375" style="158" customWidth="1"/>
    <col min="15109" max="15109" width="2.7109375" style="158" customWidth="1"/>
    <col min="15110" max="15111" width="10.7109375" style="158" customWidth="1"/>
    <col min="15112" max="15112" width="12.7109375" style="158" customWidth="1"/>
    <col min="15113" max="15113" width="10.7109375" style="158" customWidth="1"/>
    <col min="15114" max="15115" width="9.140625" style="158"/>
    <col min="15116" max="15116" width="10.7109375" style="158" customWidth="1"/>
    <col min="15117" max="15117" width="12.7109375" style="158" customWidth="1"/>
    <col min="15118" max="15118" width="10.7109375" style="158" customWidth="1"/>
    <col min="15119" max="15120" width="9.140625" style="158"/>
    <col min="15121" max="15122" width="10.7109375" style="158" customWidth="1"/>
    <col min="15123" max="15124" width="12.7109375" style="158" customWidth="1"/>
    <col min="15125" max="15361" width="9.140625" style="158"/>
    <col min="15362" max="15362" width="15.7109375" style="158" customWidth="1"/>
    <col min="15363" max="15364" width="10.7109375" style="158" customWidth="1"/>
    <col min="15365" max="15365" width="2.7109375" style="158" customWidth="1"/>
    <col min="15366" max="15367" width="10.7109375" style="158" customWidth="1"/>
    <col min="15368" max="15368" width="12.7109375" style="158" customWidth="1"/>
    <col min="15369" max="15369" width="10.7109375" style="158" customWidth="1"/>
    <col min="15370" max="15371" width="9.140625" style="158"/>
    <col min="15372" max="15372" width="10.7109375" style="158" customWidth="1"/>
    <col min="15373" max="15373" width="12.7109375" style="158" customWidth="1"/>
    <col min="15374" max="15374" width="10.7109375" style="158" customWidth="1"/>
    <col min="15375" max="15376" width="9.140625" style="158"/>
    <col min="15377" max="15378" width="10.7109375" style="158" customWidth="1"/>
    <col min="15379" max="15380" width="12.7109375" style="158" customWidth="1"/>
    <col min="15381" max="15617" width="9.140625" style="158"/>
    <col min="15618" max="15618" width="15.7109375" style="158" customWidth="1"/>
    <col min="15619" max="15620" width="10.7109375" style="158" customWidth="1"/>
    <col min="15621" max="15621" width="2.7109375" style="158" customWidth="1"/>
    <col min="15622" max="15623" width="10.7109375" style="158" customWidth="1"/>
    <col min="15624" max="15624" width="12.7109375" style="158" customWidth="1"/>
    <col min="15625" max="15625" width="10.7109375" style="158" customWidth="1"/>
    <col min="15626" max="15627" width="9.140625" style="158"/>
    <col min="15628" max="15628" width="10.7109375" style="158" customWidth="1"/>
    <col min="15629" max="15629" width="12.7109375" style="158" customWidth="1"/>
    <col min="15630" max="15630" width="10.7109375" style="158" customWidth="1"/>
    <col min="15631" max="15632" width="9.140625" style="158"/>
    <col min="15633" max="15634" width="10.7109375" style="158" customWidth="1"/>
    <col min="15635" max="15636" width="12.7109375" style="158" customWidth="1"/>
    <col min="15637" max="15873" width="9.140625" style="158"/>
    <col min="15874" max="15874" width="15.7109375" style="158" customWidth="1"/>
    <col min="15875" max="15876" width="10.7109375" style="158" customWidth="1"/>
    <col min="15877" max="15877" width="2.7109375" style="158" customWidth="1"/>
    <col min="15878" max="15879" width="10.7109375" style="158" customWidth="1"/>
    <col min="15880" max="15880" width="12.7109375" style="158" customWidth="1"/>
    <col min="15881" max="15881" width="10.7109375" style="158" customWidth="1"/>
    <col min="15882" max="15883" width="9.140625" style="158"/>
    <col min="15884" max="15884" width="10.7109375" style="158" customWidth="1"/>
    <col min="15885" max="15885" width="12.7109375" style="158" customWidth="1"/>
    <col min="15886" max="15886" width="10.7109375" style="158" customWidth="1"/>
    <col min="15887" max="15888" width="9.140625" style="158"/>
    <col min="15889" max="15890" width="10.7109375" style="158" customWidth="1"/>
    <col min="15891" max="15892" width="12.7109375" style="158" customWidth="1"/>
    <col min="15893" max="16129" width="9.140625" style="158"/>
    <col min="16130" max="16130" width="15.7109375" style="158" customWidth="1"/>
    <col min="16131" max="16132" width="10.7109375" style="158" customWidth="1"/>
    <col min="16133" max="16133" width="2.7109375" style="158" customWidth="1"/>
    <col min="16134" max="16135" width="10.7109375" style="158" customWidth="1"/>
    <col min="16136" max="16136" width="12.7109375" style="158" customWidth="1"/>
    <col min="16137" max="16137" width="10.7109375" style="158" customWidth="1"/>
    <col min="16138" max="16139" width="9.140625" style="158"/>
    <col min="16140" max="16140" width="10.7109375" style="158" customWidth="1"/>
    <col min="16141" max="16141" width="12.7109375" style="158" customWidth="1"/>
    <col min="16142" max="16142" width="10.7109375" style="158" customWidth="1"/>
    <col min="16143" max="16144" width="9.140625" style="158"/>
    <col min="16145" max="16146" width="10.7109375" style="158" customWidth="1"/>
    <col min="16147" max="16148" width="12.7109375" style="158" customWidth="1"/>
    <col min="16149" max="16384" width="9.140625" style="158"/>
  </cols>
  <sheetData>
    <row r="2" spans="2:21" ht="20.25" x14ac:dyDescent="0.3">
      <c r="C2" s="164" t="s">
        <v>869</v>
      </c>
      <c r="D2" s="164"/>
    </row>
    <row r="3" spans="2:21" ht="13.5" thickBot="1" x14ac:dyDescent="0.25"/>
    <row r="4" spans="2:21" ht="15.75" x14ac:dyDescent="0.25">
      <c r="B4" s="346" t="s">
        <v>862</v>
      </c>
      <c r="C4" s="397"/>
      <c r="D4" s="397"/>
      <c r="E4" s="397"/>
      <c r="F4" s="293" t="s">
        <v>0</v>
      </c>
      <c r="G4" s="397"/>
      <c r="H4" s="397"/>
      <c r="I4" s="397" t="s">
        <v>0</v>
      </c>
      <c r="J4" s="296"/>
      <c r="L4" s="337" t="s">
        <v>863</v>
      </c>
      <c r="M4" s="338"/>
      <c r="N4" s="347"/>
      <c r="Q4" s="165" t="s">
        <v>1</v>
      </c>
      <c r="R4" s="176" t="s">
        <v>15</v>
      </c>
      <c r="S4" s="1034" t="s">
        <v>587</v>
      </c>
      <c r="T4" s="1034" t="s">
        <v>864</v>
      </c>
      <c r="U4" s="166"/>
    </row>
    <row r="5" spans="2:21" ht="26.25" x14ac:dyDescent="0.4">
      <c r="B5" s="1035" t="s">
        <v>685</v>
      </c>
      <c r="C5" s="302" t="s">
        <v>1</v>
      </c>
      <c r="D5" s="302" t="s">
        <v>15</v>
      </c>
      <c r="E5" s="302"/>
      <c r="F5" s="301" t="s">
        <v>1</v>
      </c>
      <c r="G5" s="302" t="s">
        <v>15</v>
      </c>
      <c r="H5" s="302" t="s">
        <v>862</v>
      </c>
      <c r="I5" s="302" t="s">
        <v>69</v>
      </c>
      <c r="J5" s="1036" t="s">
        <v>691</v>
      </c>
      <c r="L5" s="305" t="s">
        <v>476</v>
      </c>
      <c r="M5" s="306" t="s">
        <v>865</v>
      </c>
      <c r="N5" s="307" t="s">
        <v>866</v>
      </c>
      <c r="Q5" s="167" t="s">
        <v>3</v>
      </c>
      <c r="R5" s="191" t="s">
        <v>3</v>
      </c>
      <c r="S5" s="1037" t="s">
        <v>3</v>
      </c>
      <c r="T5" s="1037" t="s">
        <v>587</v>
      </c>
      <c r="U5" s="1038" t="s">
        <v>691</v>
      </c>
    </row>
    <row r="6" spans="2:21" ht="15" customHeight="1" x14ac:dyDescent="0.4">
      <c r="B6" s="308" t="s">
        <v>0</v>
      </c>
      <c r="C6" s="398" t="s">
        <v>328</v>
      </c>
      <c r="D6" s="398" t="s">
        <v>328</v>
      </c>
      <c r="E6" s="398"/>
      <c r="F6" s="399" t="s">
        <v>3</v>
      </c>
      <c r="G6" s="398" t="s">
        <v>3</v>
      </c>
      <c r="H6" s="398" t="s">
        <v>15</v>
      </c>
      <c r="I6" s="398" t="s">
        <v>70</v>
      </c>
      <c r="J6" s="1039" t="s">
        <v>0</v>
      </c>
      <c r="L6" s="313" t="s">
        <v>483</v>
      </c>
      <c r="M6" s="314" t="s">
        <v>867</v>
      </c>
      <c r="N6" s="315" t="s">
        <v>0</v>
      </c>
      <c r="Q6" s="167" t="s">
        <v>223</v>
      </c>
      <c r="R6" s="191" t="s">
        <v>223</v>
      </c>
      <c r="S6" s="1037" t="s">
        <v>0</v>
      </c>
      <c r="T6" s="1037" t="s">
        <v>3</v>
      </c>
      <c r="U6" s="1038" t="s">
        <v>0</v>
      </c>
    </row>
    <row r="7" spans="2:21" x14ac:dyDescent="0.2">
      <c r="B7" s="316"/>
      <c r="C7" s="317"/>
      <c r="D7" s="317"/>
      <c r="E7" s="317"/>
      <c r="F7" s="318"/>
      <c r="G7" s="317"/>
      <c r="H7" s="317"/>
      <c r="I7" s="317"/>
      <c r="J7" s="319"/>
      <c r="L7" s="320"/>
      <c r="M7" s="321"/>
      <c r="N7" s="322"/>
      <c r="Q7" s="167"/>
      <c r="R7" s="191"/>
      <c r="S7" s="1037"/>
      <c r="T7" s="1037"/>
      <c r="U7" s="168"/>
    </row>
    <row r="8" spans="2:21" x14ac:dyDescent="0.2">
      <c r="B8" s="316"/>
      <c r="C8" s="317"/>
      <c r="D8" s="317"/>
      <c r="E8" s="317"/>
      <c r="F8" s="318"/>
      <c r="G8" s="317"/>
      <c r="H8" s="317"/>
      <c r="I8" s="317"/>
      <c r="J8" s="319"/>
      <c r="L8" s="320"/>
      <c r="M8" s="321"/>
      <c r="N8" s="322"/>
      <c r="Q8" s="167"/>
      <c r="R8" s="191"/>
      <c r="S8" s="1037"/>
      <c r="T8" s="1037"/>
      <c r="U8" s="168"/>
    </row>
    <row r="9" spans="2:21" x14ac:dyDescent="0.2">
      <c r="B9" s="316" t="s">
        <v>485</v>
      </c>
      <c r="C9" s="323">
        <v>0.4</v>
      </c>
      <c r="D9" s="323">
        <v>0.4</v>
      </c>
      <c r="E9" s="317"/>
      <c r="F9" s="324">
        <v>20</v>
      </c>
      <c r="G9" s="1040">
        <v>10</v>
      </c>
      <c r="H9" s="1040">
        <f>+(G9-I9)*J9+I9</f>
        <v>12.700000000000001</v>
      </c>
      <c r="I9" s="1041">
        <v>1</v>
      </c>
      <c r="J9" s="325">
        <v>1.3</v>
      </c>
      <c r="L9" s="326">
        <f>(C9-D9)*((1+G9/100)/(1+G$15/100)-1)</f>
        <v>0</v>
      </c>
      <c r="M9" s="327">
        <f>C9*((1+H9/100)/(1+G9/100)-1)*(1+G9/100)/(1+S$15/100)</f>
        <v>1.0266159695817441E-2</v>
      </c>
      <c r="N9" s="328">
        <f>C9*((1+F9/100)/(1+H9/100)-1)*(1+H9/100)/(1+T$15/100)</f>
        <v>2.7596113862321876E-2</v>
      </c>
      <c r="Q9" s="167">
        <f>+C9*F9</f>
        <v>8</v>
      </c>
      <c r="R9" s="191">
        <f>+D9*G9</f>
        <v>4</v>
      </c>
      <c r="S9" s="1042">
        <f>+C9*G9</f>
        <v>4</v>
      </c>
      <c r="T9" s="1042">
        <f>+C9*H9</f>
        <v>5.080000000000001</v>
      </c>
      <c r="U9" s="168">
        <f>+C9*J9</f>
        <v>0.52</v>
      </c>
    </row>
    <row r="10" spans="2:21" x14ac:dyDescent="0.2">
      <c r="B10" s="316"/>
      <c r="C10" s="323"/>
      <c r="D10" s="323"/>
      <c r="E10" s="317"/>
      <c r="F10" s="324"/>
      <c r="G10" s="1040"/>
      <c r="H10" s="1040"/>
      <c r="I10" s="1041"/>
      <c r="J10" s="325"/>
      <c r="L10" s="320"/>
      <c r="M10" s="327"/>
      <c r="N10" s="328"/>
      <c r="Q10" s="167"/>
      <c r="R10" s="191"/>
      <c r="S10" s="1037"/>
      <c r="T10" s="1037"/>
      <c r="U10" s="168"/>
    </row>
    <row r="11" spans="2:21" x14ac:dyDescent="0.2">
      <c r="B11" s="316" t="s">
        <v>486</v>
      </c>
      <c r="C11" s="323">
        <v>0.3</v>
      </c>
      <c r="D11" s="323">
        <v>0.2</v>
      </c>
      <c r="E11" s="317"/>
      <c r="F11" s="324">
        <v>-5</v>
      </c>
      <c r="G11" s="1040">
        <v>-4</v>
      </c>
      <c r="H11" s="1040">
        <f>+(G11-I11)*J11+I11</f>
        <v>-3.9999999999999996</v>
      </c>
      <c r="I11" s="1041">
        <v>0.1</v>
      </c>
      <c r="J11" s="325">
        <v>1</v>
      </c>
      <c r="L11" s="326">
        <f>(C11-D11)*((1+G11/100)/(1+G$15/100)-1)</f>
        <v>-9.7744360902255675E-3</v>
      </c>
      <c r="M11" s="327">
        <f>C11*((1+H11/100)/(1+G11/100)-1)*(1+G11/100)/(1+S$15/100)</f>
        <v>0</v>
      </c>
      <c r="N11" s="328">
        <f>C11*((1+F11/100)/(1+H11/100)-1)*(1+H11/100)/(1+T$15/100)</f>
        <v>-2.8352171776357968E-3</v>
      </c>
      <c r="Q11" s="167">
        <f>+C11*F11</f>
        <v>-1.5</v>
      </c>
      <c r="R11" s="191">
        <f>+D11*G11</f>
        <v>-0.8</v>
      </c>
      <c r="S11" s="1042">
        <f>+C11*G11</f>
        <v>-1.2</v>
      </c>
      <c r="T11" s="1042">
        <f>+C11*H11</f>
        <v>-1.1999999999999997</v>
      </c>
      <c r="U11" s="168">
        <f>+C11*J11</f>
        <v>0.3</v>
      </c>
    </row>
    <row r="12" spans="2:21" x14ac:dyDescent="0.2">
      <c r="B12" s="316"/>
      <c r="C12" s="323"/>
      <c r="D12" s="323"/>
      <c r="E12" s="317"/>
      <c r="F12" s="324"/>
      <c r="G12" s="1040"/>
      <c r="H12" s="1040"/>
      <c r="I12" s="1041"/>
      <c r="J12" s="325"/>
      <c r="L12" s="320"/>
      <c r="M12" s="327"/>
      <c r="N12" s="328"/>
      <c r="Q12" s="167"/>
      <c r="R12" s="191"/>
      <c r="S12" s="1037"/>
      <c r="T12" s="1037"/>
      <c r="U12" s="168"/>
    </row>
    <row r="13" spans="2:21" x14ac:dyDescent="0.2">
      <c r="B13" s="316" t="s">
        <v>487</v>
      </c>
      <c r="C13" s="323">
        <v>0.3</v>
      </c>
      <c r="D13" s="323">
        <v>0.4</v>
      </c>
      <c r="E13" s="317"/>
      <c r="F13" s="324">
        <v>6</v>
      </c>
      <c r="G13" s="1040">
        <v>8</v>
      </c>
      <c r="H13" s="1040">
        <f>+(G13-I13)*J13+I13</f>
        <v>6.44</v>
      </c>
      <c r="I13" s="1041">
        <v>0.2</v>
      </c>
      <c r="J13" s="325">
        <v>0.8</v>
      </c>
      <c r="L13" s="326">
        <f>(C13-D13)*((1+G13/100)/(1+G$15/100)-1)</f>
        <v>-1.5037593984962522E-3</v>
      </c>
      <c r="M13" s="327">
        <f>C13*((1+H13/100)/(1+G13/100)-1)*(1+G13/100)/(1+S$15/100)</f>
        <v>-4.4486692015209238E-3</v>
      </c>
      <c r="N13" s="328">
        <f>C13*((1+F13/100)/(1+H13/100)-1)*(1+H13/100)/(1+T$15/100)</f>
        <v>-1.2474955581597582E-3</v>
      </c>
      <c r="Q13" s="167">
        <f>+C13*F13</f>
        <v>1.7999999999999998</v>
      </c>
      <c r="R13" s="191">
        <f>+D13*G13</f>
        <v>3.2</v>
      </c>
      <c r="S13" s="1042">
        <f>+C13*G13</f>
        <v>2.4</v>
      </c>
      <c r="T13" s="1042">
        <f>+C13*H13</f>
        <v>1.9319999999999999</v>
      </c>
      <c r="U13" s="168">
        <f>+C13*J13</f>
        <v>0.24</v>
      </c>
    </row>
    <row r="14" spans="2:21" x14ac:dyDescent="0.2">
      <c r="B14" s="316"/>
      <c r="C14" s="323"/>
      <c r="D14" s="323"/>
      <c r="E14" s="317"/>
      <c r="F14" s="324"/>
      <c r="G14" s="1040"/>
      <c r="H14" s="1040"/>
      <c r="I14" s="1041"/>
      <c r="J14" s="325"/>
      <c r="L14" s="326"/>
      <c r="M14" s="327"/>
      <c r="N14" s="328"/>
      <c r="Q14" s="167"/>
      <c r="R14" s="191"/>
      <c r="S14" s="1037"/>
      <c r="T14" s="1037"/>
      <c r="U14" s="187"/>
    </row>
    <row r="15" spans="2:21" ht="13.5" thickBot="1" x14ac:dyDescent="0.25">
      <c r="B15" s="329" t="s">
        <v>16</v>
      </c>
      <c r="C15" s="330">
        <f>SUM(C9:C13)</f>
        <v>1</v>
      </c>
      <c r="D15" s="330">
        <f>SUM(D9:D13)</f>
        <v>1</v>
      </c>
      <c r="E15" s="331"/>
      <c r="F15" s="332">
        <f>+Q15</f>
        <v>8.3000000000000007</v>
      </c>
      <c r="G15" s="331">
        <f>+R15</f>
        <v>6.4</v>
      </c>
      <c r="H15" s="331"/>
      <c r="I15" s="331"/>
      <c r="J15" s="333">
        <f>+U15</f>
        <v>1.06</v>
      </c>
      <c r="K15" s="171"/>
      <c r="L15" s="334">
        <f>SUM(L9:L13)</f>
        <v>-1.1278195488721819E-2</v>
      </c>
      <c r="M15" s="335">
        <f>SUM(M9:M14)</f>
        <v>5.8174904942965167E-3</v>
      </c>
      <c r="N15" s="336">
        <f>SUM(N9:N14)</f>
        <v>2.351340112652632E-2</v>
      </c>
      <c r="O15" s="158" t="s">
        <v>0</v>
      </c>
      <c r="Q15" s="363">
        <f>SUM(Q9:Q13)</f>
        <v>8.3000000000000007</v>
      </c>
      <c r="R15" s="179">
        <f>SUM(R9:R14)</f>
        <v>6.4</v>
      </c>
      <c r="S15" s="1043">
        <f>SUM(S9:S13)</f>
        <v>5.1999999999999993</v>
      </c>
      <c r="T15" s="1043">
        <f>SUM(T9:T13)</f>
        <v>5.8120000000000012</v>
      </c>
      <c r="U15" s="1044">
        <f>SUM(U9:U14)</f>
        <v>1.06</v>
      </c>
    </row>
    <row r="17" spans="3:21" ht="13.5" thickBot="1" x14ac:dyDescent="0.25">
      <c r="Q17" s="158" t="s">
        <v>0</v>
      </c>
      <c r="U17" s="185"/>
    </row>
    <row r="18" spans="3:21" ht="15.75" x14ac:dyDescent="0.25">
      <c r="L18" s="337" t="s">
        <v>507</v>
      </c>
      <c r="M18" s="366"/>
      <c r="N18" s="366"/>
      <c r="O18" s="339">
        <f>(1+F15/100)/(1+G15/100)-1</f>
        <v>1.7857142857142794E-2</v>
      </c>
    </row>
    <row r="19" spans="3:21" ht="13.5" thickBot="1" x14ac:dyDescent="0.25">
      <c r="L19" s="320"/>
      <c r="M19" s="321"/>
      <c r="N19" s="321"/>
      <c r="O19" s="367"/>
      <c r="Q19" s="158" t="s">
        <v>223</v>
      </c>
    </row>
    <row r="20" spans="3:21" x14ac:dyDescent="0.2">
      <c r="L20" s="320" t="s">
        <v>489</v>
      </c>
      <c r="M20" s="321"/>
      <c r="N20" s="321"/>
      <c r="O20" s="340">
        <f>+L15</f>
        <v>-1.1278195488721819E-2</v>
      </c>
      <c r="Q20" s="368">
        <f>+(1+S15/100)/(1+G15/100)-1</f>
        <v>-1.1278195488721776E-2</v>
      </c>
      <c r="R20" s="158" t="s">
        <v>0</v>
      </c>
    </row>
    <row r="21" spans="3:21" x14ac:dyDescent="0.2">
      <c r="D21" s="158" t="s">
        <v>0</v>
      </c>
      <c r="L21" s="320" t="s">
        <v>868</v>
      </c>
      <c r="M21" s="321"/>
      <c r="N21" s="321"/>
      <c r="O21" s="340">
        <f>+M15</f>
        <v>5.8174904942965167E-3</v>
      </c>
      <c r="Q21" s="1045">
        <f>+(1+T15/100)/(1+S15/100)-1</f>
        <v>5.8174904942964734E-3</v>
      </c>
    </row>
    <row r="22" spans="3:21" ht="13.5" thickBot="1" x14ac:dyDescent="0.25">
      <c r="L22" s="320" t="s">
        <v>866</v>
      </c>
      <c r="M22" s="321"/>
      <c r="N22" s="321"/>
      <c r="O22" s="340">
        <f>+N15</f>
        <v>2.351340112652632E-2</v>
      </c>
      <c r="Q22" s="369">
        <f>+(1+F15/100)/(1+T15/100)-1</f>
        <v>2.3513401126526334E-2</v>
      </c>
      <c r="R22" s="158" t="s">
        <v>0</v>
      </c>
    </row>
    <row r="23" spans="3:21" x14ac:dyDescent="0.2">
      <c r="C23" s="158" t="s">
        <v>0</v>
      </c>
      <c r="L23" s="320" t="s">
        <v>0</v>
      </c>
      <c r="M23" s="321"/>
      <c r="N23" s="321"/>
      <c r="O23" s="340" t="s">
        <v>0</v>
      </c>
    </row>
    <row r="24" spans="3:21" ht="13.5" thickBot="1" x14ac:dyDescent="0.25">
      <c r="L24" s="341" t="s">
        <v>524</v>
      </c>
      <c r="M24" s="342"/>
      <c r="N24" s="342"/>
      <c r="O24" s="343">
        <f>(1+O18)/((1+O20)*(1+O21)*(1+O22))-1</f>
        <v>0</v>
      </c>
    </row>
  </sheetData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364F-A914-4191-8A12-026CE23F7249}">
  <dimension ref="B2:X34"/>
  <sheetViews>
    <sheetView workbookViewId="0">
      <selection activeCell="H38" sqref="H38"/>
    </sheetView>
  </sheetViews>
  <sheetFormatPr defaultRowHeight="12.75" x14ac:dyDescent="0.2"/>
  <cols>
    <col min="1" max="1" width="9.140625" style="158"/>
    <col min="2" max="2" width="15.7109375" style="158" customWidth="1"/>
    <col min="3" max="7" width="12.7109375" style="158" customWidth="1"/>
    <col min="8" max="8" width="9.140625" style="158"/>
    <col min="9" max="10" width="9.85546875" style="158" bestFit="1" customWidth="1"/>
    <col min="11" max="14" width="9.140625" style="158"/>
    <col min="15" max="15" width="9.85546875" style="158" bestFit="1" customWidth="1"/>
    <col min="16" max="18" width="9.140625" style="158"/>
    <col min="19" max="20" width="10.7109375" style="158" customWidth="1"/>
    <col min="21" max="257" width="9.140625" style="158"/>
    <col min="258" max="258" width="15.7109375" style="158" customWidth="1"/>
    <col min="259" max="263" width="12.7109375" style="158" customWidth="1"/>
    <col min="264" max="264" width="9.140625" style="158"/>
    <col min="265" max="266" width="9.85546875" style="158" bestFit="1" customWidth="1"/>
    <col min="267" max="270" width="9.140625" style="158"/>
    <col min="271" max="271" width="9.85546875" style="158" bestFit="1" customWidth="1"/>
    <col min="272" max="274" width="9.140625" style="158"/>
    <col min="275" max="276" width="10.7109375" style="158" customWidth="1"/>
    <col min="277" max="513" width="9.140625" style="158"/>
    <col min="514" max="514" width="15.7109375" style="158" customWidth="1"/>
    <col min="515" max="519" width="12.7109375" style="158" customWidth="1"/>
    <col min="520" max="520" width="9.140625" style="158"/>
    <col min="521" max="522" width="9.85546875" style="158" bestFit="1" customWidth="1"/>
    <col min="523" max="526" width="9.140625" style="158"/>
    <col min="527" max="527" width="9.85546875" style="158" bestFit="1" customWidth="1"/>
    <col min="528" max="530" width="9.140625" style="158"/>
    <col min="531" max="532" width="10.7109375" style="158" customWidth="1"/>
    <col min="533" max="769" width="9.140625" style="158"/>
    <col min="770" max="770" width="15.7109375" style="158" customWidth="1"/>
    <col min="771" max="775" width="12.7109375" style="158" customWidth="1"/>
    <col min="776" max="776" width="9.140625" style="158"/>
    <col min="777" max="778" width="9.85546875" style="158" bestFit="1" customWidth="1"/>
    <col min="779" max="782" width="9.140625" style="158"/>
    <col min="783" max="783" width="9.85546875" style="158" bestFit="1" customWidth="1"/>
    <col min="784" max="786" width="9.140625" style="158"/>
    <col min="787" max="788" width="10.7109375" style="158" customWidth="1"/>
    <col min="789" max="1025" width="9.140625" style="158"/>
    <col min="1026" max="1026" width="15.7109375" style="158" customWidth="1"/>
    <col min="1027" max="1031" width="12.7109375" style="158" customWidth="1"/>
    <col min="1032" max="1032" width="9.140625" style="158"/>
    <col min="1033" max="1034" width="9.85546875" style="158" bestFit="1" customWidth="1"/>
    <col min="1035" max="1038" width="9.140625" style="158"/>
    <col min="1039" max="1039" width="9.85546875" style="158" bestFit="1" customWidth="1"/>
    <col min="1040" max="1042" width="9.140625" style="158"/>
    <col min="1043" max="1044" width="10.7109375" style="158" customWidth="1"/>
    <col min="1045" max="1281" width="9.140625" style="158"/>
    <col min="1282" max="1282" width="15.7109375" style="158" customWidth="1"/>
    <col min="1283" max="1287" width="12.7109375" style="158" customWidth="1"/>
    <col min="1288" max="1288" width="9.140625" style="158"/>
    <col min="1289" max="1290" width="9.85546875" style="158" bestFit="1" customWidth="1"/>
    <col min="1291" max="1294" width="9.140625" style="158"/>
    <col min="1295" max="1295" width="9.85546875" style="158" bestFit="1" customWidth="1"/>
    <col min="1296" max="1298" width="9.140625" style="158"/>
    <col min="1299" max="1300" width="10.7109375" style="158" customWidth="1"/>
    <col min="1301" max="1537" width="9.140625" style="158"/>
    <col min="1538" max="1538" width="15.7109375" style="158" customWidth="1"/>
    <col min="1539" max="1543" width="12.7109375" style="158" customWidth="1"/>
    <col min="1544" max="1544" width="9.140625" style="158"/>
    <col min="1545" max="1546" width="9.85546875" style="158" bestFit="1" customWidth="1"/>
    <col min="1547" max="1550" width="9.140625" style="158"/>
    <col min="1551" max="1551" width="9.85546875" style="158" bestFit="1" customWidth="1"/>
    <col min="1552" max="1554" width="9.140625" style="158"/>
    <col min="1555" max="1556" width="10.7109375" style="158" customWidth="1"/>
    <col min="1557" max="1793" width="9.140625" style="158"/>
    <col min="1794" max="1794" width="15.7109375" style="158" customWidth="1"/>
    <col min="1795" max="1799" width="12.7109375" style="158" customWidth="1"/>
    <col min="1800" max="1800" width="9.140625" style="158"/>
    <col min="1801" max="1802" width="9.85546875" style="158" bestFit="1" customWidth="1"/>
    <col min="1803" max="1806" width="9.140625" style="158"/>
    <col min="1807" max="1807" width="9.85546875" style="158" bestFit="1" customWidth="1"/>
    <col min="1808" max="1810" width="9.140625" style="158"/>
    <col min="1811" max="1812" width="10.7109375" style="158" customWidth="1"/>
    <col min="1813" max="2049" width="9.140625" style="158"/>
    <col min="2050" max="2050" width="15.7109375" style="158" customWidth="1"/>
    <col min="2051" max="2055" width="12.7109375" style="158" customWidth="1"/>
    <col min="2056" max="2056" width="9.140625" style="158"/>
    <col min="2057" max="2058" width="9.85546875" style="158" bestFit="1" customWidth="1"/>
    <col min="2059" max="2062" width="9.140625" style="158"/>
    <col min="2063" max="2063" width="9.85546875" style="158" bestFit="1" customWidth="1"/>
    <col min="2064" max="2066" width="9.140625" style="158"/>
    <col min="2067" max="2068" width="10.7109375" style="158" customWidth="1"/>
    <col min="2069" max="2305" width="9.140625" style="158"/>
    <col min="2306" max="2306" width="15.7109375" style="158" customWidth="1"/>
    <col min="2307" max="2311" width="12.7109375" style="158" customWidth="1"/>
    <col min="2312" max="2312" width="9.140625" style="158"/>
    <col min="2313" max="2314" width="9.85546875" style="158" bestFit="1" customWidth="1"/>
    <col min="2315" max="2318" width="9.140625" style="158"/>
    <col min="2319" max="2319" width="9.85546875" style="158" bestFit="1" customWidth="1"/>
    <col min="2320" max="2322" width="9.140625" style="158"/>
    <col min="2323" max="2324" width="10.7109375" style="158" customWidth="1"/>
    <col min="2325" max="2561" width="9.140625" style="158"/>
    <col min="2562" max="2562" width="15.7109375" style="158" customWidth="1"/>
    <col min="2563" max="2567" width="12.7109375" style="158" customWidth="1"/>
    <col min="2568" max="2568" width="9.140625" style="158"/>
    <col min="2569" max="2570" width="9.85546875" style="158" bestFit="1" customWidth="1"/>
    <col min="2571" max="2574" width="9.140625" style="158"/>
    <col min="2575" max="2575" width="9.85546875" style="158" bestFit="1" customWidth="1"/>
    <col min="2576" max="2578" width="9.140625" style="158"/>
    <col min="2579" max="2580" width="10.7109375" style="158" customWidth="1"/>
    <col min="2581" max="2817" width="9.140625" style="158"/>
    <col min="2818" max="2818" width="15.7109375" style="158" customWidth="1"/>
    <col min="2819" max="2823" width="12.7109375" style="158" customWidth="1"/>
    <col min="2824" max="2824" width="9.140625" style="158"/>
    <col min="2825" max="2826" width="9.85546875" style="158" bestFit="1" customWidth="1"/>
    <col min="2827" max="2830" width="9.140625" style="158"/>
    <col min="2831" max="2831" width="9.85546875" style="158" bestFit="1" customWidth="1"/>
    <col min="2832" max="2834" width="9.140625" style="158"/>
    <col min="2835" max="2836" width="10.7109375" style="158" customWidth="1"/>
    <col min="2837" max="3073" width="9.140625" style="158"/>
    <col min="3074" max="3074" width="15.7109375" style="158" customWidth="1"/>
    <col min="3075" max="3079" width="12.7109375" style="158" customWidth="1"/>
    <col min="3080" max="3080" width="9.140625" style="158"/>
    <col min="3081" max="3082" width="9.85546875" style="158" bestFit="1" customWidth="1"/>
    <col min="3083" max="3086" width="9.140625" style="158"/>
    <col min="3087" max="3087" width="9.85546875" style="158" bestFit="1" customWidth="1"/>
    <col min="3088" max="3090" width="9.140625" style="158"/>
    <col min="3091" max="3092" width="10.7109375" style="158" customWidth="1"/>
    <col min="3093" max="3329" width="9.140625" style="158"/>
    <col min="3330" max="3330" width="15.7109375" style="158" customWidth="1"/>
    <col min="3331" max="3335" width="12.7109375" style="158" customWidth="1"/>
    <col min="3336" max="3336" width="9.140625" style="158"/>
    <col min="3337" max="3338" width="9.85546875" style="158" bestFit="1" customWidth="1"/>
    <col min="3339" max="3342" width="9.140625" style="158"/>
    <col min="3343" max="3343" width="9.85546875" style="158" bestFit="1" customWidth="1"/>
    <col min="3344" max="3346" width="9.140625" style="158"/>
    <col min="3347" max="3348" width="10.7109375" style="158" customWidth="1"/>
    <col min="3349" max="3585" width="9.140625" style="158"/>
    <col min="3586" max="3586" width="15.7109375" style="158" customWidth="1"/>
    <col min="3587" max="3591" width="12.7109375" style="158" customWidth="1"/>
    <col min="3592" max="3592" width="9.140625" style="158"/>
    <col min="3593" max="3594" width="9.85546875" style="158" bestFit="1" customWidth="1"/>
    <col min="3595" max="3598" width="9.140625" style="158"/>
    <col min="3599" max="3599" width="9.85546875" style="158" bestFit="1" customWidth="1"/>
    <col min="3600" max="3602" width="9.140625" style="158"/>
    <col min="3603" max="3604" width="10.7109375" style="158" customWidth="1"/>
    <col min="3605" max="3841" width="9.140625" style="158"/>
    <col min="3842" max="3842" width="15.7109375" style="158" customWidth="1"/>
    <col min="3843" max="3847" width="12.7109375" style="158" customWidth="1"/>
    <col min="3848" max="3848" width="9.140625" style="158"/>
    <col min="3849" max="3850" width="9.85546875" style="158" bestFit="1" customWidth="1"/>
    <col min="3851" max="3854" width="9.140625" style="158"/>
    <col min="3855" max="3855" width="9.85546875" style="158" bestFit="1" customWidth="1"/>
    <col min="3856" max="3858" width="9.140625" style="158"/>
    <col min="3859" max="3860" width="10.7109375" style="158" customWidth="1"/>
    <col min="3861" max="4097" width="9.140625" style="158"/>
    <col min="4098" max="4098" width="15.7109375" style="158" customWidth="1"/>
    <col min="4099" max="4103" width="12.7109375" style="158" customWidth="1"/>
    <col min="4104" max="4104" width="9.140625" style="158"/>
    <col min="4105" max="4106" width="9.85546875" style="158" bestFit="1" customWidth="1"/>
    <col min="4107" max="4110" width="9.140625" style="158"/>
    <col min="4111" max="4111" width="9.85546875" style="158" bestFit="1" customWidth="1"/>
    <col min="4112" max="4114" width="9.140625" style="158"/>
    <col min="4115" max="4116" width="10.7109375" style="158" customWidth="1"/>
    <col min="4117" max="4353" width="9.140625" style="158"/>
    <col min="4354" max="4354" width="15.7109375" style="158" customWidth="1"/>
    <col min="4355" max="4359" width="12.7109375" style="158" customWidth="1"/>
    <col min="4360" max="4360" width="9.140625" style="158"/>
    <col min="4361" max="4362" width="9.85546875" style="158" bestFit="1" customWidth="1"/>
    <col min="4363" max="4366" width="9.140625" style="158"/>
    <col min="4367" max="4367" width="9.85546875" style="158" bestFit="1" customWidth="1"/>
    <col min="4368" max="4370" width="9.140625" style="158"/>
    <col min="4371" max="4372" width="10.7109375" style="158" customWidth="1"/>
    <col min="4373" max="4609" width="9.140625" style="158"/>
    <col min="4610" max="4610" width="15.7109375" style="158" customWidth="1"/>
    <col min="4611" max="4615" width="12.7109375" style="158" customWidth="1"/>
    <col min="4616" max="4616" width="9.140625" style="158"/>
    <col min="4617" max="4618" width="9.85546875" style="158" bestFit="1" customWidth="1"/>
    <col min="4619" max="4622" width="9.140625" style="158"/>
    <col min="4623" max="4623" width="9.85546875" style="158" bestFit="1" customWidth="1"/>
    <col min="4624" max="4626" width="9.140625" style="158"/>
    <col min="4627" max="4628" width="10.7109375" style="158" customWidth="1"/>
    <col min="4629" max="4865" width="9.140625" style="158"/>
    <col min="4866" max="4866" width="15.7109375" style="158" customWidth="1"/>
    <col min="4867" max="4871" width="12.7109375" style="158" customWidth="1"/>
    <col min="4872" max="4872" width="9.140625" style="158"/>
    <col min="4873" max="4874" width="9.85546875" style="158" bestFit="1" customWidth="1"/>
    <col min="4875" max="4878" width="9.140625" style="158"/>
    <col min="4879" max="4879" width="9.85546875" style="158" bestFit="1" customWidth="1"/>
    <col min="4880" max="4882" width="9.140625" style="158"/>
    <col min="4883" max="4884" width="10.7109375" style="158" customWidth="1"/>
    <col min="4885" max="5121" width="9.140625" style="158"/>
    <col min="5122" max="5122" width="15.7109375" style="158" customWidth="1"/>
    <col min="5123" max="5127" width="12.7109375" style="158" customWidth="1"/>
    <col min="5128" max="5128" width="9.140625" style="158"/>
    <col min="5129" max="5130" width="9.85546875" style="158" bestFit="1" customWidth="1"/>
    <col min="5131" max="5134" width="9.140625" style="158"/>
    <col min="5135" max="5135" width="9.85546875" style="158" bestFit="1" customWidth="1"/>
    <col min="5136" max="5138" width="9.140625" style="158"/>
    <col min="5139" max="5140" width="10.7109375" style="158" customWidth="1"/>
    <col min="5141" max="5377" width="9.140625" style="158"/>
    <col min="5378" max="5378" width="15.7109375" style="158" customWidth="1"/>
    <col min="5379" max="5383" width="12.7109375" style="158" customWidth="1"/>
    <col min="5384" max="5384" width="9.140625" style="158"/>
    <col min="5385" max="5386" width="9.85546875" style="158" bestFit="1" customWidth="1"/>
    <col min="5387" max="5390" width="9.140625" style="158"/>
    <col min="5391" max="5391" width="9.85546875" style="158" bestFit="1" customWidth="1"/>
    <col min="5392" max="5394" width="9.140625" style="158"/>
    <col min="5395" max="5396" width="10.7109375" style="158" customWidth="1"/>
    <col min="5397" max="5633" width="9.140625" style="158"/>
    <col min="5634" max="5634" width="15.7109375" style="158" customWidth="1"/>
    <col min="5635" max="5639" width="12.7109375" style="158" customWidth="1"/>
    <col min="5640" max="5640" width="9.140625" style="158"/>
    <col min="5641" max="5642" width="9.85546875" style="158" bestFit="1" customWidth="1"/>
    <col min="5643" max="5646" width="9.140625" style="158"/>
    <col min="5647" max="5647" width="9.85546875" style="158" bestFit="1" customWidth="1"/>
    <col min="5648" max="5650" width="9.140625" style="158"/>
    <col min="5651" max="5652" width="10.7109375" style="158" customWidth="1"/>
    <col min="5653" max="5889" width="9.140625" style="158"/>
    <col min="5890" max="5890" width="15.7109375" style="158" customWidth="1"/>
    <col min="5891" max="5895" width="12.7109375" style="158" customWidth="1"/>
    <col min="5896" max="5896" width="9.140625" style="158"/>
    <col min="5897" max="5898" width="9.85546875" style="158" bestFit="1" customWidth="1"/>
    <col min="5899" max="5902" width="9.140625" style="158"/>
    <col min="5903" max="5903" width="9.85546875" style="158" bestFit="1" customWidth="1"/>
    <col min="5904" max="5906" width="9.140625" style="158"/>
    <col min="5907" max="5908" width="10.7109375" style="158" customWidth="1"/>
    <col min="5909" max="6145" width="9.140625" style="158"/>
    <col min="6146" max="6146" width="15.7109375" style="158" customWidth="1"/>
    <col min="6147" max="6151" width="12.7109375" style="158" customWidth="1"/>
    <col min="6152" max="6152" width="9.140625" style="158"/>
    <col min="6153" max="6154" width="9.85546875" style="158" bestFit="1" customWidth="1"/>
    <col min="6155" max="6158" width="9.140625" style="158"/>
    <col min="6159" max="6159" width="9.85546875" style="158" bestFit="1" customWidth="1"/>
    <col min="6160" max="6162" width="9.140625" style="158"/>
    <col min="6163" max="6164" width="10.7109375" style="158" customWidth="1"/>
    <col min="6165" max="6401" width="9.140625" style="158"/>
    <col min="6402" max="6402" width="15.7109375" style="158" customWidth="1"/>
    <col min="6403" max="6407" width="12.7109375" style="158" customWidth="1"/>
    <col min="6408" max="6408" width="9.140625" style="158"/>
    <col min="6409" max="6410" width="9.85546875" style="158" bestFit="1" customWidth="1"/>
    <col min="6411" max="6414" width="9.140625" style="158"/>
    <col min="6415" max="6415" width="9.85546875" style="158" bestFit="1" customWidth="1"/>
    <col min="6416" max="6418" width="9.140625" style="158"/>
    <col min="6419" max="6420" width="10.7109375" style="158" customWidth="1"/>
    <col min="6421" max="6657" width="9.140625" style="158"/>
    <col min="6658" max="6658" width="15.7109375" style="158" customWidth="1"/>
    <col min="6659" max="6663" width="12.7109375" style="158" customWidth="1"/>
    <col min="6664" max="6664" width="9.140625" style="158"/>
    <col min="6665" max="6666" width="9.85546875" style="158" bestFit="1" customWidth="1"/>
    <col min="6667" max="6670" width="9.140625" style="158"/>
    <col min="6671" max="6671" width="9.85546875" style="158" bestFit="1" customWidth="1"/>
    <col min="6672" max="6674" width="9.140625" style="158"/>
    <col min="6675" max="6676" width="10.7109375" style="158" customWidth="1"/>
    <col min="6677" max="6913" width="9.140625" style="158"/>
    <col min="6914" max="6914" width="15.7109375" style="158" customWidth="1"/>
    <col min="6915" max="6919" width="12.7109375" style="158" customWidth="1"/>
    <col min="6920" max="6920" width="9.140625" style="158"/>
    <col min="6921" max="6922" width="9.85546875" style="158" bestFit="1" customWidth="1"/>
    <col min="6923" max="6926" width="9.140625" style="158"/>
    <col min="6927" max="6927" width="9.85546875" style="158" bestFit="1" customWidth="1"/>
    <col min="6928" max="6930" width="9.140625" style="158"/>
    <col min="6931" max="6932" width="10.7109375" style="158" customWidth="1"/>
    <col min="6933" max="7169" width="9.140625" style="158"/>
    <col min="7170" max="7170" width="15.7109375" style="158" customWidth="1"/>
    <col min="7171" max="7175" width="12.7109375" style="158" customWidth="1"/>
    <col min="7176" max="7176" width="9.140625" style="158"/>
    <col min="7177" max="7178" width="9.85546875" style="158" bestFit="1" customWidth="1"/>
    <col min="7179" max="7182" width="9.140625" style="158"/>
    <col min="7183" max="7183" width="9.85546875" style="158" bestFit="1" customWidth="1"/>
    <col min="7184" max="7186" width="9.140625" style="158"/>
    <col min="7187" max="7188" width="10.7109375" style="158" customWidth="1"/>
    <col min="7189" max="7425" width="9.140625" style="158"/>
    <col min="7426" max="7426" width="15.7109375" style="158" customWidth="1"/>
    <col min="7427" max="7431" width="12.7109375" style="158" customWidth="1"/>
    <col min="7432" max="7432" width="9.140625" style="158"/>
    <col min="7433" max="7434" width="9.85546875" style="158" bestFit="1" customWidth="1"/>
    <col min="7435" max="7438" width="9.140625" style="158"/>
    <col min="7439" max="7439" width="9.85546875" style="158" bestFit="1" customWidth="1"/>
    <col min="7440" max="7442" width="9.140625" style="158"/>
    <col min="7443" max="7444" width="10.7109375" style="158" customWidth="1"/>
    <col min="7445" max="7681" width="9.140625" style="158"/>
    <col min="7682" max="7682" width="15.7109375" style="158" customWidth="1"/>
    <col min="7683" max="7687" width="12.7109375" style="158" customWidth="1"/>
    <col min="7688" max="7688" width="9.140625" style="158"/>
    <col min="7689" max="7690" width="9.85546875" style="158" bestFit="1" customWidth="1"/>
    <col min="7691" max="7694" width="9.140625" style="158"/>
    <col min="7695" max="7695" width="9.85546875" style="158" bestFit="1" customWidth="1"/>
    <col min="7696" max="7698" width="9.140625" style="158"/>
    <col min="7699" max="7700" width="10.7109375" style="158" customWidth="1"/>
    <col min="7701" max="7937" width="9.140625" style="158"/>
    <col min="7938" max="7938" width="15.7109375" style="158" customWidth="1"/>
    <col min="7939" max="7943" width="12.7109375" style="158" customWidth="1"/>
    <col min="7944" max="7944" width="9.140625" style="158"/>
    <col min="7945" max="7946" width="9.85546875" style="158" bestFit="1" customWidth="1"/>
    <col min="7947" max="7950" width="9.140625" style="158"/>
    <col min="7951" max="7951" width="9.85546875" style="158" bestFit="1" customWidth="1"/>
    <col min="7952" max="7954" width="9.140625" style="158"/>
    <col min="7955" max="7956" width="10.7109375" style="158" customWidth="1"/>
    <col min="7957" max="8193" width="9.140625" style="158"/>
    <col min="8194" max="8194" width="15.7109375" style="158" customWidth="1"/>
    <col min="8195" max="8199" width="12.7109375" style="158" customWidth="1"/>
    <col min="8200" max="8200" width="9.140625" style="158"/>
    <col min="8201" max="8202" width="9.85546875" style="158" bestFit="1" customWidth="1"/>
    <col min="8203" max="8206" width="9.140625" style="158"/>
    <col min="8207" max="8207" width="9.85546875" style="158" bestFit="1" customWidth="1"/>
    <col min="8208" max="8210" width="9.140625" style="158"/>
    <col min="8211" max="8212" width="10.7109375" style="158" customWidth="1"/>
    <col min="8213" max="8449" width="9.140625" style="158"/>
    <col min="8450" max="8450" width="15.7109375" style="158" customWidth="1"/>
    <col min="8451" max="8455" width="12.7109375" style="158" customWidth="1"/>
    <col min="8456" max="8456" width="9.140625" style="158"/>
    <col min="8457" max="8458" width="9.85546875" style="158" bestFit="1" customWidth="1"/>
    <col min="8459" max="8462" width="9.140625" style="158"/>
    <col min="8463" max="8463" width="9.85546875" style="158" bestFit="1" customWidth="1"/>
    <col min="8464" max="8466" width="9.140625" style="158"/>
    <col min="8467" max="8468" width="10.7109375" style="158" customWidth="1"/>
    <col min="8469" max="8705" width="9.140625" style="158"/>
    <col min="8706" max="8706" width="15.7109375" style="158" customWidth="1"/>
    <col min="8707" max="8711" width="12.7109375" style="158" customWidth="1"/>
    <col min="8712" max="8712" width="9.140625" style="158"/>
    <col min="8713" max="8714" width="9.85546875" style="158" bestFit="1" customWidth="1"/>
    <col min="8715" max="8718" width="9.140625" style="158"/>
    <col min="8719" max="8719" width="9.85546875" style="158" bestFit="1" customWidth="1"/>
    <col min="8720" max="8722" width="9.140625" style="158"/>
    <col min="8723" max="8724" width="10.7109375" style="158" customWidth="1"/>
    <col min="8725" max="8961" width="9.140625" style="158"/>
    <col min="8962" max="8962" width="15.7109375" style="158" customWidth="1"/>
    <col min="8963" max="8967" width="12.7109375" style="158" customWidth="1"/>
    <col min="8968" max="8968" width="9.140625" style="158"/>
    <col min="8969" max="8970" width="9.85546875" style="158" bestFit="1" customWidth="1"/>
    <col min="8971" max="8974" width="9.140625" style="158"/>
    <col min="8975" max="8975" width="9.85546875" style="158" bestFit="1" customWidth="1"/>
    <col min="8976" max="8978" width="9.140625" style="158"/>
    <col min="8979" max="8980" width="10.7109375" style="158" customWidth="1"/>
    <col min="8981" max="9217" width="9.140625" style="158"/>
    <col min="9218" max="9218" width="15.7109375" style="158" customWidth="1"/>
    <col min="9219" max="9223" width="12.7109375" style="158" customWidth="1"/>
    <col min="9224" max="9224" width="9.140625" style="158"/>
    <col min="9225" max="9226" width="9.85546875" style="158" bestFit="1" customWidth="1"/>
    <col min="9227" max="9230" width="9.140625" style="158"/>
    <col min="9231" max="9231" width="9.85546875" style="158" bestFit="1" customWidth="1"/>
    <col min="9232" max="9234" width="9.140625" style="158"/>
    <col min="9235" max="9236" width="10.7109375" style="158" customWidth="1"/>
    <col min="9237" max="9473" width="9.140625" style="158"/>
    <col min="9474" max="9474" width="15.7109375" style="158" customWidth="1"/>
    <col min="9475" max="9479" width="12.7109375" style="158" customWidth="1"/>
    <col min="9480" max="9480" width="9.140625" style="158"/>
    <col min="9481" max="9482" width="9.85546875" style="158" bestFit="1" customWidth="1"/>
    <col min="9483" max="9486" width="9.140625" style="158"/>
    <col min="9487" max="9487" width="9.85546875" style="158" bestFit="1" customWidth="1"/>
    <col min="9488" max="9490" width="9.140625" style="158"/>
    <col min="9491" max="9492" width="10.7109375" style="158" customWidth="1"/>
    <col min="9493" max="9729" width="9.140625" style="158"/>
    <col min="9730" max="9730" width="15.7109375" style="158" customWidth="1"/>
    <col min="9731" max="9735" width="12.7109375" style="158" customWidth="1"/>
    <col min="9736" max="9736" width="9.140625" style="158"/>
    <col min="9737" max="9738" width="9.85546875" style="158" bestFit="1" customWidth="1"/>
    <col min="9739" max="9742" width="9.140625" style="158"/>
    <col min="9743" max="9743" width="9.85546875" style="158" bestFit="1" customWidth="1"/>
    <col min="9744" max="9746" width="9.140625" style="158"/>
    <col min="9747" max="9748" width="10.7109375" style="158" customWidth="1"/>
    <col min="9749" max="9985" width="9.140625" style="158"/>
    <col min="9986" max="9986" width="15.7109375" style="158" customWidth="1"/>
    <col min="9987" max="9991" width="12.7109375" style="158" customWidth="1"/>
    <col min="9992" max="9992" width="9.140625" style="158"/>
    <col min="9993" max="9994" width="9.85546875" style="158" bestFit="1" customWidth="1"/>
    <col min="9995" max="9998" width="9.140625" style="158"/>
    <col min="9999" max="9999" width="9.85546875" style="158" bestFit="1" customWidth="1"/>
    <col min="10000" max="10002" width="9.140625" style="158"/>
    <col min="10003" max="10004" width="10.7109375" style="158" customWidth="1"/>
    <col min="10005" max="10241" width="9.140625" style="158"/>
    <col min="10242" max="10242" width="15.7109375" style="158" customWidth="1"/>
    <col min="10243" max="10247" width="12.7109375" style="158" customWidth="1"/>
    <col min="10248" max="10248" width="9.140625" style="158"/>
    <col min="10249" max="10250" width="9.85546875" style="158" bestFit="1" customWidth="1"/>
    <col min="10251" max="10254" width="9.140625" style="158"/>
    <col min="10255" max="10255" width="9.85546875" style="158" bestFit="1" customWidth="1"/>
    <col min="10256" max="10258" width="9.140625" style="158"/>
    <col min="10259" max="10260" width="10.7109375" style="158" customWidth="1"/>
    <col min="10261" max="10497" width="9.140625" style="158"/>
    <col min="10498" max="10498" width="15.7109375" style="158" customWidth="1"/>
    <col min="10499" max="10503" width="12.7109375" style="158" customWidth="1"/>
    <col min="10504" max="10504" width="9.140625" style="158"/>
    <col min="10505" max="10506" width="9.85546875" style="158" bestFit="1" customWidth="1"/>
    <col min="10507" max="10510" width="9.140625" style="158"/>
    <col min="10511" max="10511" width="9.85546875" style="158" bestFit="1" customWidth="1"/>
    <col min="10512" max="10514" width="9.140625" style="158"/>
    <col min="10515" max="10516" width="10.7109375" style="158" customWidth="1"/>
    <col min="10517" max="10753" width="9.140625" style="158"/>
    <col min="10754" max="10754" width="15.7109375" style="158" customWidth="1"/>
    <col min="10755" max="10759" width="12.7109375" style="158" customWidth="1"/>
    <col min="10760" max="10760" width="9.140625" style="158"/>
    <col min="10761" max="10762" width="9.85546875" style="158" bestFit="1" customWidth="1"/>
    <col min="10763" max="10766" width="9.140625" style="158"/>
    <col min="10767" max="10767" width="9.85546875" style="158" bestFit="1" customWidth="1"/>
    <col min="10768" max="10770" width="9.140625" style="158"/>
    <col min="10771" max="10772" width="10.7109375" style="158" customWidth="1"/>
    <col min="10773" max="11009" width="9.140625" style="158"/>
    <col min="11010" max="11010" width="15.7109375" style="158" customWidth="1"/>
    <col min="11011" max="11015" width="12.7109375" style="158" customWidth="1"/>
    <col min="11016" max="11016" width="9.140625" style="158"/>
    <col min="11017" max="11018" width="9.85546875" style="158" bestFit="1" customWidth="1"/>
    <col min="11019" max="11022" width="9.140625" style="158"/>
    <col min="11023" max="11023" width="9.85546875" style="158" bestFit="1" customWidth="1"/>
    <col min="11024" max="11026" width="9.140625" style="158"/>
    <col min="11027" max="11028" width="10.7109375" style="158" customWidth="1"/>
    <col min="11029" max="11265" width="9.140625" style="158"/>
    <col min="11266" max="11266" width="15.7109375" style="158" customWidth="1"/>
    <col min="11267" max="11271" width="12.7109375" style="158" customWidth="1"/>
    <col min="11272" max="11272" width="9.140625" style="158"/>
    <col min="11273" max="11274" width="9.85546875" style="158" bestFit="1" customWidth="1"/>
    <col min="11275" max="11278" width="9.140625" style="158"/>
    <col min="11279" max="11279" width="9.85546875" style="158" bestFit="1" customWidth="1"/>
    <col min="11280" max="11282" width="9.140625" style="158"/>
    <col min="11283" max="11284" width="10.7109375" style="158" customWidth="1"/>
    <col min="11285" max="11521" width="9.140625" style="158"/>
    <col min="11522" max="11522" width="15.7109375" style="158" customWidth="1"/>
    <col min="11523" max="11527" width="12.7109375" style="158" customWidth="1"/>
    <col min="11528" max="11528" width="9.140625" style="158"/>
    <col min="11529" max="11530" width="9.85546875" style="158" bestFit="1" customWidth="1"/>
    <col min="11531" max="11534" width="9.140625" style="158"/>
    <col min="11535" max="11535" width="9.85546875" style="158" bestFit="1" customWidth="1"/>
    <col min="11536" max="11538" width="9.140625" style="158"/>
    <col min="11539" max="11540" width="10.7109375" style="158" customWidth="1"/>
    <col min="11541" max="11777" width="9.140625" style="158"/>
    <col min="11778" max="11778" width="15.7109375" style="158" customWidth="1"/>
    <col min="11779" max="11783" width="12.7109375" style="158" customWidth="1"/>
    <col min="11784" max="11784" width="9.140625" style="158"/>
    <col min="11785" max="11786" width="9.85546875" style="158" bestFit="1" customWidth="1"/>
    <col min="11787" max="11790" width="9.140625" style="158"/>
    <col min="11791" max="11791" width="9.85546875" style="158" bestFit="1" customWidth="1"/>
    <col min="11792" max="11794" width="9.140625" style="158"/>
    <col min="11795" max="11796" width="10.7109375" style="158" customWidth="1"/>
    <col min="11797" max="12033" width="9.140625" style="158"/>
    <col min="12034" max="12034" width="15.7109375" style="158" customWidth="1"/>
    <col min="12035" max="12039" width="12.7109375" style="158" customWidth="1"/>
    <col min="12040" max="12040" width="9.140625" style="158"/>
    <col min="12041" max="12042" width="9.85546875" style="158" bestFit="1" customWidth="1"/>
    <col min="12043" max="12046" width="9.140625" style="158"/>
    <col min="12047" max="12047" width="9.85546875" style="158" bestFit="1" customWidth="1"/>
    <col min="12048" max="12050" width="9.140625" style="158"/>
    <col min="12051" max="12052" width="10.7109375" style="158" customWidth="1"/>
    <col min="12053" max="12289" width="9.140625" style="158"/>
    <col min="12290" max="12290" width="15.7109375" style="158" customWidth="1"/>
    <col min="12291" max="12295" width="12.7109375" style="158" customWidth="1"/>
    <col min="12296" max="12296" width="9.140625" style="158"/>
    <col min="12297" max="12298" width="9.85546875" style="158" bestFit="1" customWidth="1"/>
    <col min="12299" max="12302" width="9.140625" style="158"/>
    <col min="12303" max="12303" width="9.85546875" style="158" bestFit="1" customWidth="1"/>
    <col min="12304" max="12306" width="9.140625" style="158"/>
    <col min="12307" max="12308" width="10.7109375" style="158" customWidth="1"/>
    <col min="12309" max="12545" width="9.140625" style="158"/>
    <col min="12546" max="12546" width="15.7109375" style="158" customWidth="1"/>
    <col min="12547" max="12551" width="12.7109375" style="158" customWidth="1"/>
    <col min="12552" max="12552" width="9.140625" style="158"/>
    <col min="12553" max="12554" width="9.85546875" style="158" bestFit="1" customWidth="1"/>
    <col min="12555" max="12558" width="9.140625" style="158"/>
    <col min="12559" max="12559" width="9.85546875" style="158" bestFit="1" customWidth="1"/>
    <col min="12560" max="12562" width="9.140625" style="158"/>
    <col min="12563" max="12564" width="10.7109375" style="158" customWidth="1"/>
    <col min="12565" max="12801" width="9.140625" style="158"/>
    <col min="12802" max="12802" width="15.7109375" style="158" customWidth="1"/>
    <col min="12803" max="12807" width="12.7109375" style="158" customWidth="1"/>
    <col min="12808" max="12808" width="9.140625" style="158"/>
    <col min="12809" max="12810" width="9.85546875" style="158" bestFit="1" customWidth="1"/>
    <col min="12811" max="12814" width="9.140625" style="158"/>
    <col min="12815" max="12815" width="9.85546875" style="158" bestFit="1" customWidth="1"/>
    <col min="12816" max="12818" width="9.140625" style="158"/>
    <col min="12819" max="12820" width="10.7109375" style="158" customWidth="1"/>
    <col min="12821" max="13057" width="9.140625" style="158"/>
    <col min="13058" max="13058" width="15.7109375" style="158" customWidth="1"/>
    <col min="13059" max="13063" width="12.7109375" style="158" customWidth="1"/>
    <col min="13064" max="13064" width="9.140625" style="158"/>
    <col min="13065" max="13066" width="9.85546875" style="158" bestFit="1" customWidth="1"/>
    <col min="13067" max="13070" width="9.140625" style="158"/>
    <col min="13071" max="13071" width="9.85546875" style="158" bestFit="1" customWidth="1"/>
    <col min="13072" max="13074" width="9.140625" style="158"/>
    <col min="13075" max="13076" width="10.7109375" style="158" customWidth="1"/>
    <col min="13077" max="13313" width="9.140625" style="158"/>
    <col min="13314" max="13314" width="15.7109375" style="158" customWidth="1"/>
    <col min="13315" max="13319" width="12.7109375" style="158" customWidth="1"/>
    <col min="13320" max="13320" width="9.140625" style="158"/>
    <col min="13321" max="13322" width="9.85546875" style="158" bestFit="1" customWidth="1"/>
    <col min="13323" max="13326" width="9.140625" style="158"/>
    <col min="13327" max="13327" width="9.85546875" style="158" bestFit="1" customWidth="1"/>
    <col min="13328" max="13330" width="9.140625" style="158"/>
    <col min="13331" max="13332" width="10.7109375" style="158" customWidth="1"/>
    <col min="13333" max="13569" width="9.140625" style="158"/>
    <col min="13570" max="13570" width="15.7109375" style="158" customWidth="1"/>
    <col min="13571" max="13575" width="12.7109375" style="158" customWidth="1"/>
    <col min="13576" max="13576" width="9.140625" style="158"/>
    <col min="13577" max="13578" width="9.85546875" style="158" bestFit="1" customWidth="1"/>
    <col min="13579" max="13582" width="9.140625" style="158"/>
    <col min="13583" max="13583" width="9.85546875" style="158" bestFit="1" customWidth="1"/>
    <col min="13584" max="13586" width="9.140625" style="158"/>
    <col min="13587" max="13588" width="10.7109375" style="158" customWidth="1"/>
    <col min="13589" max="13825" width="9.140625" style="158"/>
    <col min="13826" max="13826" width="15.7109375" style="158" customWidth="1"/>
    <col min="13827" max="13831" width="12.7109375" style="158" customWidth="1"/>
    <col min="13832" max="13832" width="9.140625" style="158"/>
    <col min="13833" max="13834" width="9.85546875" style="158" bestFit="1" customWidth="1"/>
    <col min="13835" max="13838" width="9.140625" style="158"/>
    <col min="13839" max="13839" width="9.85546875" style="158" bestFit="1" customWidth="1"/>
    <col min="13840" max="13842" width="9.140625" style="158"/>
    <col min="13843" max="13844" width="10.7109375" style="158" customWidth="1"/>
    <col min="13845" max="14081" width="9.140625" style="158"/>
    <col min="14082" max="14082" width="15.7109375" style="158" customWidth="1"/>
    <col min="14083" max="14087" width="12.7109375" style="158" customWidth="1"/>
    <col min="14088" max="14088" width="9.140625" style="158"/>
    <col min="14089" max="14090" width="9.85546875" style="158" bestFit="1" customWidth="1"/>
    <col min="14091" max="14094" width="9.140625" style="158"/>
    <col min="14095" max="14095" width="9.85546875" style="158" bestFit="1" customWidth="1"/>
    <col min="14096" max="14098" width="9.140625" style="158"/>
    <col min="14099" max="14100" width="10.7109375" style="158" customWidth="1"/>
    <col min="14101" max="14337" width="9.140625" style="158"/>
    <col min="14338" max="14338" width="15.7109375" style="158" customWidth="1"/>
    <col min="14339" max="14343" width="12.7109375" style="158" customWidth="1"/>
    <col min="14344" max="14344" width="9.140625" style="158"/>
    <col min="14345" max="14346" width="9.85546875" style="158" bestFit="1" customWidth="1"/>
    <col min="14347" max="14350" width="9.140625" style="158"/>
    <col min="14351" max="14351" width="9.85546875" style="158" bestFit="1" customWidth="1"/>
    <col min="14352" max="14354" width="9.140625" style="158"/>
    <col min="14355" max="14356" width="10.7109375" style="158" customWidth="1"/>
    <col min="14357" max="14593" width="9.140625" style="158"/>
    <col min="14594" max="14594" width="15.7109375" style="158" customWidth="1"/>
    <col min="14595" max="14599" width="12.7109375" style="158" customWidth="1"/>
    <col min="14600" max="14600" width="9.140625" style="158"/>
    <col min="14601" max="14602" width="9.85546875" style="158" bestFit="1" customWidth="1"/>
    <col min="14603" max="14606" width="9.140625" style="158"/>
    <col min="14607" max="14607" width="9.85546875" style="158" bestFit="1" customWidth="1"/>
    <col min="14608" max="14610" width="9.140625" style="158"/>
    <col min="14611" max="14612" width="10.7109375" style="158" customWidth="1"/>
    <col min="14613" max="14849" width="9.140625" style="158"/>
    <col min="14850" max="14850" width="15.7109375" style="158" customWidth="1"/>
    <col min="14851" max="14855" width="12.7109375" style="158" customWidth="1"/>
    <col min="14856" max="14856" width="9.140625" style="158"/>
    <col min="14857" max="14858" width="9.85546875" style="158" bestFit="1" customWidth="1"/>
    <col min="14859" max="14862" width="9.140625" style="158"/>
    <col min="14863" max="14863" width="9.85546875" style="158" bestFit="1" customWidth="1"/>
    <col min="14864" max="14866" width="9.140625" style="158"/>
    <col min="14867" max="14868" width="10.7109375" style="158" customWidth="1"/>
    <col min="14869" max="15105" width="9.140625" style="158"/>
    <col min="15106" max="15106" width="15.7109375" style="158" customWidth="1"/>
    <col min="15107" max="15111" width="12.7109375" style="158" customWidth="1"/>
    <col min="15112" max="15112" width="9.140625" style="158"/>
    <col min="15113" max="15114" width="9.85546875" style="158" bestFit="1" customWidth="1"/>
    <col min="15115" max="15118" width="9.140625" style="158"/>
    <col min="15119" max="15119" width="9.85546875" style="158" bestFit="1" customWidth="1"/>
    <col min="15120" max="15122" width="9.140625" style="158"/>
    <col min="15123" max="15124" width="10.7109375" style="158" customWidth="1"/>
    <col min="15125" max="15361" width="9.140625" style="158"/>
    <col min="15362" max="15362" width="15.7109375" style="158" customWidth="1"/>
    <col min="15363" max="15367" width="12.7109375" style="158" customWidth="1"/>
    <col min="15368" max="15368" width="9.140625" style="158"/>
    <col min="15369" max="15370" width="9.85546875" style="158" bestFit="1" customWidth="1"/>
    <col min="15371" max="15374" width="9.140625" style="158"/>
    <col min="15375" max="15375" width="9.85546875" style="158" bestFit="1" customWidth="1"/>
    <col min="15376" max="15378" width="9.140625" style="158"/>
    <col min="15379" max="15380" width="10.7109375" style="158" customWidth="1"/>
    <col min="15381" max="15617" width="9.140625" style="158"/>
    <col min="15618" max="15618" width="15.7109375" style="158" customWidth="1"/>
    <col min="15619" max="15623" width="12.7109375" style="158" customWidth="1"/>
    <col min="15624" max="15624" width="9.140625" style="158"/>
    <col min="15625" max="15626" width="9.85546875" style="158" bestFit="1" customWidth="1"/>
    <col min="15627" max="15630" width="9.140625" style="158"/>
    <col min="15631" max="15631" width="9.85546875" style="158" bestFit="1" customWidth="1"/>
    <col min="15632" max="15634" width="9.140625" style="158"/>
    <col min="15635" max="15636" width="10.7109375" style="158" customWidth="1"/>
    <col min="15637" max="15873" width="9.140625" style="158"/>
    <col min="15874" max="15874" width="15.7109375" style="158" customWidth="1"/>
    <col min="15875" max="15879" width="12.7109375" style="158" customWidth="1"/>
    <col min="15880" max="15880" width="9.140625" style="158"/>
    <col min="15881" max="15882" width="9.85546875" style="158" bestFit="1" customWidth="1"/>
    <col min="15883" max="15886" width="9.140625" style="158"/>
    <col min="15887" max="15887" width="9.85546875" style="158" bestFit="1" customWidth="1"/>
    <col min="15888" max="15890" width="9.140625" style="158"/>
    <col min="15891" max="15892" width="10.7109375" style="158" customWidth="1"/>
    <col min="15893" max="16129" width="9.140625" style="158"/>
    <col min="16130" max="16130" width="15.7109375" style="158" customWidth="1"/>
    <col min="16131" max="16135" width="12.7109375" style="158" customWidth="1"/>
    <col min="16136" max="16136" width="9.140625" style="158"/>
    <col min="16137" max="16138" width="9.85546875" style="158" bestFit="1" customWidth="1"/>
    <col min="16139" max="16142" width="9.140625" style="158"/>
    <col min="16143" max="16143" width="9.85546875" style="158" bestFit="1" customWidth="1"/>
    <col min="16144" max="16146" width="9.140625" style="158"/>
    <col min="16147" max="16148" width="10.7109375" style="158" customWidth="1"/>
    <col min="16149" max="16384" width="9.140625" style="158"/>
  </cols>
  <sheetData>
    <row r="2" spans="2:24" ht="20.25" x14ac:dyDescent="0.3">
      <c r="B2" s="164" t="s">
        <v>900</v>
      </c>
    </row>
    <row r="5" spans="2:24" ht="36" x14ac:dyDescent="0.2">
      <c r="B5" s="1046"/>
      <c r="C5" s="1046"/>
      <c r="D5" s="1047" t="s">
        <v>875</v>
      </c>
      <c r="E5" s="1048" t="s">
        <v>876</v>
      </c>
      <c r="F5" s="1047" t="s">
        <v>877</v>
      </c>
      <c r="G5" s="1048" t="s">
        <v>878</v>
      </c>
      <c r="H5" s="1049"/>
      <c r="I5" s="1047" t="s">
        <v>879</v>
      </c>
      <c r="J5" s="1050" t="s">
        <v>880</v>
      </c>
      <c r="K5" s="1050" t="s">
        <v>881</v>
      </c>
      <c r="L5" s="1048" t="s">
        <v>484</v>
      </c>
      <c r="M5" s="1051"/>
      <c r="O5" s="1052" t="s">
        <v>882</v>
      </c>
      <c r="P5" s="1053" t="s">
        <v>883</v>
      </c>
      <c r="Q5" s="1054" t="s">
        <v>884</v>
      </c>
      <c r="S5" s="1055" t="s">
        <v>885</v>
      </c>
      <c r="T5" s="1056" t="s">
        <v>886</v>
      </c>
      <c r="U5" s="185"/>
      <c r="V5" s="185"/>
      <c r="W5" s="185"/>
      <c r="X5" s="185"/>
    </row>
    <row r="6" spans="2:24" x14ac:dyDescent="0.2">
      <c r="B6" s="1057" t="s">
        <v>887</v>
      </c>
      <c r="C6" s="1058" t="s">
        <v>888</v>
      </c>
      <c r="D6" s="1059">
        <f>+D8+D12</f>
        <v>0.58499999999999996</v>
      </c>
      <c r="E6" s="1060">
        <f>+E8+E12</f>
        <v>0.55000000000000004</v>
      </c>
      <c r="F6" s="1061">
        <f>+S6</f>
        <v>8.4916666666666682E-2</v>
      </c>
      <c r="G6" s="1062">
        <f>+T6</f>
        <v>8.9536363636363636E-2</v>
      </c>
      <c r="H6" s="1049"/>
      <c r="I6" s="1063">
        <f>(D6-E6)*((1+G6)/(1+G$22)-1)</f>
        <v>1.0690026694595077E-3</v>
      </c>
      <c r="J6" s="1064">
        <f>+J8+J12</f>
        <v>-5.7438685043525279E-4</v>
      </c>
      <c r="K6" s="1064">
        <f>+K8+K12</f>
        <v>-2.2705109065686881E-3</v>
      </c>
      <c r="L6" s="1064">
        <f>+L8+L12</f>
        <v>2.9368165571144397E-4</v>
      </c>
      <c r="O6" s="1063">
        <f>+D6*G6</f>
        <v>5.2378772727272725E-2</v>
      </c>
      <c r="P6" s="327"/>
      <c r="Q6" s="1065"/>
      <c r="S6" s="1066">
        <f>+(S9+S10+S13+S14)/D6</f>
        <v>8.4916666666666682E-2</v>
      </c>
      <c r="T6" s="1067">
        <f>+(T9+T10+T13+T14)/E6</f>
        <v>8.9536363636363636E-2</v>
      </c>
      <c r="U6" s="185"/>
      <c r="V6" s="185"/>
      <c r="W6" s="185"/>
      <c r="X6" s="185"/>
    </row>
    <row r="7" spans="2:24" x14ac:dyDescent="0.2">
      <c r="B7" s="1068"/>
      <c r="C7" s="1069"/>
      <c r="D7" s="1059"/>
      <c r="E7" s="1060"/>
      <c r="F7" s="1070"/>
      <c r="G7" s="1071"/>
      <c r="H7" s="1049"/>
      <c r="I7" s="1063"/>
      <c r="J7" s="1064"/>
      <c r="K7" s="1064"/>
      <c r="L7" s="1072"/>
      <c r="O7" s="1063"/>
      <c r="P7" s="327"/>
      <c r="Q7" s="1065"/>
      <c r="S7" s="1066"/>
      <c r="T7" s="1067"/>
      <c r="U7" s="185"/>
      <c r="V7" s="185"/>
      <c r="W7" s="185"/>
      <c r="X7" s="185"/>
    </row>
    <row r="8" spans="2:24" x14ac:dyDescent="0.2">
      <c r="B8" s="1073" t="s">
        <v>889</v>
      </c>
      <c r="C8" s="1074" t="s">
        <v>890</v>
      </c>
      <c r="D8" s="1075">
        <f>+D9+D10</f>
        <v>0.19</v>
      </c>
      <c r="E8" s="1076">
        <f>+E9+E10</f>
        <v>0.15000000000000002</v>
      </c>
      <c r="F8" s="1077">
        <f>+S8</f>
        <v>5.3552631578947366E-2</v>
      </c>
      <c r="G8" s="1078">
        <f>+T8</f>
        <v>7.4999999999999997E-2</v>
      </c>
      <c r="H8" s="1049"/>
      <c r="I8" s="1079"/>
      <c r="J8" s="1080">
        <f>(D8-E8)*((1+G8)/(1+$G$6)-1)*((1+G$6)/(1+$O$22))</f>
        <v>-5.4866803623665917E-4</v>
      </c>
      <c r="K8" s="1080">
        <f>+K9+K10</f>
        <v>1.0908369050666789E-3</v>
      </c>
      <c r="L8" s="1081">
        <f>+L9+L10</f>
        <v>-4.9507012389058899E-3</v>
      </c>
      <c r="M8" s="1082"/>
      <c r="O8" s="1083"/>
      <c r="P8" s="1080">
        <f>+D8*G8</f>
        <v>1.4249999999999999E-2</v>
      </c>
      <c r="Q8" s="1084"/>
      <c r="S8" s="1066">
        <f>+(S9+S10)/D8</f>
        <v>5.3552631578947366E-2</v>
      </c>
      <c r="T8" s="1067">
        <f>+(T9+T10)/E8</f>
        <v>7.4999999999999997E-2</v>
      </c>
      <c r="U8" s="185"/>
      <c r="V8" s="185"/>
      <c r="W8" s="185"/>
      <c r="X8" s="185"/>
    </row>
    <row r="9" spans="2:24" x14ac:dyDescent="0.2">
      <c r="B9" s="1085" t="s">
        <v>891</v>
      </c>
      <c r="C9" s="1086" t="s">
        <v>562</v>
      </c>
      <c r="D9" s="1087">
        <v>0.1</v>
      </c>
      <c r="E9" s="1088">
        <v>0.05</v>
      </c>
      <c r="F9" s="1089">
        <v>8.3750000000000005E-2</v>
      </c>
      <c r="G9" s="1090">
        <v>9.6000000000000002E-2</v>
      </c>
      <c r="H9" s="1049"/>
      <c r="I9" s="1091"/>
      <c r="J9" s="1092"/>
      <c r="K9" s="1093">
        <f>(D9-E9)*((1+G9)/(1+$G$8)-1)*((1+$G$8)/(1+$P$22))</f>
        <v>9.9166991369698172E-4</v>
      </c>
      <c r="L9" s="1094">
        <f>+D9*((1+F9)/(1+G9)-1)*(1+G9)/(1+Q$22)</f>
        <v>-1.1595810741223266E-3</v>
      </c>
      <c r="M9" s="1082"/>
      <c r="O9" s="1095"/>
      <c r="P9" s="1096"/>
      <c r="Q9" s="1094">
        <f>+D9*G9</f>
        <v>9.6000000000000009E-3</v>
      </c>
      <c r="S9" s="1066">
        <f>+D9*F9</f>
        <v>8.3750000000000005E-3</v>
      </c>
      <c r="T9" s="1067">
        <f>+E9*G9</f>
        <v>4.8000000000000004E-3</v>
      </c>
      <c r="U9" s="185"/>
      <c r="V9" s="185"/>
      <c r="W9" s="185"/>
      <c r="X9" s="185"/>
    </row>
    <row r="10" spans="2:24" x14ac:dyDescent="0.2">
      <c r="B10" s="1085" t="s">
        <v>891</v>
      </c>
      <c r="C10" s="1086" t="s">
        <v>892</v>
      </c>
      <c r="D10" s="1087">
        <v>0.09</v>
      </c>
      <c r="E10" s="1088">
        <v>0.1</v>
      </c>
      <c r="F10" s="1089">
        <v>0.02</v>
      </c>
      <c r="G10" s="1090">
        <v>6.4500000000000002E-2</v>
      </c>
      <c r="H10" s="1049"/>
      <c r="I10" s="1091"/>
      <c r="J10" s="1092"/>
      <c r="K10" s="1093">
        <f>(D10-E10)*((1+G10)/(1+$G$8)-1)*((1+$G$8)/(1+$P$22))</f>
        <v>9.9166991369697128E-5</v>
      </c>
      <c r="L10" s="1094">
        <f>+D10*((1+F10)/(1+G10)-1)*(1+G10)/(1+Q$22)</f>
        <v>-3.7911201647835634E-3</v>
      </c>
      <c r="M10" s="1082"/>
      <c r="O10" s="1095"/>
      <c r="P10" s="1096"/>
      <c r="Q10" s="1094">
        <f>+D10*G10</f>
        <v>5.8050000000000003E-3</v>
      </c>
      <c r="S10" s="1066">
        <f>+D10*F10</f>
        <v>1.8E-3</v>
      </c>
      <c r="T10" s="1067">
        <f>+E10*G10</f>
        <v>6.4500000000000009E-3</v>
      </c>
      <c r="U10" s="185"/>
      <c r="V10" s="185"/>
      <c r="W10" s="185"/>
      <c r="X10" s="185"/>
    </row>
    <row r="11" spans="2:24" x14ac:dyDescent="0.2">
      <c r="B11" s="1085"/>
      <c r="C11" s="1086"/>
      <c r="D11" s="1087"/>
      <c r="E11" s="1088"/>
      <c r="F11" s="1089"/>
      <c r="G11" s="1090"/>
      <c r="H11" s="1049"/>
      <c r="I11" s="1091"/>
      <c r="J11" s="1092"/>
      <c r="K11" s="1093"/>
      <c r="L11" s="1094"/>
      <c r="M11" s="1082"/>
      <c r="O11" s="1095"/>
      <c r="P11" s="1096"/>
      <c r="Q11" s="1094"/>
      <c r="S11" s="1066"/>
      <c r="T11" s="1067"/>
      <c r="U11" s="185"/>
      <c r="V11" s="185"/>
      <c r="W11" s="185"/>
      <c r="X11" s="185"/>
    </row>
    <row r="12" spans="2:24" x14ac:dyDescent="0.2">
      <c r="B12" s="1073" t="s">
        <v>889</v>
      </c>
      <c r="C12" s="1074" t="s">
        <v>893</v>
      </c>
      <c r="D12" s="1075">
        <f>+D13+D14</f>
        <v>0.39500000000000002</v>
      </c>
      <c r="E12" s="1076">
        <f>+E13+E14</f>
        <v>0.4</v>
      </c>
      <c r="F12" s="1077">
        <f>+S12</f>
        <v>0.10000316455696202</v>
      </c>
      <c r="G12" s="1078">
        <f>+T12</f>
        <v>9.4987500000000002E-2</v>
      </c>
      <c r="H12" s="1049"/>
      <c r="I12" s="1079"/>
      <c r="J12" s="1080">
        <f>(D12-E12)*((1+G12)/(1+$G$6)-1)*((1+G$6)/(1+$O$22))</f>
        <v>-2.5718814198593576E-5</v>
      </c>
      <c r="K12" s="1080">
        <f>+K13+K14</f>
        <v>-3.3613478116353672E-3</v>
      </c>
      <c r="L12" s="1081">
        <f>+L13+L14</f>
        <v>5.2443828946173339E-3</v>
      </c>
      <c r="M12" s="1082"/>
      <c r="O12" s="1083"/>
      <c r="P12" s="1080">
        <f>+D12*G12</f>
        <v>3.75200625E-2</v>
      </c>
      <c r="Q12" s="1084"/>
      <c r="S12" s="1066">
        <f>+(S13+S14)/D12</f>
        <v>0.10000316455696202</v>
      </c>
      <c r="T12" s="1067">
        <f>+(T13+T14)/E12</f>
        <v>9.4987500000000002E-2</v>
      </c>
      <c r="U12" s="185"/>
      <c r="V12" s="185"/>
      <c r="W12" s="185"/>
      <c r="X12" s="185"/>
    </row>
    <row r="13" spans="2:24" x14ac:dyDescent="0.2">
      <c r="B13" s="1085" t="s">
        <v>891</v>
      </c>
      <c r="C13" s="1086" t="s">
        <v>894</v>
      </c>
      <c r="D13" s="1087">
        <v>0.22500000000000001</v>
      </c>
      <c r="E13" s="1088">
        <v>0.25</v>
      </c>
      <c r="F13" s="1089">
        <v>0.16045000000000001</v>
      </c>
      <c r="G13" s="1090">
        <v>0.156</v>
      </c>
      <c r="H13" s="1049"/>
      <c r="I13" s="1091"/>
      <c r="J13" s="1092"/>
      <c r="K13" s="1093">
        <f>(D13-E13)*((1+G13)/(1+G$12)-1)*((1+G$12)/(1+P$22))</f>
        <v>-1.4405776335580107E-3</v>
      </c>
      <c r="L13" s="1094">
        <f>+D13*((1+F13)/(1+G13)-1)*(1+G13)/(1+Q$22)</f>
        <v>9.4778004119593084E-4</v>
      </c>
      <c r="M13" s="1082"/>
      <c r="O13" s="1095"/>
      <c r="P13" s="1096"/>
      <c r="Q13" s="1094">
        <f>+D13*G13</f>
        <v>3.5099999999999999E-2</v>
      </c>
      <c r="S13" s="1066">
        <f>+D13*F13</f>
        <v>3.6101250000000001E-2</v>
      </c>
      <c r="T13" s="1067">
        <f>+E13*G13</f>
        <v>3.9E-2</v>
      </c>
      <c r="U13" s="185"/>
      <c r="V13" s="185"/>
      <c r="W13" s="185"/>
      <c r="X13" s="185"/>
    </row>
    <row r="14" spans="2:24" x14ac:dyDescent="0.2">
      <c r="B14" s="1085" t="s">
        <v>891</v>
      </c>
      <c r="C14" s="1086" t="s">
        <v>892</v>
      </c>
      <c r="D14" s="1087">
        <v>0.17</v>
      </c>
      <c r="E14" s="1088">
        <v>0.15</v>
      </c>
      <c r="F14" s="1089">
        <v>0.02</v>
      </c>
      <c r="G14" s="1090">
        <v>-6.7000000000000002E-3</v>
      </c>
      <c r="H14" s="1049"/>
      <c r="I14" s="1091"/>
      <c r="J14" s="1092"/>
      <c r="K14" s="1093">
        <f>(D14-E14)*((1+G14)/(1+G$12)-1)*((1+G$12)/(1+P$22))</f>
        <v>-1.9207701780773567E-3</v>
      </c>
      <c r="L14" s="1094">
        <f>+D14*((1+F14)/(1+G14)-1)*(1+G14)/(1+Q$22)</f>
        <v>4.2966028534214031E-3</v>
      </c>
      <c r="M14" s="1082"/>
      <c r="O14" s="1095"/>
      <c r="P14" s="1096"/>
      <c r="Q14" s="1094">
        <f>+D14*G14</f>
        <v>-1.139E-3</v>
      </c>
      <c r="S14" s="1066">
        <f>+D14*F14</f>
        <v>3.4000000000000002E-3</v>
      </c>
      <c r="T14" s="1067">
        <f>+E14*G14</f>
        <v>-1.005E-3</v>
      </c>
      <c r="U14" s="185"/>
      <c r="V14" s="185"/>
      <c r="W14" s="185"/>
      <c r="X14" s="185"/>
    </row>
    <row r="15" spans="2:24" x14ac:dyDescent="0.2">
      <c r="B15" s="1085"/>
      <c r="C15" s="1086"/>
      <c r="D15" s="1087"/>
      <c r="E15" s="1088"/>
      <c r="F15" s="1089"/>
      <c r="G15" s="1090"/>
      <c r="H15" s="1049"/>
      <c r="I15" s="1091"/>
      <c r="J15" s="1092"/>
      <c r="K15" s="1093"/>
      <c r="L15" s="1094"/>
      <c r="M15" s="1082"/>
      <c r="O15" s="1095"/>
      <c r="P15" s="1096"/>
      <c r="Q15" s="1094"/>
      <c r="S15" s="1066"/>
      <c r="T15" s="1067"/>
      <c r="U15" s="185"/>
      <c r="V15" s="185"/>
      <c r="W15" s="185"/>
      <c r="X15" s="185"/>
    </row>
    <row r="16" spans="2:24" x14ac:dyDescent="0.2">
      <c r="B16" s="1068" t="s">
        <v>887</v>
      </c>
      <c r="C16" s="1069" t="s">
        <v>895</v>
      </c>
      <c r="D16" s="1059">
        <f>+D18+D20</f>
        <v>0.41499999999999998</v>
      </c>
      <c r="E16" s="1060">
        <f>+E18+E20</f>
        <v>0.44999999999999996</v>
      </c>
      <c r="F16" s="1070">
        <f>+S16</f>
        <v>2.3493975903614458E-2</v>
      </c>
      <c r="G16" s="1071">
        <f>+T16</f>
        <v>1.7777777777777781E-2</v>
      </c>
      <c r="H16" s="1049"/>
      <c r="I16" s="1063">
        <f>(D16-E16)*((1+G16)/(1+G$22)-1)</f>
        <v>1.3065588182282952E-3</v>
      </c>
      <c r="J16" s="1064">
        <f>SUM(J18:J20)</f>
        <v>-3.0929535431658227E-4</v>
      </c>
      <c r="K16" s="1064"/>
      <c r="L16" s="1064">
        <f>+L18+L20</f>
        <v>2.5558113470451E-3</v>
      </c>
      <c r="O16" s="1063">
        <f>+D16*G16</f>
        <v>7.3777777777777791E-3</v>
      </c>
      <c r="P16" s="327"/>
      <c r="Q16" s="1065"/>
      <c r="S16" s="1066">
        <f>+(S18+S20)/D16</f>
        <v>2.3493975903614458E-2</v>
      </c>
      <c r="T16" s="1067">
        <f>+(T18+T20)/E16</f>
        <v>1.7777777777777781E-2</v>
      </c>
      <c r="U16" s="185"/>
      <c r="V16" s="185"/>
      <c r="W16" s="185"/>
      <c r="X16" s="185"/>
    </row>
    <row r="17" spans="2:24" x14ac:dyDescent="0.2">
      <c r="B17" s="1068"/>
      <c r="C17" s="1069"/>
      <c r="D17" s="1059"/>
      <c r="E17" s="1060"/>
      <c r="F17" s="1070"/>
      <c r="G17" s="1071"/>
      <c r="H17" s="1049"/>
      <c r="I17" s="1063"/>
      <c r="J17" s="1064"/>
      <c r="K17" s="1064"/>
      <c r="L17" s="1072"/>
      <c r="O17" s="1063"/>
      <c r="P17" s="327"/>
      <c r="Q17" s="1065"/>
      <c r="S17" s="1066"/>
      <c r="T17" s="1067"/>
      <c r="U17" s="185"/>
      <c r="V17" s="185"/>
      <c r="W17" s="185"/>
      <c r="X17" s="185"/>
    </row>
    <row r="18" spans="2:24" x14ac:dyDescent="0.2">
      <c r="B18" s="1073" t="s">
        <v>889</v>
      </c>
      <c r="C18" s="1074" t="s">
        <v>896</v>
      </c>
      <c r="D18" s="1075">
        <v>0.125</v>
      </c>
      <c r="E18" s="1076">
        <v>0.1</v>
      </c>
      <c r="F18" s="1097">
        <v>0.02</v>
      </c>
      <c r="G18" s="1098">
        <v>0.01</v>
      </c>
      <c r="H18" s="1049"/>
      <c r="I18" s="1079"/>
      <c r="J18" s="1080">
        <f>(D18-E18)*((1+G18)/(1+$G$16)-1)*((1+G$16)/(1+$O$22))</f>
        <v>-1.8348029493356902E-4</v>
      </c>
      <c r="K18" s="1080"/>
      <c r="L18" s="1099">
        <f>+D18*((1+F18)/(1+G18)-1)*(1+G18)/(1+Q$22)</f>
        <v>1.1832459940023638E-3</v>
      </c>
      <c r="M18" s="1082"/>
      <c r="O18" s="1095"/>
      <c r="P18" s="1080">
        <f>+D18*G18</f>
        <v>1.25E-3</v>
      </c>
      <c r="Q18" s="1094">
        <f>+D18*G18</f>
        <v>1.25E-3</v>
      </c>
      <c r="S18" s="1066">
        <f>+D18*F18</f>
        <v>2.5000000000000001E-3</v>
      </c>
      <c r="T18" s="1067">
        <f>+E18*G18</f>
        <v>1E-3</v>
      </c>
      <c r="U18" s="185"/>
      <c r="V18" s="185"/>
      <c r="W18" s="185"/>
      <c r="X18" s="185"/>
    </row>
    <row r="19" spans="2:24" x14ac:dyDescent="0.2">
      <c r="B19" s="1073"/>
      <c r="C19" s="1074"/>
      <c r="D19" s="1075"/>
      <c r="E19" s="1076"/>
      <c r="F19" s="1097"/>
      <c r="G19" s="1098"/>
      <c r="H19" s="1049"/>
      <c r="I19" s="1079"/>
      <c r="J19" s="1080"/>
      <c r="K19" s="1080"/>
      <c r="L19" s="1099"/>
      <c r="M19" s="1082"/>
      <c r="O19" s="1095"/>
      <c r="P19" s="1080"/>
      <c r="Q19" s="1094"/>
      <c r="S19" s="1066"/>
      <c r="T19" s="1067"/>
      <c r="U19" s="185"/>
      <c r="V19" s="185"/>
      <c r="W19" s="185"/>
      <c r="X19" s="185"/>
    </row>
    <row r="20" spans="2:24" x14ac:dyDescent="0.2">
      <c r="B20" s="1073" t="s">
        <v>889</v>
      </c>
      <c r="C20" s="1074" t="s">
        <v>897</v>
      </c>
      <c r="D20" s="1075">
        <v>0.28999999999999998</v>
      </c>
      <c r="E20" s="1076">
        <v>0.35</v>
      </c>
      <c r="F20" s="1097">
        <v>2.5000000000000001E-2</v>
      </c>
      <c r="G20" s="1078">
        <v>0.02</v>
      </c>
      <c r="H20" s="1049"/>
      <c r="I20" s="1079"/>
      <c r="J20" s="1080">
        <f>(D20-E20)*((1+G20)/(1+$G$16)-1)*((1+G$16)/(1+$O$22))</f>
        <v>-1.2581505938301328E-4</v>
      </c>
      <c r="K20" s="1080"/>
      <c r="L20" s="1099">
        <f>+D20*((1+F20)/(1+G20)-1)*(1+G20)/(1+Q$22)</f>
        <v>1.372565353042736E-3</v>
      </c>
      <c r="M20" s="1082"/>
      <c r="O20" s="1095"/>
      <c r="P20" s="1080">
        <f>+D20*G20</f>
        <v>5.7999999999999996E-3</v>
      </c>
      <c r="Q20" s="1094">
        <f>+D20*G20</f>
        <v>5.7999999999999996E-3</v>
      </c>
      <c r="S20" s="1066">
        <f>+D20*F20</f>
        <v>7.2499999999999995E-3</v>
      </c>
      <c r="T20" s="1067">
        <f>+E20*G20</f>
        <v>6.9999999999999993E-3</v>
      </c>
      <c r="U20" s="185"/>
      <c r="V20" s="185"/>
      <c r="W20" s="185"/>
      <c r="X20" s="185"/>
    </row>
    <row r="21" spans="2:24" x14ac:dyDescent="0.2">
      <c r="B21" s="1073"/>
      <c r="C21" s="1074"/>
      <c r="D21" s="1075"/>
      <c r="E21" s="1076"/>
      <c r="F21" s="1097"/>
      <c r="G21" s="1078"/>
      <c r="H21" s="1049"/>
      <c r="I21" s="1100"/>
      <c r="J21" s="1101"/>
      <c r="K21" s="1101"/>
      <c r="L21" s="1102"/>
      <c r="M21" s="1082"/>
      <c r="O21" s="1095"/>
      <c r="P21" s="1080"/>
      <c r="Q21" s="1094"/>
      <c r="S21" s="1066"/>
      <c r="T21" s="1067"/>
      <c r="U21" s="185"/>
      <c r="V21" s="185"/>
      <c r="W21" s="185"/>
      <c r="X21" s="185"/>
    </row>
    <row r="22" spans="2:24" x14ac:dyDescent="0.2">
      <c r="B22" s="1103" t="s">
        <v>0</v>
      </c>
      <c r="C22" s="1104" t="s">
        <v>898</v>
      </c>
      <c r="D22" s="1105">
        <f>+D6+D16</f>
        <v>1</v>
      </c>
      <c r="E22" s="1106">
        <f>+E6+E16</f>
        <v>1</v>
      </c>
      <c r="F22" s="1107">
        <f>+S22</f>
        <v>5.9426250000000007E-2</v>
      </c>
      <c r="G22" s="1108">
        <f>+T22</f>
        <v>5.7245000000000004E-2</v>
      </c>
      <c r="H22" s="1049"/>
      <c r="I22" s="1109">
        <f>SUM(I6:I20)</f>
        <v>2.3755614876878029E-3</v>
      </c>
      <c r="J22" s="1110">
        <f>+J6+J16</f>
        <v>-8.8368220475183506E-4</v>
      </c>
      <c r="K22" s="1110">
        <f>+K6+K16</f>
        <v>-2.2705109065686881E-3</v>
      </c>
      <c r="L22" s="1111">
        <f>+L6+L16</f>
        <v>2.8494930027565439E-3</v>
      </c>
      <c r="O22" s="1112">
        <f>SUM(O6:O20)</f>
        <v>5.9756550505050507E-2</v>
      </c>
      <c r="P22" s="1113">
        <f>SUM(P6:P20)</f>
        <v>5.8820062499999999E-2</v>
      </c>
      <c r="Q22" s="1114">
        <f>SUM(Q6:Q20)</f>
        <v>5.6416000000000001E-2</v>
      </c>
      <c r="S22" s="1115">
        <f>+S9+S10+S13+S14+S18+S20</f>
        <v>5.9426250000000007E-2</v>
      </c>
      <c r="T22" s="1115">
        <f>+T9+T10+T13+T14+T18+T20</f>
        <v>5.7245000000000004E-2</v>
      </c>
      <c r="U22" s="185"/>
      <c r="V22" s="185"/>
      <c r="W22" s="185"/>
      <c r="X22" s="185"/>
    </row>
    <row r="23" spans="2:24" x14ac:dyDescent="0.2">
      <c r="H23" s="1049"/>
      <c r="I23" s="1116"/>
      <c r="J23" s="1116" t="s">
        <v>0</v>
      </c>
      <c r="K23" s="1116" t="s">
        <v>0</v>
      </c>
      <c r="L23" s="1116" t="s">
        <v>0</v>
      </c>
    </row>
    <row r="24" spans="2:24" x14ac:dyDescent="0.2">
      <c r="B24" s="171" t="s">
        <v>0</v>
      </c>
      <c r="H24" s="192"/>
      <c r="J24" s="1117" t="s">
        <v>507</v>
      </c>
      <c r="K24" s="1118"/>
      <c r="L24" s="1119">
        <f>+(1+F22)/(1+G22)-1</f>
        <v>2.0631452501549408E-3</v>
      </c>
      <c r="M24" s="185"/>
      <c r="N24" s="185"/>
      <c r="O24" s="185"/>
    </row>
    <row r="25" spans="2:24" x14ac:dyDescent="0.2">
      <c r="J25" s="425"/>
      <c r="K25" s="321"/>
      <c r="L25" s="1120"/>
      <c r="M25" s="185"/>
      <c r="N25" s="185"/>
      <c r="O25" s="185" t="s">
        <v>223</v>
      </c>
    </row>
    <row r="26" spans="2:24" x14ac:dyDescent="0.2">
      <c r="J26" s="425" t="s">
        <v>899</v>
      </c>
      <c r="K26" s="321"/>
      <c r="L26" s="1120">
        <f>+I22</f>
        <v>2.3755614876878029E-3</v>
      </c>
      <c r="M26" s="185"/>
      <c r="N26" s="185"/>
      <c r="O26" s="1121">
        <f>+(1+O22)/(1+G22)-1</f>
        <v>2.3755614876879161E-3</v>
      </c>
    </row>
    <row r="27" spans="2:24" x14ac:dyDescent="0.2">
      <c r="J27" s="425"/>
      <c r="K27" s="321"/>
      <c r="L27" s="1120"/>
      <c r="M27" s="185"/>
      <c r="N27" s="185"/>
      <c r="O27" s="1066"/>
    </row>
    <row r="28" spans="2:24" x14ac:dyDescent="0.2">
      <c r="I28" s="1122" t="s">
        <v>0</v>
      </c>
      <c r="J28" s="1123" t="s">
        <v>880</v>
      </c>
      <c r="K28" s="321"/>
      <c r="L28" s="1120">
        <f>+J22</f>
        <v>-8.8368220475183506E-4</v>
      </c>
      <c r="M28" s="185"/>
      <c r="N28" s="185"/>
      <c r="O28" s="1066">
        <f>+(1+P22)/(1+O22)-1</f>
        <v>-8.8368220475198989E-4</v>
      </c>
    </row>
    <row r="29" spans="2:24" x14ac:dyDescent="0.2">
      <c r="J29" s="425"/>
      <c r="K29" s="321"/>
      <c r="L29" s="1120"/>
      <c r="M29" s="185"/>
      <c r="N29" s="185"/>
      <c r="O29" s="1066"/>
    </row>
    <row r="30" spans="2:24" x14ac:dyDescent="0.2">
      <c r="J30" s="425" t="s">
        <v>881</v>
      </c>
      <c r="K30" s="321"/>
      <c r="L30" s="1120">
        <f>+K22</f>
        <v>-2.2705109065686881E-3</v>
      </c>
      <c r="M30" s="185"/>
      <c r="N30" s="185"/>
      <c r="O30" s="1066">
        <f>+(1+Q22)/(1+P22)-1</f>
        <v>-2.2705109065686013E-3</v>
      </c>
    </row>
    <row r="31" spans="2:24" x14ac:dyDescent="0.2">
      <c r="J31" s="425"/>
      <c r="K31" s="321"/>
      <c r="L31" s="1120"/>
      <c r="M31" s="185"/>
      <c r="N31" s="185"/>
      <c r="O31" s="1066"/>
    </row>
    <row r="32" spans="2:24" x14ac:dyDescent="0.2">
      <c r="J32" s="425" t="s">
        <v>484</v>
      </c>
      <c r="K32" s="321"/>
      <c r="L32" s="1120">
        <f>+L22</f>
        <v>2.8494930027565439E-3</v>
      </c>
      <c r="M32" s="185"/>
      <c r="N32" s="185"/>
      <c r="O32" s="1124">
        <f>+(1+F22)/(1+Q22)-1</f>
        <v>2.849493002756498E-3</v>
      </c>
    </row>
    <row r="33" spans="10:14" x14ac:dyDescent="0.2">
      <c r="J33" s="425"/>
      <c r="K33" s="321"/>
      <c r="L33" s="1120"/>
      <c r="M33" s="185"/>
      <c r="N33" s="185"/>
    </row>
    <row r="34" spans="10:14" x14ac:dyDescent="0.2">
      <c r="J34" s="428" t="s">
        <v>524</v>
      </c>
      <c r="K34" s="429"/>
      <c r="L34" s="430">
        <f>(1+L24)/((1+L26)*(1+L28)*(1+L30)*(1+L32))-1</f>
        <v>0</v>
      </c>
      <c r="M34" s="185"/>
      <c r="N34" s="185"/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58"/>
  <sheetViews>
    <sheetView topLeftCell="AH1" workbookViewId="0">
      <selection activeCell="AM31" sqref="AM31"/>
    </sheetView>
  </sheetViews>
  <sheetFormatPr defaultRowHeight="15" x14ac:dyDescent="0.25"/>
  <cols>
    <col min="7" max="7" width="9.5703125" bestFit="1" customWidth="1"/>
    <col min="8" max="8" width="10.5703125" bestFit="1" customWidth="1"/>
    <col min="16" max="16" width="11.42578125" customWidth="1"/>
    <col min="25" max="25" width="10.28515625" customWidth="1"/>
    <col min="30" max="30" width="12.5703125" customWidth="1"/>
    <col min="31" max="31" width="10.5703125" bestFit="1" customWidth="1"/>
    <col min="32" max="32" width="10.5703125" customWidth="1"/>
    <col min="33" max="33" width="14.5703125" customWidth="1"/>
    <col min="36" max="36" width="9.28515625" bestFit="1" customWidth="1"/>
    <col min="37" max="37" width="10.42578125" customWidth="1"/>
    <col min="44" max="44" width="10.5703125" customWidth="1"/>
    <col min="47" max="47" width="11.7109375" customWidth="1"/>
    <col min="52" max="57" width="11.42578125" customWidth="1"/>
    <col min="58" max="58" width="19.7109375" customWidth="1"/>
    <col min="62" max="62" width="13.7109375" customWidth="1"/>
  </cols>
  <sheetData>
    <row r="1" spans="3:62" ht="15.75" thickBot="1" x14ac:dyDescent="0.3"/>
    <row r="2" spans="3:62" ht="15.75" thickBot="1" x14ac:dyDescent="0.3">
      <c r="C2" s="39"/>
      <c r="D2" s="40" t="s">
        <v>395</v>
      </c>
      <c r="E2" s="40"/>
      <c r="F2" s="40"/>
      <c r="G2" s="40"/>
      <c r="H2" s="41"/>
      <c r="J2" s="18" t="s">
        <v>396</v>
      </c>
      <c r="K2" s="19"/>
      <c r="L2" s="19"/>
      <c r="M2" s="20"/>
      <c r="O2" s="39"/>
      <c r="P2" s="40" t="s">
        <v>397</v>
      </c>
      <c r="Q2" s="40"/>
      <c r="R2" s="40"/>
      <c r="S2" s="40"/>
      <c r="T2" s="41"/>
      <c r="V2" s="18" t="s">
        <v>398</v>
      </c>
      <c r="W2" s="19"/>
      <c r="X2" s="19"/>
      <c r="Y2" s="20"/>
      <c r="AB2" s="18" t="s">
        <v>399</v>
      </c>
      <c r="AC2" s="19"/>
      <c r="AD2" s="19"/>
      <c r="AE2" s="31"/>
      <c r="AH2" s="39" t="s">
        <v>401</v>
      </c>
      <c r="AI2" s="40"/>
      <c r="AJ2" s="40"/>
      <c r="AK2" s="41"/>
      <c r="AM2" s="18" t="s">
        <v>400</v>
      </c>
      <c r="AN2" s="30"/>
      <c r="AO2" s="30"/>
      <c r="AP2" s="31"/>
      <c r="AR2" s="39" t="s">
        <v>402</v>
      </c>
      <c r="AS2" s="40"/>
      <c r="AT2" s="40"/>
      <c r="AU2" s="41"/>
      <c r="AW2" s="18" t="s">
        <v>404</v>
      </c>
      <c r="AX2" s="30"/>
      <c r="AY2" s="30"/>
      <c r="AZ2" s="31"/>
      <c r="BB2" s="39" t="s">
        <v>403</v>
      </c>
      <c r="BC2" s="40"/>
      <c r="BD2" s="40"/>
      <c r="BE2" s="40"/>
      <c r="BF2" s="41" t="s">
        <v>0</v>
      </c>
      <c r="BH2" s="39" t="s">
        <v>405</v>
      </c>
      <c r="BI2" s="40"/>
      <c r="BJ2" s="28"/>
    </row>
    <row r="3" spans="3:62" ht="15.75" thickBot="1" x14ac:dyDescent="0.3">
      <c r="C3" s="54" t="s">
        <v>11</v>
      </c>
      <c r="D3" s="55" t="s">
        <v>1</v>
      </c>
      <c r="E3" s="55" t="s">
        <v>4</v>
      </c>
      <c r="F3" s="55" t="s">
        <v>2</v>
      </c>
      <c r="G3" s="55" t="s">
        <v>8</v>
      </c>
      <c r="H3" s="56" t="s">
        <v>9</v>
      </c>
      <c r="J3" s="15"/>
      <c r="K3" s="16"/>
      <c r="L3" s="16"/>
      <c r="M3" s="21"/>
      <c r="O3" s="18" t="s">
        <v>11</v>
      </c>
      <c r="P3" s="19" t="s">
        <v>15</v>
      </c>
      <c r="Q3" s="19" t="s">
        <v>4</v>
      </c>
      <c r="R3" s="19" t="s">
        <v>2</v>
      </c>
      <c r="S3" s="19" t="s">
        <v>8</v>
      </c>
      <c r="T3" s="20" t="s">
        <v>9</v>
      </c>
      <c r="V3" s="15"/>
      <c r="W3" s="16"/>
      <c r="X3" s="16"/>
      <c r="Y3" s="21"/>
      <c r="AB3" s="35"/>
      <c r="AC3" s="36"/>
      <c r="AD3" s="36"/>
      <c r="AE3" s="37"/>
      <c r="AH3" s="22" t="s">
        <v>1</v>
      </c>
      <c r="AI3" s="23" t="s">
        <v>9</v>
      </c>
      <c r="AJ3" s="23" t="s">
        <v>9</v>
      </c>
      <c r="AK3" s="24" t="s">
        <v>25</v>
      </c>
      <c r="AM3" s="35"/>
      <c r="AN3" s="36"/>
      <c r="AO3" s="36"/>
      <c r="AP3" s="37"/>
      <c r="AR3" s="22" t="s">
        <v>15</v>
      </c>
      <c r="AS3" s="23" t="s">
        <v>9</v>
      </c>
      <c r="AT3" s="23" t="s">
        <v>9</v>
      </c>
      <c r="AU3" s="24" t="s">
        <v>25</v>
      </c>
      <c r="AW3" s="35"/>
      <c r="AX3" s="36"/>
      <c r="AY3" s="36"/>
      <c r="AZ3" s="37"/>
      <c r="BB3" s="57" t="s">
        <v>1</v>
      </c>
      <c r="BC3" s="23" t="s">
        <v>9</v>
      </c>
      <c r="BD3" s="23" t="s">
        <v>15</v>
      </c>
      <c r="BE3" s="23" t="s">
        <v>9</v>
      </c>
      <c r="BF3" s="24" t="s">
        <v>60</v>
      </c>
      <c r="BH3" s="32"/>
      <c r="BI3" s="33"/>
      <c r="BJ3" s="34"/>
    </row>
    <row r="4" spans="3:62" x14ac:dyDescent="0.25">
      <c r="C4" s="57"/>
      <c r="D4" s="58" t="s">
        <v>2</v>
      </c>
      <c r="E4" s="58" t="s">
        <v>5</v>
      </c>
      <c r="F4" s="58" t="s">
        <v>7</v>
      </c>
      <c r="G4" s="58" t="s">
        <v>9</v>
      </c>
      <c r="H4" s="59" t="s">
        <v>10</v>
      </c>
      <c r="J4" s="22" t="s">
        <v>12</v>
      </c>
      <c r="K4" s="23" t="s">
        <v>0</v>
      </c>
      <c r="L4" s="23" t="s">
        <v>0</v>
      </c>
      <c r="M4" s="27">
        <f>+D44/C42</f>
        <v>1.1000000000000001</v>
      </c>
      <c r="O4" s="22"/>
      <c r="P4" s="23" t="s">
        <v>2</v>
      </c>
      <c r="Q4" s="23" t="s">
        <v>5</v>
      </c>
      <c r="R4" s="23" t="s">
        <v>7</v>
      </c>
      <c r="S4" s="23" t="s">
        <v>9</v>
      </c>
      <c r="T4" s="24" t="s">
        <v>10</v>
      </c>
      <c r="V4" s="22" t="s">
        <v>12</v>
      </c>
      <c r="W4" s="23" t="s">
        <v>0</v>
      </c>
      <c r="X4" s="23" t="s">
        <v>0</v>
      </c>
      <c r="Y4" s="27">
        <f>+P44/O42</f>
        <v>1.2</v>
      </c>
      <c r="AB4" s="29" t="s">
        <v>51</v>
      </c>
      <c r="AC4" s="30"/>
      <c r="AD4" s="30"/>
      <c r="AE4" s="47">
        <f>+(H44/C42)^0.5</f>
        <v>3.3173784830796742</v>
      </c>
      <c r="AH4" s="22" t="s">
        <v>49</v>
      </c>
      <c r="AI4" s="23" t="s">
        <v>17</v>
      </c>
      <c r="AJ4" s="23" t="s">
        <v>24</v>
      </c>
      <c r="AK4" s="24" t="s">
        <v>13</v>
      </c>
      <c r="AM4" s="32" t="s">
        <v>19</v>
      </c>
      <c r="AN4" s="33"/>
      <c r="AO4" s="33"/>
      <c r="AP4" s="43">
        <f>+AJ44/AE4^3/C42</f>
        <v>-0.23799512754333588</v>
      </c>
      <c r="AR4" s="22" t="s">
        <v>49</v>
      </c>
      <c r="AS4" s="23" t="s">
        <v>17</v>
      </c>
      <c r="AT4" s="23" t="s">
        <v>24</v>
      </c>
      <c r="AU4" s="24" t="s">
        <v>13</v>
      </c>
      <c r="AW4" s="32" t="s">
        <v>19</v>
      </c>
      <c r="AX4" s="33"/>
      <c r="AY4" s="33"/>
      <c r="AZ4" s="43">
        <f>+AT44/AE10^3/C42</f>
        <v>-0.36250444107583102</v>
      </c>
      <c r="BB4" s="57" t="s">
        <v>2</v>
      </c>
      <c r="BC4" s="23" t="s">
        <v>17</v>
      </c>
      <c r="BD4" s="23" t="s">
        <v>2</v>
      </c>
      <c r="BE4" s="23" t="s">
        <v>17</v>
      </c>
      <c r="BF4" s="59" t="s">
        <v>58</v>
      </c>
      <c r="BH4" s="32" t="s">
        <v>27</v>
      </c>
      <c r="BI4" s="33"/>
      <c r="BJ4" s="43">
        <f>+BF44/C42</f>
        <v>11.093611111111114</v>
      </c>
    </row>
    <row r="5" spans="3:62" ht="15.75" thickBot="1" x14ac:dyDescent="0.3">
      <c r="C5" s="60"/>
      <c r="D5" s="61" t="s">
        <v>3</v>
      </c>
      <c r="E5" s="61"/>
      <c r="F5" s="61" t="s">
        <v>3</v>
      </c>
      <c r="G5" s="61"/>
      <c r="H5" s="62"/>
      <c r="J5" s="22"/>
      <c r="K5" s="23"/>
      <c r="L5" s="23"/>
      <c r="M5" s="24"/>
      <c r="O5" s="15"/>
      <c r="P5" s="16" t="s">
        <v>3</v>
      </c>
      <c r="Q5" s="16"/>
      <c r="R5" s="16" t="s">
        <v>3</v>
      </c>
      <c r="S5" s="16"/>
      <c r="T5" s="21"/>
      <c r="V5" s="22"/>
      <c r="W5" s="23"/>
      <c r="X5" s="23"/>
      <c r="Y5" s="24"/>
      <c r="AB5" s="32"/>
      <c r="AC5" s="33"/>
      <c r="AD5" s="33"/>
      <c r="AE5" s="34"/>
      <c r="AH5" s="15" t="s">
        <v>50</v>
      </c>
      <c r="AI5" s="16" t="s">
        <v>6</v>
      </c>
      <c r="AJ5" s="16"/>
      <c r="AK5" s="21"/>
      <c r="AM5" s="32"/>
      <c r="AN5" s="33"/>
      <c r="AO5" s="33"/>
      <c r="AP5" s="34"/>
      <c r="AR5" s="15" t="s">
        <v>50</v>
      </c>
      <c r="AS5" s="16" t="s">
        <v>6</v>
      </c>
      <c r="AT5" s="16"/>
      <c r="AU5" s="21"/>
      <c r="AW5" s="32"/>
      <c r="AX5" s="33"/>
      <c r="AY5" s="33"/>
      <c r="AZ5" s="34"/>
      <c r="BB5" s="60" t="s">
        <v>3</v>
      </c>
      <c r="BC5" s="16" t="s">
        <v>6</v>
      </c>
      <c r="BD5" s="16" t="s">
        <v>3</v>
      </c>
      <c r="BE5" s="16" t="s">
        <v>6</v>
      </c>
      <c r="BF5" s="21" t="s">
        <v>59</v>
      </c>
      <c r="BH5" s="32"/>
      <c r="BI5" s="33"/>
      <c r="BJ5" s="34"/>
    </row>
    <row r="6" spans="3:62" x14ac:dyDescent="0.25">
      <c r="C6" s="32"/>
      <c r="D6" s="33" t="s">
        <v>0</v>
      </c>
      <c r="E6" s="38">
        <v>100</v>
      </c>
      <c r="F6" s="33"/>
      <c r="G6" s="33"/>
      <c r="H6" s="34"/>
      <c r="J6" s="22" t="s">
        <v>47</v>
      </c>
      <c r="K6" s="23"/>
      <c r="L6" s="25" t="s">
        <v>0</v>
      </c>
      <c r="M6" s="26">
        <f>((E42/E6)^(12/36)-1)*100</f>
        <v>13.289353350977429</v>
      </c>
      <c r="O6" s="32"/>
      <c r="P6" s="33" t="s">
        <v>0</v>
      </c>
      <c r="Q6" s="38">
        <v>100</v>
      </c>
      <c r="R6" s="33"/>
      <c r="S6" s="33"/>
      <c r="T6" s="34"/>
      <c r="V6" s="22" t="s">
        <v>47</v>
      </c>
      <c r="W6" s="23"/>
      <c r="X6" s="25" t="s">
        <v>0</v>
      </c>
      <c r="Y6" s="26">
        <f>((Q42/Q6)^(12/36)-1)*100</f>
        <v>14.620464307207515</v>
      </c>
      <c r="AB6" s="32" t="s">
        <v>20</v>
      </c>
      <c r="AC6" s="33"/>
      <c r="AD6" s="33"/>
      <c r="AE6" s="43">
        <f>+(H44/(C42-1))^0.5</f>
        <v>3.3644358474235423</v>
      </c>
      <c r="AH6" s="32"/>
      <c r="AI6" s="33"/>
      <c r="AJ6" s="33"/>
      <c r="AK6" s="34"/>
      <c r="AM6" s="32" t="s">
        <v>21</v>
      </c>
      <c r="AN6" s="33"/>
      <c r="AO6" s="33"/>
      <c r="AP6" s="43">
        <f>AK44/AE4^4/36</f>
        <v>2.9776388591007774</v>
      </c>
      <c r="AR6" s="32"/>
      <c r="AS6" s="33"/>
      <c r="AT6" s="33"/>
      <c r="AU6" s="34"/>
      <c r="AW6" s="32" t="s">
        <v>21</v>
      </c>
      <c r="AX6" s="33"/>
      <c r="AY6" s="33"/>
      <c r="AZ6" s="43">
        <f>AU44/AE10^4/36</f>
        <v>3.0446980884487811</v>
      </c>
      <c r="BB6" s="29" t="s">
        <v>0</v>
      </c>
      <c r="BC6" s="30"/>
      <c r="BD6" s="30" t="s">
        <v>0</v>
      </c>
      <c r="BE6" s="30"/>
      <c r="BF6" s="31"/>
      <c r="BH6" s="32" t="s">
        <v>26</v>
      </c>
      <c r="BI6" s="33"/>
      <c r="BJ6" s="77">
        <f>+BJ4/(AE4*AE10)</f>
        <v>0.99465998465587535</v>
      </c>
    </row>
    <row r="7" spans="3:62" ht="15.75" thickBot="1" x14ac:dyDescent="0.3">
      <c r="C7" s="32">
        <f>C6+1</f>
        <v>1</v>
      </c>
      <c r="D7" s="42">
        <v>0.3</v>
      </c>
      <c r="E7" s="38">
        <f t="shared" ref="E7:E42" si="0">+E6*(1+D7/100)</f>
        <v>100.29999999999998</v>
      </c>
      <c r="F7" s="33">
        <f>+M$4</f>
        <v>1.1000000000000001</v>
      </c>
      <c r="G7" s="33">
        <f>ABS(D7-F7)</f>
        <v>0.8</v>
      </c>
      <c r="H7" s="34">
        <f>+G7^2</f>
        <v>0.64000000000000012</v>
      </c>
      <c r="J7" s="22"/>
      <c r="K7" s="23"/>
      <c r="L7" s="23"/>
      <c r="M7" s="24"/>
      <c r="O7" s="32">
        <f>O6+1</f>
        <v>1</v>
      </c>
      <c r="P7" s="42">
        <v>0.2</v>
      </c>
      <c r="Q7" s="38">
        <f t="shared" ref="Q7:Q42" si="1">+Q6*(1+P7/100)</f>
        <v>100.2</v>
      </c>
      <c r="R7" s="33">
        <f>+Y$4</f>
        <v>1.2</v>
      </c>
      <c r="S7" s="33">
        <f>ABS(P7-R7)</f>
        <v>1</v>
      </c>
      <c r="T7" s="34">
        <f>+S7^2</f>
        <v>1</v>
      </c>
      <c r="V7" s="22"/>
      <c r="W7" s="23"/>
      <c r="X7" s="23"/>
      <c r="Y7" s="24"/>
      <c r="AB7" s="32"/>
      <c r="AC7" s="33"/>
      <c r="AD7" s="33"/>
      <c r="AE7" s="34"/>
      <c r="AH7" s="32">
        <f t="shared" ref="AH7:AH42" si="2">+D7</f>
        <v>0.3</v>
      </c>
      <c r="AI7" s="33">
        <f t="shared" ref="AI7:AI42" si="3">+D7-F7</f>
        <v>-0.8</v>
      </c>
      <c r="AJ7" s="38">
        <f>+AI7^3</f>
        <v>-0.51200000000000012</v>
      </c>
      <c r="AK7" s="43">
        <f>+AI7^4</f>
        <v>0.40960000000000019</v>
      </c>
      <c r="AM7" s="32"/>
      <c r="AN7" s="33"/>
      <c r="AO7" s="33"/>
      <c r="AP7" s="34"/>
      <c r="AR7" s="53">
        <f t="shared" ref="AR7:AR42" si="4">+P7</f>
        <v>0.2</v>
      </c>
      <c r="AS7" s="42">
        <f t="shared" ref="AS7:AS42" si="5">+P7-R7</f>
        <v>-1</v>
      </c>
      <c r="AT7" s="38">
        <f>+AS7^3</f>
        <v>-1</v>
      </c>
      <c r="AU7" s="43">
        <f>+AS7^4</f>
        <v>1</v>
      </c>
      <c r="AW7" s="32"/>
      <c r="AX7" s="33"/>
      <c r="AY7" s="33"/>
      <c r="AZ7" s="34"/>
      <c r="BB7" s="32">
        <v>0.3</v>
      </c>
      <c r="BC7" s="42">
        <f t="shared" ref="BC7:BC42" si="6">D7-F7</f>
        <v>-0.8</v>
      </c>
      <c r="BD7" s="42">
        <v>0.2</v>
      </c>
      <c r="BE7" s="42">
        <f t="shared" ref="BE7:BE42" si="7">+P7-R7</f>
        <v>-1</v>
      </c>
      <c r="BF7" s="43">
        <f>+BC7*BE7</f>
        <v>0.8</v>
      </c>
      <c r="BG7" s="3" t="s">
        <v>0</v>
      </c>
      <c r="BH7" s="10"/>
      <c r="BI7" s="11"/>
      <c r="BJ7" s="12"/>
    </row>
    <row r="8" spans="3:62" x14ac:dyDescent="0.25">
      <c r="C8" s="32">
        <f t="shared" ref="C8:C42" si="8">C7+1</f>
        <v>2</v>
      </c>
      <c r="D8" s="42">
        <v>2.6</v>
      </c>
      <c r="E8" s="38">
        <f t="shared" si="0"/>
        <v>102.90779999999998</v>
      </c>
      <c r="F8" s="33">
        <f t="shared" ref="F8:F42" si="9">+M$4</f>
        <v>1.1000000000000001</v>
      </c>
      <c r="G8" s="33">
        <f t="shared" ref="G8:G42" si="10">ABS(D8-F8)</f>
        <v>1.5</v>
      </c>
      <c r="H8" s="34">
        <f t="shared" ref="H8:H42" si="11">+G8^2</f>
        <v>2.25</v>
      </c>
      <c r="J8" s="22" t="s">
        <v>48</v>
      </c>
      <c r="K8" s="23"/>
      <c r="L8" s="23"/>
      <c r="M8" s="26">
        <f>+G44/C42</f>
        <v>2.5222222222222208</v>
      </c>
      <c r="O8" s="32">
        <f t="shared" ref="O8:O42" si="12">O7+1</f>
        <v>2</v>
      </c>
      <c r="P8" s="42">
        <v>2.5</v>
      </c>
      <c r="Q8" s="38">
        <f t="shared" si="1"/>
        <v>102.705</v>
      </c>
      <c r="R8" s="33">
        <f t="shared" ref="R8:R42" si="13">+Y$4</f>
        <v>1.2</v>
      </c>
      <c r="S8" s="33">
        <f t="shared" ref="S8:S42" si="14">ABS(P8-R8)</f>
        <v>1.3</v>
      </c>
      <c r="T8" s="34">
        <f t="shared" ref="T8:T42" si="15">+S8^2</f>
        <v>1.6900000000000002</v>
      </c>
      <c r="V8" s="22" t="s">
        <v>48</v>
      </c>
      <c r="W8" s="23"/>
      <c r="X8" s="23"/>
      <c r="Y8" s="26">
        <f>+S44/O42</f>
        <v>2.5777777777777779</v>
      </c>
      <c r="AB8" s="32" t="s">
        <v>30</v>
      </c>
      <c r="AC8" s="33"/>
      <c r="AD8" s="33"/>
      <c r="AE8" s="43">
        <f>+AE4*12^0.5</f>
        <v>11.491736161259533</v>
      </c>
      <c r="AH8" s="32">
        <f t="shared" si="2"/>
        <v>2.6</v>
      </c>
      <c r="AI8" s="33">
        <f t="shared" si="3"/>
        <v>1.5</v>
      </c>
      <c r="AJ8" s="38">
        <f t="shared" ref="AJ8:AJ42" si="16">+AI8^3</f>
        <v>3.375</v>
      </c>
      <c r="AK8" s="43">
        <f t="shared" ref="AK8:AK42" si="17">+AI8^4</f>
        <v>5.0625</v>
      </c>
      <c r="AM8" s="32" t="s">
        <v>22</v>
      </c>
      <c r="AN8" s="33"/>
      <c r="AO8" s="33"/>
      <c r="AP8" s="43">
        <f>+AP6-3</f>
        <v>-2.2361140899222587E-2</v>
      </c>
      <c r="AR8" s="53">
        <f t="shared" si="4"/>
        <v>2.5</v>
      </c>
      <c r="AS8" s="42">
        <f t="shared" si="5"/>
        <v>1.3</v>
      </c>
      <c r="AT8" s="38">
        <f t="shared" ref="AT8:AT42" si="18">+AS8^3</f>
        <v>2.1970000000000005</v>
      </c>
      <c r="AU8" s="43">
        <f t="shared" ref="AU8:AU42" si="19">+AS8^4</f>
        <v>2.8561000000000005</v>
      </c>
      <c r="AW8" s="32" t="s">
        <v>22</v>
      </c>
      <c r="AX8" s="33"/>
      <c r="AY8" s="33"/>
      <c r="AZ8" s="43">
        <f>+AZ6-3</f>
        <v>4.4698088448781093E-2</v>
      </c>
      <c r="BB8" s="32">
        <v>2.6</v>
      </c>
      <c r="BC8" s="42">
        <f t="shared" si="6"/>
        <v>1.5</v>
      </c>
      <c r="BD8" s="42">
        <v>2.5</v>
      </c>
      <c r="BE8" s="42">
        <f t="shared" si="7"/>
        <v>1.3</v>
      </c>
      <c r="BF8" s="43">
        <f>+BC8*BE8</f>
        <v>1.9500000000000002</v>
      </c>
    </row>
    <row r="9" spans="3:62" x14ac:dyDescent="0.25">
      <c r="C9" s="32">
        <f t="shared" si="8"/>
        <v>3</v>
      </c>
      <c r="D9" s="42">
        <v>1.1000000000000001</v>
      </c>
      <c r="E9" s="38">
        <f t="shared" si="0"/>
        <v>104.03978579999998</v>
      </c>
      <c r="F9" s="33">
        <f t="shared" si="9"/>
        <v>1.1000000000000001</v>
      </c>
      <c r="G9" s="33">
        <f t="shared" si="10"/>
        <v>0</v>
      </c>
      <c r="H9" s="34">
        <f t="shared" si="11"/>
        <v>0</v>
      </c>
      <c r="J9" s="22"/>
      <c r="K9" s="23"/>
      <c r="L9" s="23"/>
      <c r="M9" s="24"/>
      <c r="O9" s="32">
        <f t="shared" si="12"/>
        <v>3</v>
      </c>
      <c r="P9" s="42">
        <v>1.8</v>
      </c>
      <c r="Q9" s="38">
        <f t="shared" si="1"/>
        <v>104.55369</v>
      </c>
      <c r="R9" s="33">
        <f t="shared" si="13"/>
        <v>1.2</v>
      </c>
      <c r="S9" s="33">
        <f t="shared" si="14"/>
        <v>0.60000000000000009</v>
      </c>
      <c r="T9" s="34">
        <f t="shared" si="15"/>
        <v>0.3600000000000001</v>
      </c>
      <c r="V9" s="22"/>
      <c r="W9" s="23"/>
      <c r="X9" s="23"/>
      <c r="Y9" s="24"/>
      <c r="AB9" s="32"/>
      <c r="AC9" s="33"/>
      <c r="AD9" s="33"/>
      <c r="AE9" s="34"/>
      <c r="AH9" s="32">
        <f t="shared" si="2"/>
        <v>1.1000000000000001</v>
      </c>
      <c r="AI9" s="33">
        <f t="shared" si="3"/>
        <v>0</v>
      </c>
      <c r="AJ9" s="38">
        <f t="shared" si="16"/>
        <v>0</v>
      </c>
      <c r="AK9" s="43">
        <f t="shared" si="17"/>
        <v>0</v>
      </c>
      <c r="AM9" s="32"/>
      <c r="AN9" s="33"/>
      <c r="AO9" s="33"/>
      <c r="AP9" s="34"/>
      <c r="AR9" s="53">
        <f t="shared" si="4"/>
        <v>1.8</v>
      </c>
      <c r="AS9" s="42">
        <f t="shared" si="5"/>
        <v>0.60000000000000009</v>
      </c>
      <c r="AT9" s="38">
        <f t="shared" si="18"/>
        <v>0.21600000000000008</v>
      </c>
      <c r="AU9" s="43">
        <f t="shared" si="19"/>
        <v>0.12960000000000008</v>
      </c>
      <c r="AW9" s="32"/>
      <c r="AX9" s="33"/>
      <c r="AY9" s="33"/>
      <c r="AZ9" s="34"/>
      <c r="BB9" s="32">
        <v>1.1000000000000001</v>
      </c>
      <c r="BC9" s="42">
        <f t="shared" si="6"/>
        <v>0</v>
      </c>
      <c r="BD9" s="42">
        <v>1.8</v>
      </c>
      <c r="BE9" s="42">
        <f t="shared" si="7"/>
        <v>0.60000000000000009</v>
      </c>
      <c r="BF9" s="43">
        <f t="shared" ref="BF9:BF42" si="20">+BC9*BE9</f>
        <v>0</v>
      </c>
    </row>
    <row r="10" spans="3:62" ht="15.75" thickBot="1" x14ac:dyDescent="0.3">
      <c r="C10" s="32">
        <f t="shared" si="8"/>
        <v>4</v>
      </c>
      <c r="D10" s="42">
        <v>-0.9</v>
      </c>
      <c r="E10" s="38">
        <f t="shared" si="0"/>
        <v>103.10342772779998</v>
      </c>
      <c r="F10" s="33">
        <f t="shared" si="9"/>
        <v>1.1000000000000001</v>
      </c>
      <c r="G10" s="33">
        <f t="shared" si="10"/>
        <v>2</v>
      </c>
      <c r="H10" s="34">
        <f t="shared" si="11"/>
        <v>4</v>
      </c>
      <c r="J10" s="15" t="s">
        <v>14</v>
      </c>
      <c r="K10" s="16"/>
      <c r="L10" s="16"/>
      <c r="M10" s="17">
        <f>H44/C42</f>
        <v>11.004999999999999</v>
      </c>
      <c r="O10" s="32">
        <f t="shared" si="12"/>
        <v>4</v>
      </c>
      <c r="P10" s="42">
        <v>-1.1000000000000001</v>
      </c>
      <c r="Q10" s="38">
        <f t="shared" si="1"/>
        <v>103.40359941</v>
      </c>
      <c r="R10" s="33">
        <f t="shared" si="13"/>
        <v>1.2</v>
      </c>
      <c r="S10" s="33">
        <f t="shared" si="14"/>
        <v>2.2999999999999998</v>
      </c>
      <c r="T10" s="34">
        <f t="shared" si="15"/>
        <v>5.2899999999999991</v>
      </c>
      <c r="V10" s="15" t="s">
        <v>14</v>
      </c>
      <c r="W10" s="16"/>
      <c r="X10" s="16"/>
      <c r="Y10" s="17">
        <f>T44/O42</f>
        <v>11.303333333333335</v>
      </c>
      <c r="AB10" s="32" t="s">
        <v>52</v>
      </c>
      <c r="AC10" s="33"/>
      <c r="AD10" s="33"/>
      <c r="AE10" s="43">
        <f>+(T44/C42)^0.5</f>
        <v>3.36204302966713</v>
      </c>
      <c r="AH10" s="32">
        <f t="shared" si="2"/>
        <v>-0.9</v>
      </c>
      <c r="AI10" s="33">
        <f t="shared" si="3"/>
        <v>-2</v>
      </c>
      <c r="AJ10" s="38">
        <f t="shared" si="16"/>
        <v>-8</v>
      </c>
      <c r="AK10" s="43">
        <f t="shared" si="17"/>
        <v>16</v>
      </c>
      <c r="AM10" s="32" t="s">
        <v>54</v>
      </c>
      <c r="AN10" s="33"/>
      <c r="AO10" s="33"/>
      <c r="AP10" s="43">
        <f>C42/6*(AP4^2+AP8^2/4)</f>
        <v>0.34060011533968459</v>
      </c>
      <c r="AR10" s="53">
        <f t="shared" si="4"/>
        <v>-1.1000000000000001</v>
      </c>
      <c r="AS10" s="42">
        <f t="shared" si="5"/>
        <v>-2.2999999999999998</v>
      </c>
      <c r="AT10" s="38">
        <f t="shared" si="18"/>
        <v>-12.166999999999996</v>
      </c>
      <c r="AU10" s="43">
        <f t="shared" si="19"/>
        <v>27.984099999999991</v>
      </c>
      <c r="AW10" s="32" t="s">
        <v>54</v>
      </c>
      <c r="AX10" s="33"/>
      <c r="AY10" s="33"/>
      <c r="AZ10" s="43">
        <f>C42/6*(AZ4^2+AZ8^2/4)</f>
        <v>0.79145369746466643</v>
      </c>
      <c r="BB10" s="32">
        <v>-0.9</v>
      </c>
      <c r="BC10" s="42">
        <f t="shared" si="6"/>
        <v>-2</v>
      </c>
      <c r="BD10" s="42">
        <v>-1.1000000000000001</v>
      </c>
      <c r="BE10" s="42">
        <f t="shared" si="7"/>
        <v>-2.2999999999999998</v>
      </c>
      <c r="BF10" s="43">
        <f t="shared" si="20"/>
        <v>4.5999999999999996</v>
      </c>
    </row>
    <row r="11" spans="3:62" x14ac:dyDescent="0.25">
      <c r="C11" s="32">
        <f t="shared" si="8"/>
        <v>5</v>
      </c>
      <c r="D11" s="42">
        <v>1.4</v>
      </c>
      <c r="E11" s="38">
        <f t="shared" si="0"/>
        <v>104.54687571598919</v>
      </c>
      <c r="F11" s="33">
        <f t="shared" si="9"/>
        <v>1.1000000000000001</v>
      </c>
      <c r="G11" s="33">
        <f t="shared" si="10"/>
        <v>0.29999999999999982</v>
      </c>
      <c r="H11" s="34">
        <f t="shared" si="11"/>
        <v>8.99999999999999E-2</v>
      </c>
      <c r="O11" s="32">
        <f t="shared" si="12"/>
        <v>5</v>
      </c>
      <c r="P11" s="42">
        <v>1.4</v>
      </c>
      <c r="Q11" s="38">
        <f t="shared" si="1"/>
        <v>104.85124980174</v>
      </c>
      <c r="R11" s="33">
        <f t="shared" si="13"/>
        <v>1.2</v>
      </c>
      <c r="S11" s="33">
        <f t="shared" si="14"/>
        <v>0.19999999999999996</v>
      </c>
      <c r="T11" s="34">
        <f t="shared" si="15"/>
        <v>3.999999999999998E-2</v>
      </c>
      <c r="AB11" s="32"/>
      <c r="AC11" s="33"/>
      <c r="AD11" s="33"/>
      <c r="AE11" s="34"/>
      <c r="AH11" s="32">
        <f t="shared" si="2"/>
        <v>1.4</v>
      </c>
      <c r="AI11" s="33">
        <f t="shared" si="3"/>
        <v>0.29999999999999982</v>
      </c>
      <c r="AJ11" s="38">
        <f t="shared" si="16"/>
        <v>2.6999999999999955E-2</v>
      </c>
      <c r="AK11" s="43">
        <f t="shared" si="17"/>
        <v>8.0999999999999822E-3</v>
      </c>
      <c r="AM11" s="32"/>
      <c r="AN11" s="33"/>
      <c r="AO11" s="33"/>
      <c r="AP11" s="34"/>
      <c r="AR11" s="53">
        <f t="shared" si="4"/>
        <v>1.4</v>
      </c>
      <c r="AS11" s="42">
        <f t="shared" si="5"/>
        <v>0.19999999999999996</v>
      </c>
      <c r="AT11" s="38">
        <f t="shared" si="18"/>
        <v>7.999999999999995E-3</v>
      </c>
      <c r="AU11" s="43">
        <f t="shared" si="19"/>
        <v>1.5999999999999983E-3</v>
      </c>
      <c r="AW11" s="32"/>
      <c r="AX11" s="33"/>
      <c r="AY11" s="33"/>
      <c r="AZ11" s="34"/>
      <c r="BB11" s="32">
        <v>1.4</v>
      </c>
      <c r="BC11" s="42">
        <f t="shared" si="6"/>
        <v>0.29999999999999982</v>
      </c>
      <c r="BD11" s="42">
        <v>1.4</v>
      </c>
      <c r="BE11" s="42">
        <f t="shared" si="7"/>
        <v>0.19999999999999996</v>
      </c>
      <c r="BF11" s="43">
        <f t="shared" si="20"/>
        <v>5.9999999999999949E-2</v>
      </c>
    </row>
    <row r="12" spans="3:62" x14ac:dyDescent="0.25">
      <c r="C12" s="32">
        <f t="shared" si="8"/>
        <v>6</v>
      </c>
      <c r="D12" s="42">
        <v>2.4</v>
      </c>
      <c r="E12" s="38">
        <f t="shared" si="0"/>
        <v>107.05600073317294</v>
      </c>
      <c r="F12" s="33">
        <f t="shared" si="9"/>
        <v>1.1000000000000001</v>
      </c>
      <c r="G12" s="33">
        <f t="shared" si="10"/>
        <v>1.2999999999999998</v>
      </c>
      <c r="H12" s="34">
        <f t="shared" si="11"/>
        <v>1.6899999999999995</v>
      </c>
      <c r="O12" s="32">
        <f t="shared" si="12"/>
        <v>6</v>
      </c>
      <c r="P12" s="42">
        <v>2.2999999999999998</v>
      </c>
      <c r="Q12" s="38">
        <f t="shared" si="1"/>
        <v>107.26282854718001</v>
      </c>
      <c r="R12" s="33">
        <f t="shared" si="13"/>
        <v>1.2</v>
      </c>
      <c r="S12" s="33">
        <f t="shared" si="14"/>
        <v>1.0999999999999999</v>
      </c>
      <c r="T12" s="34">
        <f t="shared" si="15"/>
        <v>1.2099999999999997</v>
      </c>
      <c r="AB12" s="32" t="s">
        <v>20</v>
      </c>
      <c r="AC12" s="33"/>
      <c r="AD12" s="33"/>
      <c r="AE12" s="43">
        <f>+(T44/(C42-1))^0.5</f>
        <v>3.4097339653242327</v>
      </c>
      <c r="AH12" s="32">
        <f t="shared" si="2"/>
        <v>2.4</v>
      </c>
      <c r="AI12" s="33">
        <f t="shared" si="3"/>
        <v>1.2999999999999998</v>
      </c>
      <c r="AJ12" s="38">
        <f t="shared" si="16"/>
        <v>2.1969999999999992</v>
      </c>
      <c r="AK12" s="43">
        <f t="shared" si="17"/>
        <v>2.8560999999999983</v>
      </c>
      <c r="AM12" s="32" t="s">
        <v>55</v>
      </c>
      <c r="AN12" s="33"/>
      <c r="AO12" s="33"/>
      <c r="AP12" s="43">
        <f>+AJ44/AE6^3*C42/((C42-1)*(C42-2))</f>
        <v>-0.24847026397682548</v>
      </c>
      <c r="AR12" s="53">
        <f t="shared" si="4"/>
        <v>2.2999999999999998</v>
      </c>
      <c r="AS12" s="42">
        <f t="shared" si="5"/>
        <v>1.0999999999999999</v>
      </c>
      <c r="AT12" s="38">
        <f t="shared" si="18"/>
        <v>1.3309999999999995</v>
      </c>
      <c r="AU12" s="43">
        <f t="shared" si="19"/>
        <v>1.4640999999999993</v>
      </c>
      <c r="AW12" s="32" t="s">
        <v>55</v>
      </c>
      <c r="AX12" s="33"/>
      <c r="AY12" s="33"/>
      <c r="AZ12" s="43">
        <f>+AT44/AE12^3*C42/((C42-1)*(C42-2))</f>
        <v>-0.37845974031750879</v>
      </c>
      <c r="BB12" s="32">
        <v>2.4</v>
      </c>
      <c r="BC12" s="42">
        <f t="shared" si="6"/>
        <v>1.2999999999999998</v>
      </c>
      <c r="BD12" s="42">
        <v>2.2999999999999998</v>
      </c>
      <c r="BE12" s="42">
        <f t="shared" si="7"/>
        <v>1.0999999999999999</v>
      </c>
      <c r="BF12" s="43">
        <f t="shared" si="20"/>
        <v>1.4299999999999997</v>
      </c>
    </row>
    <row r="13" spans="3:62" x14ac:dyDescent="0.25">
      <c r="C13" s="32">
        <f t="shared" si="8"/>
        <v>7</v>
      </c>
      <c r="D13" s="42">
        <v>1.5</v>
      </c>
      <c r="E13" s="38">
        <f t="shared" si="0"/>
        <v>108.66184074417052</v>
      </c>
      <c r="F13" s="33">
        <f t="shared" si="9"/>
        <v>1.1000000000000001</v>
      </c>
      <c r="G13" s="33">
        <f t="shared" si="10"/>
        <v>0.39999999999999991</v>
      </c>
      <c r="H13" s="34">
        <f t="shared" si="11"/>
        <v>0.15999999999999992</v>
      </c>
      <c r="O13" s="32">
        <f t="shared" si="12"/>
        <v>7</v>
      </c>
      <c r="P13" s="42">
        <v>1.4</v>
      </c>
      <c r="Q13" s="38">
        <f t="shared" si="1"/>
        <v>108.76450814684053</v>
      </c>
      <c r="R13" s="33">
        <f t="shared" si="13"/>
        <v>1.2</v>
      </c>
      <c r="S13" s="33">
        <f t="shared" si="14"/>
        <v>0.19999999999999996</v>
      </c>
      <c r="T13" s="34">
        <f t="shared" si="15"/>
        <v>3.999999999999998E-2</v>
      </c>
      <c r="AB13" s="32"/>
      <c r="AC13" s="33"/>
      <c r="AD13" s="33"/>
      <c r="AE13" s="34"/>
      <c r="AH13" s="32">
        <f t="shared" si="2"/>
        <v>1.5</v>
      </c>
      <c r="AI13" s="33">
        <f t="shared" si="3"/>
        <v>0.39999999999999991</v>
      </c>
      <c r="AJ13" s="38">
        <f t="shared" si="16"/>
        <v>6.399999999999996E-2</v>
      </c>
      <c r="AK13" s="43">
        <f t="shared" si="17"/>
        <v>2.5599999999999973E-2</v>
      </c>
      <c r="AM13" s="32"/>
      <c r="AN13" s="33"/>
      <c r="AO13" s="33"/>
      <c r="AP13" s="34"/>
      <c r="AR13" s="53">
        <f t="shared" si="4"/>
        <v>1.4</v>
      </c>
      <c r="AS13" s="42">
        <f t="shared" si="5"/>
        <v>0.19999999999999996</v>
      </c>
      <c r="AT13" s="38">
        <f t="shared" si="18"/>
        <v>7.999999999999995E-3</v>
      </c>
      <c r="AU13" s="43">
        <f t="shared" si="19"/>
        <v>1.5999999999999983E-3</v>
      </c>
      <c r="AW13" s="32"/>
      <c r="AX13" s="33"/>
      <c r="AY13" s="33"/>
      <c r="AZ13" s="34"/>
      <c r="BB13" s="32">
        <v>1.5</v>
      </c>
      <c r="BC13" s="42">
        <f t="shared" si="6"/>
        <v>0.39999999999999991</v>
      </c>
      <c r="BD13" s="42">
        <v>1.4</v>
      </c>
      <c r="BE13" s="42">
        <f t="shared" si="7"/>
        <v>0.19999999999999996</v>
      </c>
      <c r="BF13" s="43">
        <f t="shared" si="20"/>
        <v>7.999999999999996E-2</v>
      </c>
    </row>
    <row r="14" spans="3:62" x14ac:dyDescent="0.25">
      <c r="C14" s="32">
        <f t="shared" si="8"/>
        <v>8</v>
      </c>
      <c r="D14" s="42">
        <v>6.6</v>
      </c>
      <c r="E14" s="38">
        <f t="shared" si="0"/>
        <v>115.83352223328578</v>
      </c>
      <c r="F14" s="33">
        <f t="shared" si="9"/>
        <v>1.1000000000000001</v>
      </c>
      <c r="G14" s="33">
        <f t="shared" si="10"/>
        <v>5.5</v>
      </c>
      <c r="H14" s="34">
        <f t="shared" si="11"/>
        <v>30.25</v>
      </c>
      <c r="J14" t="s">
        <v>0</v>
      </c>
      <c r="O14" s="32">
        <f t="shared" si="12"/>
        <v>8</v>
      </c>
      <c r="P14" s="42">
        <v>6.5</v>
      </c>
      <c r="Q14" s="38">
        <f t="shared" si="1"/>
        <v>115.83420117638515</v>
      </c>
      <c r="R14" s="33">
        <f t="shared" si="13"/>
        <v>1.2</v>
      </c>
      <c r="S14" s="33">
        <f t="shared" si="14"/>
        <v>5.3</v>
      </c>
      <c r="T14" s="34">
        <f t="shared" si="15"/>
        <v>28.09</v>
      </c>
      <c r="W14" t="s">
        <v>0</v>
      </c>
      <c r="AB14" s="32" t="s">
        <v>30</v>
      </c>
      <c r="AC14" s="33"/>
      <c r="AD14" s="33"/>
      <c r="AE14" s="43">
        <f>+AE10*12^0.5</f>
        <v>11.646458689232533</v>
      </c>
      <c r="AH14" s="32">
        <f t="shared" si="2"/>
        <v>6.6</v>
      </c>
      <c r="AI14" s="33">
        <f t="shared" si="3"/>
        <v>5.5</v>
      </c>
      <c r="AJ14" s="38">
        <f t="shared" si="16"/>
        <v>166.375</v>
      </c>
      <c r="AK14" s="43">
        <f t="shared" si="17"/>
        <v>915.0625</v>
      </c>
      <c r="AM14" s="32" t="s">
        <v>23</v>
      </c>
      <c r="AN14" s="33"/>
      <c r="AO14" s="33"/>
      <c r="AP14" s="43">
        <f>AK44/AE6^4*(C42*(C42+1)/((C42-1)*(C42-2)*(C42-3)))</f>
        <v>3.4367578632223794</v>
      </c>
      <c r="AR14" s="53">
        <f t="shared" si="4"/>
        <v>6.5</v>
      </c>
      <c r="AS14" s="42">
        <f t="shared" si="5"/>
        <v>5.3</v>
      </c>
      <c r="AT14" s="38">
        <f t="shared" si="18"/>
        <v>148.87699999999998</v>
      </c>
      <c r="AU14" s="43">
        <f t="shared" si="19"/>
        <v>789.04809999999998</v>
      </c>
      <c r="AW14" s="32" t="s">
        <v>23</v>
      </c>
      <c r="AX14" s="33"/>
      <c r="AY14" s="33"/>
      <c r="AZ14" s="43">
        <f>AU44/AE12^4*(C42*(C42+1)/((C42-1)*(C42-2)*(C42-3)))</f>
        <v>3.5141568846177997</v>
      </c>
      <c r="BB14" s="32">
        <v>6.6</v>
      </c>
      <c r="BC14" s="42">
        <f t="shared" si="6"/>
        <v>5.5</v>
      </c>
      <c r="BD14" s="42">
        <v>6.5</v>
      </c>
      <c r="BE14" s="42">
        <f t="shared" si="7"/>
        <v>5.3</v>
      </c>
      <c r="BF14" s="43">
        <f t="shared" si="20"/>
        <v>29.15</v>
      </c>
    </row>
    <row r="15" spans="3:62" ht="15.75" thickBot="1" x14ac:dyDescent="0.3">
      <c r="C15" s="32">
        <f t="shared" si="8"/>
        <v>9</v>
      </c>
      <c r="D15" s="42">
        <v>-1.4</v>
      </c>
      <c r="E15" s="38">
        <f t="shared" si="0"/>
        <v>114.21185292201977</v>
      </c>
      <c r="F15" s="33">
        <f t="shared" si="9"/>
        <v>1.1000000000000001</v>
      </c>
      <c r="G15" s="33">
        <f t="shared" si="10"/>
        <v>2.5</v>
      </c>
      <c r="H15" s="34">
        <f t="shared" si="11"/>
        <v>6.25</v>
      </c>
      <c r="O15" s="32">
        <f t="shared" si="12"/>
        <v>9</v>
      </c>
      <c r="P15" s="42">
        <v>-1.5</v>
      </c>
      <c r="Q15" s="38">
        <f t="shared" si="1"/>
        <v>114.09668815873937</v>
      </c>
      <c r="R15" s="33">
        <f t="shared" si="13"/>
        <v>1.2</v>
      </c>
      <c r="S15" s="33">
        <f t="shared" si="14"/>
        <v>2.7</v>
      </c>
      <c r="T15" s="34">
        <f t="shared" si="15"/>
        <v>7.2900000000000009</v>
      </c>
      <c r="AB15" s="35"/>
      <c r="AC15" s="36"/>
      <c r="AD15" s="36"/>
      <c r="AE15" s="37"/>
      <c r="AH15" s="32">
        <f t="shared" si="2"/>
        <v>-1.4</v>
      </c>
      <c r="AI15" s="33">
        <f t="shared" si="3"/>
        <v>-2.5</v>
      </c>
      <c r="AJ15" s="38">
        <f t="shared" si="16"/>
        <v>-15.625</v>
      </c>
      <c r="AK15" s="43">
        <f t="shared" si="17"/>
        <v>39.0625</v>
      </c>
      <c r="AM15" s="32"/>
      <c r="AN15" s="33"/>
      <c r="AO15" s="33"/>
      <c r="AP15" s="34"/>
      <c r="AR15" s="53">
        <f t="shared" si="4"/>
        <v>-1.5</v>
      </c>
      <c r="AS15" s="42">
        <f t="shared" si="5"/>
        <v>-2.7</v>
      </c>
      <c r="AT15" s="38">
        <f t="shared" si="18"/>
        <v>-19.683000000000003</v>
      </c>
      <c r="AU15" s="43">
        <f t="shared" si="19"/>
        <v>53.144100000000016</v>
      </c>
      <c r="AW15" s="32"/>
      <c r="AX15" s="33"/>
      <c r="AY15" s="33"/>
      <c r="AZ15" s="34"/>
      <c r="BB15" s="32">
        <v>-1.4</v>
      </c>
      <c r="BC15" s="42">
        <f t="shared" si="6"/>
        <v>-2.5</v>
      </c>
      <c r="BD15" s="42">
        <v>-1.5</v>
      </c>
      <c r="BE15" s="42">
        <f t="shared" si="7"/>
        <v>-2.7</v>
      </c>
      <c r="BF15" s="43">
        <f t="shared" si="20"/>
        <v>6.75</v>
      </c>
    </row>
    <row r="16" spans="3:62" ht="15.75" thickBot="1" x14ac:dyDescent="0.3">
      <c r="C16" s="32">
        <f t="shared" si="8"/>
        <v>10</v>
      </c>
      <c r="D16" s="42">
        <v>3.9</v>
      </c>
      <c r="E16" s="38">
        <f t="shared" si="0"/>
        <v>118.66611518597854</v>
      </c>
      <c r="F16" s="33">
        <f t="shared" si="9"/>
        <v>1.1000000000000001</v>
      </c>
      <c r="G16" s="33">
        <f t="shared" si="10"/>
        <v>2.8</v>
      </c>
      <c r="H16" s="34">
        <f t="shared" si="11"/>
        <v>7.839999999999999</v>
      </c>
      <c r="O16" s="32">
        <f t="shared" si="12"/>
        <v>10</v>
      </c>
      <c r="P16" s="42">
        <v>4.2</v>
      </c>
      <c r="Q16" s="38">
        <f t="shared" si="1"/>
        <v>118.88874906140643</v>
      </c>
      <c r="R16" s="33">
        <f t="shared" si="13"/>
        <v>1.2</v>
      </c>
      <c r="S16" s="33">
        <f t="shared" si="14"/>
        <v>3</v>
      </c>
      <c r="T16" s="34">
        <f t="shared" si="15"/>
        <v>9</v>
      </c>
      <c r="AH16" s="32">
        <f t="shared" si="2"/>
        <v>3.9</v>
      </c>
      <c r="AI16" s="33">
        <f t="shared" si="3"/>
        <v>2.8</v>
      </c>
      <c r="AJ16" s="38">
        <f t="shared" si="16"/>
        <v>21.951999999999995</v>
      </c>
      <c r="AK16" s="43">
        <f t="shared" si="17"/>
        <v>61.465599999999981</v>
      </c>
      <c r="AM16" s="35" t="s">
        <v>56</v>
      </c>
      <c r="AN16" s="36"/>
      <c r="AO16" s="36"/>
      <c r="AP16" s="76">
        <f>+AP14-3*(C42-1)^2/((C42-2)*(C42-3))</f>
        <v>0.16135679370366285</v>
      </c>
      <c r="AR16" s="53">
        <f t="shared" si="4"/>
        <v>4.2</v>
      </c>
      <c r="AS16" s="42">
        <f t="shared" si="5"/>
        <v>3</v>
      </c>
      <c r="AT16" s="38">
        <f t="shared" si="18"/>
        <v>27</v>
      </c>
      <c r="AU16" s="43">
        <f t="shared" si="19"/>
        <v>81</v>
      </c>
      <c r="AW16" s="35" t="s">
        <v>56</v>
      </c>
      <c r="AX16" s="36"/>
      <c r="AY16" s="36"/>
      <c r="AZ16" s="76">
        <f>+AZ14-3*(C42-1)^2/((C42-2)*(C42-3))</f>
        <v>0.23875581509908317</v>
      </c>
      <c r="BB16" s="32">
        <v>3.9</v>
      </c>
      <c r="BC16" s="42">
        <f t="shared" si="6"/>
        <v>2.8</v>
      </c>
      <c r="BD16" s="42">
        <v>4.2</v>
      </c>
      <c r="BE16" s="42">
        <f t="shared" si="7"/>
        <v>3</v>
      </c>
      <c r="BF16" s="43">
        <f t="shared" si="20"/>
        <v>8.3999999999999986</v>
      </c>
    </row>
    <row r="17" spans="3:62" ht="15.75" thickBot="1" x14ac:dyDescent="0.3">
      <c r="C17" s="32">
        <f t="shared" si="8"/>
        <v>11</v>
      </c>
      <c r="D17" s="42">
        <v>-0.5</v>
      </c>
      <c r="E17" s="38">
        <f t="shared" si="0"/>
        <v>118.07278461004864</v>
      </c>
      <c r="F17" s="33">
        <f t="shared" si="9"/>
        <v>1.1000000000000001</v>
      </c>
      <c r="G17" s="33">
        <f t="shared" si="10"/>
        <v>1.6</v>
      </c>
      <c r="H17" s="34">
        <f t="shared" si="11"/>
        <v>2.5600000000000005</v>
      </c>
      <c r="O17" s="32">
        <f t="shared" si="12"/>
        <v>11</v>
      </c>
      <c r="P17" s="42">
        <v>-0.3</v>
      </c>
      <c r="Q17" s="38">
        <f t="shared" si="1"/>
        <v>118.53208281422221</v>
      </c>
      <c r="R17" s="33">
        <f t="shared" si="13"/>
        <v>1.2</v>
      </c>
      <c r="S17" s="33">
        <f t="shared" si="14"/>
        <v>1.5</v>
      </c>
      <c r="T17" s="34">
        <f t="shared" si="15"/>
        <v>2.25</v>
      </c>
      <c r="AH17" s="32">
        <f t="shared" si="2"/>
        <v>-0.5</v>
      </c>
      <c r="AI17" s="33">
        <f t="shared" si="3"/>
        <v>-1.6</v>
      </c>
      <c r="AJ17" s="38">
        <f t="shared" si="16"/>
        <v>-4.096000000000001</v>
      </c>
      <c r="AK17" s="43">
        <f t="shared" si="17"/>
        <v>6.553600000000003</v>
      </c>
      <c r="AR17" s="53">
        <f t="shared" si="4"/>
        <v>-0.3</v>
      </c>
      <c r="AS17" s="42">
        <f t="shared" si="5"/>
        <v>-1.5</v>
      </c>
      <c r="AT17" s="38">
        <f t="shared" si="18"/>
        <v>-3.375</v>
      </c>
      <c r="AU17" s="43">
        <f t="shared" si="19"/>
        <v>5.0625</v>
      </c>
      <c r="BB17" s="32">
        <v>-0.5</v>
      </c>
      <c r="BC17" s="42">
        <f t="shared" si="6"/>
        <v>-1.6</v>
      </c>
      <c r="BD17" s="42">
        <v>-0.3</v>
      </c>
      <c r="BE17" s="42">
        <f t="shared" si="7"/>
        <v>-1.5</v>
      </c>
      <c r="BF17" s="43">
        <f t="shared" si="20"/>
        <v>2.4000000000000004</v>
      </c>
    </row>
    <row r="18" spans="3:62" x14ac:dyDescent="0.25">
      <c r="C18" s="32">
        <f t="shared" si="8"/>
        <v>12</v>
      </c>
      <c r="D18" s="42">
        <v>8.1</v>
      </c>
      <c r="E18" s="38">
        <f t="shared" si="0"/>
        <v>127.63668016346257</v>
      </c>
      <c r="F18" s="33">
        <f t="shared" si="9"/>
        <v>1.1000000000000001</v>
      </c>
      <c r="G18" s="33">
        <f t="shared" si="10"/>
        <v>7</v>
      </c>
      <c r="H18" s="34">
        <f t="shared" si="11"/>
        <v>49</v>
      </c>
      <c r="O18" s="32">
        <f t="shared" si="12"/>
        <v>12</v>
      </c>
      <c r="P18" s="42">
        <v>8.3000000000000007</v>
      </c>
      <c r="Q18" s="38">
        <f t="shared" si="1"/>
        <v>128.37024568780265</v>
      </c>
      <c r="R18" s="33">
        <f t="shared" si="13"/>
        <v>1.2</v>
      </c>
      <c r="S18" s="33">
        <f t="shared" si="14"/>
        <v>7.1000000000000005</v>
      </c>
      <c r="T18" s="34">
        <f t="shared" si="15"/>
        <v>50.410000000000011</v>
      </c>
      <c r="AH18" s="32">
        <f t="shared" si="2"/>
        <v>8.1</v>
      </c>
      <c r="AI18" s="33">
        <f t="shared" si="3"/>
        <v>7</v>
      </c>
      <c r="AJ18" s="38">
        <f t="shared" si="16"/>
        <v>343</v>
      </c>
      <c r="AK18" s="43">
        <f t="shared" si="17"/>
        <v>2401</v>
      </c>
      <c r="AM18" s="63" t="s">
        <v>53</v>
      </c>
      <c r="AN18" s="64"/>
      <c r="AO18" s="64"/>
      <c r="AP18" s="65"/>
      <c r="AR18" s="53">
        <f t="shared" si="4"/>
        <v>8.3000000000000007</v>
      </c>
      <c r="AS18" s="42">
        <f t="shared" si="5"/>
        <v>7.1000000000000005</v>
      </c>
      <c r="AT18" s="38">
        <f t="shared" si="18"/>
        <v>357.91100000000012</v>
      </c>
      <c r="AU18" s="43">
        <f t="shared" si="19"/>
        <v>2541.1681000000012</v>
      </c>
      <c r="AW18" s="63" t="s">
        <v>53</v>
      </c>
      <c r="AX18" s="64"/>
      <c r="AY18" s="64"/>
      <c r="AZ18" s="65"/>
      <c r="BB18" s="32">
        <v>8.1</v>
      </c>
      <c r="BC18" s="42">
        <f t="shared" si="6"/>
        <v>7</v>
      </c>
      <c r="BD18" s="42">
        <v>8.3000000000000007</v>
      </c>
      <c r="BE18" s="42">
        <f t="shared" si="7"/>
        <v>7.1000000000000005</v>
      </c>
      <c r="BF18" s="43">
        <f t="shared" si="20"/>
        <v>49.7</v>
      </c>
      <c r="BH18" s="63" t="s">
        <v>53</v>
      </c>
      <c r="BI18" s="64"/>
      <c r="BJ18" s="65"/>
    </row>
    <row r="19" spans="3:62" ht="15.75" thickBot="1" x14ac:dyDescent="0.3">
      <c r="C19" s="32">
        <f t="shared" si="8"/>
        <v>13</v>
      </c>
      <c r="D19" s="42">
        <v>4</v>
      </c>
      <c r="E19" s="38">
        <f t="shared" si="0"/>
        <v>132.74214737000108</v>
      </c>
      <c r="F19" s="33">
        <f t="shared" si="9"/>
        <v>1.1000000000000001</v>
      </c>
      <c r="G19" s="33">
        <f t="shared" si="10"/>
        <v>2.9</v>
      </c>
      <c r="H19" s="34">
        <f t="shared" si="11"/>
        <v>8.41</v>
      </c>
      <c r="O19" s="32">
        <f t="shared" si="12"/>
        <v>13</v>
      </c>
      <c r="P19" s="42">
        <v>3.9</v>
      </c>
      <c r="Q19" s="38">
        <f t="shared" si="1"/>
        <v>133.37668526962693</v>
      </c>
      <c r="R19" s="33">
        <f t="shared" si="13"/>
        <v>1.2</v>
      </c>
      <c r="S19" s="33">
        <f t="shared" si="14"/>
        <v>2.7</v>
      </c>
      <c r="T19" s="34">
        <f t="shared" si="15"/>
        <v>7.2900000000000009</v>
      </c>
      <c r="AH19" s="32">
        <f t="shared" si="2"/>
        <v>4</v>
      </c>
      <c r="AI19" s="33">
        <f t="shared" si="3"/>
        <v>2.9</v>
      </c>
      <c r="AJ19" s="38">
        <f t="shared" si="16"/>
        <v>24.388999999999999</v>
      </c>
      <c r="AK19" s="43">
        <f t="shared" si="17"/>
        <v>70.728099999999998</v>
      </c>
      <c r="AM19" s="66"/>
      <c r="AN19" s="67"/>
      <c r="AO19" s="67"/>
      <c r="AP19" s="68"/>
      <c r="AR19" s="53">
        <f t="shared" si="4"/>
        <v>3.9</v>
      </c>
      <c r="AS19" s="42">
        <f t="shared" si="5"/>
        <v>2.7</v>
      </c>
      <c r="AT19" s="38">
        <f t="shared" si="18"/>
        <v>19.683000000000003</v>
      </c>
      <c r="AU19" s="43">
        <f t="shared" si="19"/>
        <v>53.144100000000016</v>
      </c>
      <c r="AW19" s="66"/>
      <c r="AX19" s="67"/>
      <c r="AY19" s="67"/>
      <c r="AZ19" s="68"/>
      <c r="BB19" s="32">
        <v>4</v>
      </c>
      <c r="BC19" s="42">
        <f t="shared" si="6"/>
        <v>2.9</v>
      </c>
      <c r="BD19" s="42">
        <v>3.9</v>
      </c>
      <c r="BE19" s="42">
        <f t="shared" si="7"/>
        <v>2.7</v>
      </c>
      <c r="BF19" s="43">
        <f t="shared" si="20"/>
        <v>7.83</v>
      </c>
      <c r="BH19" s="66"/>
      <c r="BI19" s="67"/>
      <c r="BJ19" s="68"/>
    </row>
    <row r="20" spans="3:62" x14ac:dyDescent="0.25">
      <c r="C20" s="32">
        <f t="shared" si="8"/>
        <v>14</v>
      </c>
      <c r="D20" s="42">
        <v>-3.7</v>
      </c>
      <c r="E20" s="38">
        <f t="shared" si="0"/>
        <v>127.83068791731104</v>
      </c>
      <c r="F20" s="33">
        <f t="shared" si="9"/>
        <v>1.1000000000000001</v>
      </c>
      <c r="G20" s="33">
        <f t="shared" si="10"/>
        <v>4.8000000000000007</v>
      </c>
      <c r="H20" s="34">
        <f t="shared" si="11"/>
        <v>23.040000000000006</v>
      </c>
      <c r="O20" s="32">
        <f t="shared" si="12"/>
        <v>14</v>
      </c>
      <c r="P20" s="42">
        <v>-3.8</v>
      </c>
      <c r="Q20" s="38">
        <f t="shared" si="1"/>
        <v>128.30837122938109</v>
      </c>
      <c r="R20" s="33">
        <f t="shared" si="13"/>
        <v>1.2</v>
      </c>
      <c r="S20" s="33">
        <f t="shared" si="14"/>
        <v>5</v>
      </c>
      <c r="T20" s="34">
        <f t="shared" si="15"/>
        <v>25</v>
      </c>
      <c r="AB20" s="63" t="s">
        <v>53</v>
      </c>
      <c r="AC20" s="64"/>
      <c r="AD20" s="64"/>
      <c r="AE20" s="65"/>
      <c r="AH20" s="32">
        <f t="shared" si="2"/>
        <v>-3.7</v>
      </c>
      <c r="AI20" s="33">
        <f t="shared" si="3"/>
        <v>-4.8000000000000007</v>
      </c>
      <c r="AJ20" s="38">
        <f t="shared" si="16"/>
        <v>-110.59200000000004</v>
      </c>
      <c r="AK20" s="43">
        <f t="shared" si="17"/>
        <v>530.84160000000031</v>
      </c>
      <c r="AM20" s="69" t="s">
        <v>57</v>
      </c>
      <c r="AN20" s="70"/>
      <c r="AO20" s="70"/>
      <c r="AP20" s="71">
        <f>SKEW(D7:D42)</f>
        <v>-0.24847026397682551</v>
      </c>
      <c r="AR20" s="53">
        <f t="shared" si="4"/>
        <v>-3.8</v>
      </c>
      <c r="AS20" s="42">
        <f t="shared" si="5"/>
        <v>-5</v>
      </c>
      <c r="AT20" s="38">
        <f t="shared" si="18"/>
        <v>-125</v>
      </c>
      <c r="AU20" s="43">
        <f t="shared" si="19"/>
        <v>625</v>
      </c>
      <c r="AW20" s="69" t="s">
        <v>57</v>
      </c>
      <c r="AX20" s="70"/>
      <c r="AY20" s="70"/>
      <c r="AZ20" s="71">
        <f>SKEW(P7:P42)</f>
        <v>-0.37845974031750856</v>
      </c>
      <c r="BB20" s="32">
        <v>-3.7</v>
      </c>
      <c r="BC20" s="42">
        <f t="shared" si="6"/>
        <v>-4.8000000000000007</v>
      </c>
      <c r="BD20" s="42">
        <v>-3.8</v>
      </c>
      <c r="BE20" s="42">
        <f t="shared" si="7"/>
        <v>-5</v>
      </c>
      <c r="BF20" s="43">
        <f t="shared" si="20"/>
        <v>24.000000000000004</v>
      </c>
      <c r="BH20" s="78" t="s">
        <v>27</v>
      </c>
      <c r="BI20" s="79"/>
      <c r="BJ20" s="80">
        <f>COVAR(D7:D42,P7:P42)</f>
        <v>11.093611111111114</v>
      </c>
    </row>
    <row r="21" spans="3:62" ht="15.75" thickBot="1" x14ac:dyDescent="0.3">
      <c r="C21" s="32">
        <f t="shared" si="8"/>
        <v>15</v>
      </c>
      <c r="D21" s="42">
        <v>-6.1</v>
      </c>
      <c r="E21" s="38">
        <f t="shared" si="0"/>
        <v>120.03301595435508</v>
      </c>
      <c r="F21" s="33">
        <f t="shared" si="9"/>
        <v>1.1000000000000001</v>
      </c>
      <c r="G21" s="33">
        <f t="shared" si="10"/>
        <v>7.1999999999999993</v>
      </c>
      <c r="H21" s="34">
        <f t="shared" si="11"/>
        <v>51.839999999999989</v>
      </c>
      <c r="O21" s="32">
        <f t="shared" si="12"/>
        <v>15</v>
      </c>
      <c r="P21" s="42">
        <v>-6.2</v>
      </c>
      <c r="Q21" s="38">
        <f t="shared" si="1"/>
        <v>120.35325221315946</v>
      </c>
      <c r="R21" s="33">
        <f t="shared" si="13"/>
        <v>1.2</v>
      </c>
      <c r="S21" s="33">
        <f t="shared" si="14"/>
        <v>7.4</v>
      </c>
      <c r="T21" s="34">
        <f t="shared" si="15"/>
        <v>54.760000000000005</v>
      </c>
      <c r="AB21" s="66"/>
      <c r="AC21" s="67"/>
      <c r="AD21" s="67"/>
      <c r="AE21" s="68"/>
      <c r="AH21" s="32">
        <f t="shared" si="2"/>
        <v>-6.1</v>
      </c>
      <c r="AI21" s="33">
        <f t="shared" si="3"/>
        <v>-7.1999999999999993</v>
      </c>
      <c r="AJ21" s="38">
        <f t="shared" si="16"/>
        <v>-373.24799999999988</v>
      </c>
      <c r="AK21" s="43">
        <f t="shared" si="17"/>
        <v>2687.3855999999987</v>
      </c>
      <c r="AM21" s="69"/>
      <c r="AN21" s="70"/>
      <c r="AO21" s="70"/>
      <c r="AP21" s="72"/>
      <c r="AR21" s="53">
        <f t="shared" si="4"/>
        <v>-6.2</v>
      </c>
      <c r="AS21" s="42">
        <f t="shared" si="5"/>
        <v>-7.4</v>
      </c>
      <c r="AT21" s="38">
        <f t="shared" si="18"/>
        <v>-405.22400000000005</v>
      </c>
      <c r="AU21" s="43">
        <f t="shared" si="19"/>
        <v>2998.6576000000005</v>
      </c>
      <c r="AW21" s="69"/>
      <c r="AX21" s="70"/>
      <c r="AY21" s="70"/>
      <c r="AZ21" s="72"/>
      <c r="BB21" s="32">
        <v>-6.1</v>
      </c>
      <c r="BC21" s="42">
        <f t="shared" si="6"/>
        <v>-7.1999999999999993</v>
      </c>
      <c r="BD21" s="42">
        <v>-6.2</v>
      </c>
      <c r="BE21" s="42">
        <f t="shared" si="7"/>
        <v>-7.4</v>
      </c>
      <c r="BF21" s="43">
        <f t="shared" si="20"/>
        <v>53.279999999999994</v>
      </c>
      <c r="BH21" s="69"/>
      <c r="BI21" s="70"/>
      <c r="BJ21" s="72"/>
    </row>
    <row r="22" spans="3:62" ht="15.75" thickBot="1" x14ac:dyDescent="0.3">
      <c r="C22" s="32">
        <f t="shared" si="8"/>
        <v>16</v>
      </c>
      <c r="D22" s="42">
        <v>1.4</v>
      </c>
      <c r="E22" s="38">
        <f t="shared" si="0"/>
        <v>121.71347817771606</v>
      </c>
      <c r="F22" s="33">
        <f t="shared" si="9"/>
        <v>1.1000000000000001</v>
      </c>
      <c r="G22" s="33">
        <f t="shared" si="10"/>
        <v>0.29999999999999982</v>
      </c>
      <c r="H22" s="34">
        <f t="shared" si="11"/>
        <v>8.99999999999999E-2</v>
      </c>
      <c r="O22" s="32">
        <f t="shared" si="12"/>
        <v>16</v>
      </c>
      <c r="P22" s="42">
        <v>1.5</v>
      </c>
      <c r="Q22" s="38">
        <f t="shared" si="1"/>
        <v>122.15855099635685</v>
      </c>
      <c r="R22" s="33">
        <f t="shared" si="13"/>
        <v>1.2</v>
      </c>
      <c r="S22" s="33">
        <f t="shared" si="14"/>
        <v>0.30000000000000004</v>
      </c>
      <c r="T22" s="34">
        <f t="shared" si="15"/>
        <v>9.0000000000000024E-2</v>
      </c>
      <c r="AB22" s="69" t="s">
        <v>51</v>
      </c>
      <c r="AC22" s="70"/>
      <c r="AD22" s="70"/>
      <c r="AE22" s="71">
        <f>STDEVP(D7:D42)</f>
        <v>3.3173784830796746</v>
      </c>
      <c r="AH22" s="32">
        <f t="shared" si="2"/>
        <v>1.4</v>
      </c>
      <c r="AI22" s="33">
        <f t="shared" si="3"/>
        <v>0.29999999999999982</v>
      </c>
      <c r="AJ22" s="38">
        <f t="shared" si="16"/>
        <v>2.6999999999999955E-2</v>
      </c>
      <c r="AK22" s="43">
        <f t="shared" si="17"/>
        <v>8.0999999999999822E-3</v>
      </c>
      <c r="AM22" s="73" t="s">
        <v>56</v>
      </c>
      <c r="AN22" s="74"/>
      <c r="AO22" s="74"/>
      <c r="AP22" s="75">
        <f>KURT(D7:D42)</f>
        <v>0.16135679370366196</v>
      </c>
      <c r="AR22" s="53">
        <f t="shared" si="4"/>
        <v>1.5</v>
      </c>
      <c r="AS22" s="42">
        <f t="shared" si="5"/>
        <v>0.30000000000000004</v>
      </c>
      <c r="AT22" s="38">
        <f t="shared" si="18"/>
        <v>2.700000000000001E-2</v>
      </c>
      <c r="AU22" s="43">
        <f t="shared" si="19"/>
        <v>8.1000000000000048E-3</v>
      </c>
      <c r="AW22" s="73" t="s">
        <v>56</v>
      </c>
      <c r="AX22" s="74"/>
      <c r="AY22" s="74"/>
      <c r="AZ22" s="75">
        <f>KURT(P7:P42)</f>
        <v>0.23875581509908228</v>
      </c>
      <c r="BB22" s="32">
        <v>1.4</v>
      </c>
      <c r="BC22" s="42">
        <f t="shared" si="6"/>
        <v>0.29999999999999982</v>
      </c>
      <c r="BD22" s="42">
        <v>1.5</v>
      </c>
      <c r="BE22" s="42">
        <f t="shared" si="7"/>
        <v>0.30000000000000004</v>
      </c>
      <c r="BF22" s="43">
        <f t="shared" si="20"/>
        <v>8.9999999999999955E-2</v>
      </c>
      <c r="BH22" s="73" t="s">
        <v>26</v>
      </c>
      <c r="BI22" s="74"/>
      <c r="BJ22" s="81">
        <f>CORREL(D7:D42,P7:P42)</f>
        <v>0.99465998465587535</v>
      </c>
    </row>
    <row r="23" spans="3:62" x14ac:dyDescent="0.25">
      <c r="C23" s="32">
        <f t="shared" si="8"/>
        <v>17</v>
      </c>
      <c r="D23" s="42">
        <v>-4.9000000000000004</v>
      </c>
      <c r="E23" s="38">
        <f t="shared" si="0"/>
        <v>115.74951774700796</v>
      </c>
      <c r="F23" s="33">
        <f t="shared" si="9"/>
        <v>1.1000000000000001</v>
      </c>
      <c r="G23" s="33">
        <f t="shared" si="10"/>
        <v>6</v>
      </c>
      <c r="H23" s="34">
        <f t="shared" si="11"/>
        <v>36</v>
      </c>
      <c r="O23" s="32">
        <f t="shared" si="12"/>
        <v>17</v>
      </c>
      <c r="P23" s="42">
        <v>-4.8</v>
      </c>
      <c r="Q23" s="38">
        <f t="shared" si="1"/>
        <v>116.29494054853171</v>
      </c>
      <c r="R23" s="33">
        <f t="shared" si="13"/>
        <v>1.2</v>
      </c>
      <c r="S23" s="33">
        <f t="shared" si="14"/>
        <v>6</v>
      </c>
      <c r="T23" s="34">
        <f t="shared" si="15"/>
        <v>36</v>
      </c>
      <c r="AB23" s="69"/>
      <c r="AC23" s="70"/>
      <c r="AD23" s="70"/>
      <c r="AE23" s="72"/>
      <c r="AH23" s="32">
        <f t="shared" si="2"/>
        <v>-4.9000000000000004</v>
      </c>
      <c r="AI23" s="33">
        <f t="shared" si="3"/>
        <v>-6</v>
      </c>
      <c r="AJ23" s="38">
        <f t="shared" si="16"/>
        <v>-216</v>
      </c>
      <c r="AK23" s="43">
        <f t="shared" si="17"/>
        <v>1296</v>
      </c>
      <c r="AR23" s="53">
        <f t="shared" si="4"/>
        <v>-4.8</v>
      </c>
      <c r="AS23" s="42">
        <f t="shared" si="5"/>
        <v>-6</v>
      </c>
      <c r="AT23" s="38">
        <f t="shared" si="18"/>
        <v>-216</v>
      </c>
      <c r="AU23" s="43">
        <f t="shared" si="19"/>
        <v>1296</v>
      </c>
      <c r="BB23" s="32">
        <v>-4.9000000000000004</v>
      </c>
      <c r="BC23" s="42">
        <f t="shared" si="6"/>
        <v>-6</v>
      </c>
      <c r="BD23" s="42">
        <v>-4.8</v>
      </c>
      <c r="BE23" s="42">
        <f t="shared" si="7"/>
        <v>-6</v>
      </c>
      <c r="BF23" s="43">
        <f t="shared" si="20"/>
        <v>36</v>
      </c>
    </row>
    <row r="24" spans="3:62" x14ac:dyDescent="0.25">
      <c r="C24" s="32">
        <f t="shared" si="8"/>
        <v>18</v>
      </c>
      <c r="D24" s="42">
        <v>-2.1</v>
      </c>
      <c r="E24" s="38">
        <f t="shared" si="0"/>
        <v>113.31877787432079</v>
      </c>
      <c r="F24" s="33">
        <f t="shared" si="9"/>
        <v>1.1000000000000001</v>
      </c>
      <c r="G24" s="33">
        <f t="shared" si="10"/>
        <v>3.2</v>
      </c>
      <c r="H24" s="34">
        <f t="shared" si="11"/>
        <v>10.240000000000002</v>
      </c>
      <c r="O24" s="32">
        <f t="shared" si="12"/>
        <v>18</v>
      </c>
      <c r="P24" s="42">
        <v>-2</v>
      </c>
      <c r="Q24" s="38">
        <f t="shared" si="1"/>
        <v>113.96904173756107</v>
      </c>
      <c r="R24" s="33">
        <f t="shared" si="13"/>
        <v>1.2</v>
      </c>
      <c r="S24" s="33">
        <f t="shared" si="14"/>
        <v>3.2</v>
      </c>
      <c r="T24" s="34">
        <f t="shared" si="15"/>
        <v>10.240000000000002</v>
      </c>
      <c r="AB24" s="69" t="s">
        <v>20</v>
      </c>
      <c r="AC24" s="70"/>
      <c r="AD24" s="70"/>
      <c r="AE24" s="71">
        <f>STDEV(D7:D42)</f>
        <v>3.3644358474235432</v>
      </c>
      <c r="AH24" s="32">
        <f t="shared" si="2"/>
        <v>-2.1</v>
      </c>
      <c r="AI24" s="33">
        <f t="shared" si="3"/>
        <v>-3.2</v>
      </c>
      <c r="AJ24" s="38">
        <f t="shared" si="16"/>
        <v>-32.768000000000008</v>
      </c>
      <c r="AK24" s="43">
        <f t="shared" si="17"/>
        <v>104.85760000000005</v>
      </c>
      <c r="AR24" s="53">
        <f t="shared" si="4"/>
        <v>-2</v>
      </c>
      <c r="AS24" s="42">
        <f t="shared" si="5"/>
        <v>-3.2</v>
      </c>
      <c r="AT24" s="38">
        <f t="shared" si="18"/>
        <v>-32.768000000000008</v>
      </c>
      <c r="AU24" s="43">
        <f t="shared" si="19"/>
        <v>104.85760000000005</v>
      </c>
      <c r="BB24" s="32">
        <v>-2.1</v>
      </c>
      <c r="BC24" s="42">
        <f t="shared" si="6"/>
        <v>-3.2</v>
      </c>
      <c r="BD24" s="42">
        <v>-2</v>
      </c>
      <c r="BE24" s="42">
        <f t="shared" si="7"/>
        <v>-3.2</v>
      </c>
      <c r="BF24" s="43">
        <f t="shared" si="20"/>
        <v>10.240000000000002</v>
      </c>
    </row>
    <row r="25" spans="3:62" x14ac:dyDescent="0.25">
      <c r="C25" s="32">
        <f t="shared" si="8"/>
        <v>19</v>
      </c>
      <c r="D25" s="42">
        <v>6.2</v>
      </c>
      <c r="E25" s="38">
        <f t="shared" si="0"/>
        <v>120.34454210252868</v>
      </c>
      <c r="F25" s="33">
        <f t="shared" si="9"/>
        <v>1.1000000000000001</v>
      </c>
      <c r="G25" s="33">
        <f t="shared" si="10"/>
        <v>5.0999999999999996</v>
      </c>
      <c r="H25" s="34">
        <f t="shared" si="11"/>
        <v>26.009999999999998</v>
      </c>
      <c r="O25" s="32">
        <f t="shared" si="12"/>
        <v>19</v>
      </c>
      <c r="P25" s="42">
        <v>6.0000000000000053</v>
      </c>
      <c r="Q25" s="38">
        <f t="shared" si="1"/>
        <v>120.80718424181474</v>
      </c>
      <c r="R25" s="33">
        <f t="shared" si="13"/>
        <v>1.2</v>
      </c>
      <c r="S25" s="33">
        <f t="shared" si="14"/>
        <v>4.8000000000000052</v>
      </c>
      <c r="T25" s="34">
        <f t="shared" si="15"/>
        <v>23.040000000000049</v>
      </c>
      <c r="AB25" s="69"/>
      <c r="AC25" s="70"/>
      <c r="AD25" s="70"/>
      <c r="AE25" s="72"/>
      <c r="AH25" s="32">
        <f t="shared" si="2"/>
        <v>6.2</v>
      </c>
      <c r="AI25" s="33">
        <f t="shared" si="3"/>
        <v>5.0999999999999996</v>
      </c>
      <c r="AJ25" s="38">
        <f t="shared" si="16"/>
        <v>132.65099999999998</v>
      </c>
      <c r="AK25" s="43">
        <f t="shared" si="17"/>
        <v>676.52009999999984</v>
      </c>
      <c r="AR25" s="53">
        <f t="shared" si="4"/>
        <v>6.0000000000000053</v>
      </c>
      <c r="AS25" s="42">
        <f t="shared" si="5"/>
        <v>4.8000000000000052</v>
      </c>
      <c r="AT25" s="38">
        <f t="shared" si="18"/>
        <v>110.59200000000035</v>
      </c>
      <c r="AU25" s="43">
        <f t="shared" si="19"/>
        <v>530.84160000000224</v>
      </c>
      <c r="BB25" s="32">
        <v>6.2</v>
      </c>
      <c r="BC25" s="42">
        <f t="shared" si="6"/>
        <v>5.0999999999999996</v>
      </c>
      <c r="BD25" s="42">
        <v>6.0000000000000053</v>
      </c>
      <c r="BE25" s="42">
        <f t="shared" si="7"/>
        <v>4.8000000000000052</v>
      </c>
      <c r="BF25" s="43">
        <f t="shared" si="20"/>
        <v>24.480000000000025</v>
      </c>
    </row>
    <row r="26" spans="3:62" x14ac:dyDescent="0.25">
      <c r="C26" s="32">
        <f t="shared" si="8"/>
        <v>20</v>
      </c>
      <c r="D26" s="42">
        <v>5.8</v>
      </c>
      <c r="E26" s="38">
        <f t="shared" si="0"/>
        <v>127.32452554447535</v>
      </c>
      <c r="F26" s="33">
        <f t="shared" si="9"/>
        <v>1.1000000000000001</v>
      </c>
      <c r="G26" s="33">
        <f t="shared" si="10"/>
        <v>4.6999999999999993</v>
      </c>
      <c r="H26" s="34">
        <f t="shared" si="11"/>
        <v>22.089999999999993</v>
      </c>
      <c r="O26" s="32">
        <f t="shared" si="12"/>
        <v>20</v>
      </c>
      <c r="P26" s="42">
        <v>5.6</v>
      </c>
      <c r="Q26" s="38">
        <f t="shared" si="1"/>
        <v>127.57238655935637</v>
      </c>
      <c r="R26" s="33">
        <f t="shared" si="13"/>
        <v>1.2</v>
      </c>
      <c r="S26" s="33">
        <f t="shared" si="14"/>
        <v>4.3999999999999995</v>
      </c>
      <c r="T26" s="34">
        <f t="shared" si="15"/>
        <v>19.359999999999996</v>
      </c>
      <c r="AB26" s="69" t="s">
        <v>52</v>
      </c>
      <c r="AC26" s="70"/>
      <c r="AD26" s="70"/>
      <c r="AE26" s="71">
        <f>STDEVP(P7:P42)</f>
        <v>3.3620430296671304</v>
      </c>
      <c r="AH26" s="32">
        <f t="shared" si="2"/>
        <v>5.8</v>
      </c>
      <c r="AI26" s="33">
        <f t="shared" si="3"/>
        <v>4.6999999999999993</v>
      </c>
      <c r="AJ26" s="38">
        <f t="shared" si="16"/>
        <v>103.82299999999995</v>
      </c>
      <c r="AK26" s="43">
        <f t="shared" si="17"/>
        <v>487.96809999999965</v>
      </c>
      <c r="AR26" s="53">
        <f t="shared" si="4"/>
        <v>5.6</v>
      </c>
      <c r="AS26" s="42">
        <f t="shared" si="5"/>
        <v>4.3999999999999995</v>
      </c>
      <c r="AT26" s="38">
        <f t="shared" si="18"/>
        <v>85.183999999999969</v>
      </c>
      <c r="AU26" s="43">
        <f t="shared" si="19"/>
        <v>374.80959999999982</v>
      </c>
      <c r="BB26" s="32">
        <v>5.8</v>
      </c>
      <c r="BC26" s="42">
        <f t="shared" si="6"/>
        <v>4.6999999999999993</v>
      </c>
      <c r="BD26" s="42">
        <v>5.6</v>
      </c>
      <c r="BE26" s="42">
        <f t="shared" si="7"/>
        <v>4.3999999999999995</v>
      </c>
      <c r="BF26" s="43">
        <f t="shared" si="20"/>
        <v>20.679999999999993</v>
      </c>
    </row>
    <row r="27" spans="3:62" x14ac:dyDescent="0.25">
      <c r="C27" s="32">
        <f t="shared" si="8"/>
        <v>21</v>
      </c>
      <c r="D27" s="42">
        <v>-6.4</v>
      </c>
      <c r="E27" s="38">
        <f t="shared" si="0"/>
        <v>119.17575590962892</v>
      </c>
      <c r="F27" s="33">
        <f t="shared" si="9"/>
        <v>1.1000000000000001</v>
      </c>
      <c r="G27" s="33">
        <f t="shared" si="10"/>
        <v>7.5</v>
      </c>
      <c r="H27" s="34">
        <f t="shared" si="11"/>
        <v>56.25</v>
      </c>
      <c r="O27" s="32">
        <f t="shared" si="12"/>
        <v>21</v>
      </c>
      <c r="P27" s="42">
        <v>-6.7</v>
      </c>
      <c r="Q27" s="38">
        <f t="shared" si="1"/>
        <v>119.0250366598795</v>
      </c>
      <c r="R27" s="33">
        <f t="shared" si="13"/>
        <v>1.2</v>
      </c>
      <c r="S27" s="33">
        <f t="shared" si="14"/>
        <v>7.9</v>
      </c>
      <c r="T27" s="34">
        <f t="shared" si="15"/>
        <v>62.410000000000004</v>
      </c>
      <c r="AB27" s="69"/>
      <c r="AC27" s="70"/>
      <c r="AD27" s="70"/>
      <c r="AE27" s="71" t="s">
        <v>0</v>
      </c>
      <c r="AH27" s="32">
        <f t="shared" si="2"/>
        <v>-6.4</v>
      </c>
      <c r="AI27" s="33">
        <f t="shared" si="3"/>
        <v>-7.5</v>
      </c>
      <c r="AJ27" s="38">
        <f t="shared" si="16"/>
        <v>-421.875</v>
      </c>
      <c r="AK27" s="43">
        <f t="shared" si="17"/>
        <v>3164.0625</v>
      </c>
      <c r="AR27" s="53">
        <f t="shared" si="4"/>
        <v>-6.7</v>
      </c>
      <c r="AS27" s="42">
        <f t="shared" si="5"/>
        <v>-7.9</v>
      </c>
      <c r="AT27" s="38">
        <f t="shared" si="18"/>
        <v>-493.03900000000004</v>
      </c>
      <c r="AU27" s="43">
        <f t="shared" si="19"/>
        <v>3895.0081000000005</v>
      </c>
      <c r="BB27" s="32">
        <v>-6.4</v>
      </c>
      <c r="BC27" s="42">
        <f t="shared" si="6"/>
        <v>-7.5</v>
      </c>
      <c r="BD27" s="42">
        <v>-6.7</v>
      </c>
      <c r="BE27" s="42">
        <f t="shared" si="7"/>
        <v>-7.9</v>
      </c>
      <c r="BF27" s="43">
        <f t="shared" si="20"/>
        <v>59.25</v>
      </c>
    </row>
    <row r="28" spans="3:62" ht="15.75" thickBot="1" x14ac:dyDescent="0.3">
      <c r="C28" s="32">
        <f t="shared" si="8"/>
        <v>22</v>
      </c>
      <c r="D28" s="42">
        <v>1.7</v>
      </c>
      <c r="E28" s="38">
        <f t="shared" si="0"/>
        <v>121.2017437600926</v>
      </c>
      <c r="F28" s="33">
        <f t="shared" si="9"/>
        <v>1.1000000000000001</v>
      </c>
      <c r="G28" s="33">
        <f t="shared" si="10"/>
        <v>0.59999999999999987</v>
      </c>
      <c r="H28" s="34">
        <f t="shared" si="11"/>
        <v>0.35999999999999982</v>
      </c>
      <c r="O28" s="32">
        <f t="shared" si="12"/>
        <v>22</v>
      </c>
      <c r="P28" s="42">
        <v>1.9</v>
      </c>
      <c r="Q28" s="38">
        <f t="shared" si="1"/>
        <v>121.28651235641721</v>
      </c>
      <c r="R28" s="33">
        <f t="shared" si="13"/>
        <v>1.2</v>
      </c>
      <c r="S28" s="33">
        <f t="shared" si="14"/>
        <v>0.7</v>
      </c>
      <c r="T28" s="34">
        <f t="shared" si="15"/>
        <v>0.48999999999999994</v>
      </c>
      <c r="AB28" s="73" t="s">
        <v>20</v>
      </c>
      <c r="AC28" s="74"/>
      <c r="AD28" s="74"/>
      <c r="AE28" s="75">
        <f>STDEV(P7:P42)</f>
        <v>3.4097339653242331</v>
      </c>
      <c r="AH28" s="32">
        <f t="shared" si="2"/>
        <v>1.7</v>
      </c>
      <c r="AI28" s="33">
        <f t="shared" si="3"/>
        <v>0.59999999999999987</v>
      </c>
      <c r="AJ28" s="38">
        <f t="shared" si="16"/>
        <v>0.21599999999999983</v>
      </c>
      <c r="AK28" s="43">
        <f t="shared" si="17"/>
        <v>0.12959999999999988</v>
      </c>
      <c r="AR28" s="53">
        <f t="shared" si="4"/>
        <v>1.9</v>
      </c>
      <c r="AS28" s="42">
        <f t="shared" si="5"/>
        <v>0.7</v>
      </c>
      <c r="AT28" s="38">
        <f t="shared" si="18"/>
        <v>0.34299999999999992</v>
      </c>
      <c r="AU28" s="43">
        <f t="shared" si="19"/>
        <v>0.24009999999999992</v>
      </c>
      <c r="BB28" s="32">
        <v>1.7</v>
      </c>
      <c r="BC28" s="42">
        <f t="shared" si="6"/>
        <v>0.59999999999999987</v>
      </c>
      <c r="BD28" s="42">
        <v>1.9</v>
      </c>
      <c r="BE28" s="42">
        <f t="shared" si="7"/>
        <v>0.7</v>
      </c>
      <c r="BF28" s="43">
        <f t="shared" si="20"/>
        <v>0.41999999999999987</v>
      </c>
    </row>
    <row r="29" spans="3:62" x14ac:dyDescent="0.25">
      <c r="C29" s="32">
        <f t="shared" si="8"/>
        <v>23</v>
      </c>
      <c r="D29" s="42">
        <v>-0.4</v>
      </c>
      <c r="E29" s="38">
        <f t="shared" si="0"/>
        <v>120.71693678505223</v>
      </c>
      <c r="F29" s="33">
        <f t="shared" si="9"/>
        <v>1.1000000000000001</v>
      </c>
      <c r="G29" s="33">
        <f t="shared" si="10"/>
        <v>1.5</v>
      </c>
      <c r="H29" s="34">
        <f t="shared" si="11"/>
        <v>2.25</v>
      </c>
      <c r="O29" s="32">
        <f t="shared" si="12"/>
        <v>23</v>
      </c>
      <c r="P29" s="42">
        <v>-0.3</v>
      </c>
      <c r="Q29" s="38">
        <f t="shared" si="1"/>
        <v>120.92265281934796</v>
      </c>
      <c r="R29" s="33">
        <f t="shared" si="13"/>
        <v>1.2</v>
      </c>
      <c r="S29" s="33">
        <f t="shared" si="14"/>
        <v>1.5</v>
      </c>
      <c r="T29" s="34">
        <f t="shared" si="15"/>
        <v>2.25</v>
      </c>
      <c r="AB29" t="s">
        <v>0</v>
      </c>
      <c r="AE29" s="153" t="s">
        <v>0</v>
      </c>
      <c r="AF29" s="153"/>
      <c r="AH29" s="32">
        <f t="shared" si="2"/>
        <v>-0.4</v>
      </c>
      <c r="AI29" s="33">
        <f t="shared" si="3"/>
        <v>-1.5</v>
      </c>
      <c r="AJ29" s="38">
        <f t="shared" si="16"/>
        <v>-3.375</v>
      </c>
      <c r="AK29" s="43">
        <f t="shared" si="17"/>
        <v>5.0625</v>
      </c>
      <c r="AR29" s="53">
        <f t="shared" si="4"/>
        <v>-0.3</v>
      </c>
      <c r="AS29" s="42">
        <f t="shared" si="5"/>
        <v>-1.5</v>
      </c>
      <c r="AT29" s="38">
        <f t="shared" si="18"/>
        <v>-3.375</v>
      </c>
      <c r="AU29" s="43">
        <f t="shared" si="19"/>
        <v>5.0625</v>
      </c>
      <c r="BB29" s="32">
        <v>-0.4</v>
      </c>
      <c r="BC29" s="42">
        <f t="shared" si="6"/>
        <v>-1.5</v>
      </c>
      <c r="BD29" s="42">
        <v>-0.3</v>
      </c>
      <c r="BE29" s="42">
        <f t="shared" si="7"/>
        <v>-1.5</v>
      </c>
      <c r="BF29" s="43">
        <f t="shared" si="20"/>
        <v>2.25</v>
      </c>
    </row>
    <row r="30" spans="3:62" x14ac:dyDescent="0.25">
      <c r="C30" s="32">
        <f t="shared" si="8"/>
        <v>24</v>
      </c>
      <c r="D30" s="42">
        <v>-0.2</v>
      </c>
      <c r="E30" s="38">
        <f t="shared" si="0"/>
        <v>120.47550291148212</v>
      </c>
      <c r="F30" s="33">
        <f t="shared" si="9"/>
        <v>1.1000000000000001</v>
      </c>
      <c r="G30" s="33">
        <f t="shared" si="10"/>
        <v>1.3</v>
      </c>
      <c r="H30" s="34">
        <f t="shared" si="11"/>
        <v>1.6900000000000002</v>
      </c>
      <c r="O30" s="32">
        <f t="shared" si="12"/>
        <v>24</v>
      </c>
      <c r="P30" s="42">
        <v>-0.1</v>
      </c>
      <c r="Q30" s="38">
        <f t="shared" si="1"/>
        <v>120.80173016652861</v>
      </c>
      <c r="R30" s="33">
        <f t="shared" si="13"/>
        <v>1.2</v>
      </c>
      <c r="S30" s="33">
        <f t="shared" si="14"/>
        <v>1.3</v>
      </c>
      <c r="T30" s="34">
        <f t="shared" si="15"/>
        <v>1.6900000000000002</v>
      </c>
      <c r="AH30" s="32">
        <f t="shared" si="2"/>
        <v>-0.2</v>
      </c>
      <c r="AI30" s="33">
        <f t="shared" si="3"/>
        <v>-1.3</v>
      </c>
      <c r="AJ30" s="38">
        <f t="shared" si="16"/>
        <v>-2.1970000000000005</v>
      </c>
      <c r="AK30" s="43">
        <f t="shared" si="17"/>
        <v>2.8561000000000005</v>
      </c>
      <c r="AR30" s="53">
        <f t="shared" si="4"/>
        <v>-0.1</v>
      </c>
      <c r="AS30" s="42">
        <f t="shared" si="5"/>
        <v>-1.3</v>
      </c>
      <c r="AT30" s="38">
        <f t="shared" si="18"/>
        <v>-2.1970000000000005</v>
      </c>
      <c r="AU30" s="43">
        <f t="shared" si="19"/>
        <v>2.8561000000000005</v>
      </c>
      <c r="BB30" s="32">
        <v>-0.2</v>
      </c>
      <c r="BC30" s="42">
        <f t="shared" si="6"/>
        <v>-1.3</v>
      </c>
      <c r="BD30" s="42">
        <v>-0.1</v>
      </c>
      <c r="BE30" s="42">
        <f t="shared" si="7"/>
        <v>-1.3</v>
      </c>
      <c r="BF30" s="43">
        <f t="shared" si="20"/>
        <v>1.6900000000000002</v>
      </c>
    </row>
    <row r="31" spans="3:62" x14ac:dyDescent="0.25">
      <c r="C31" s="32">
        <f t="shared" si="8"/>
        <v>25</v>
      </c>
      <c r="D31" s="42">
        <v>-2.1</v>
      </c>
      <c r="E31" s="38">
        <f t="shared" si="0"/>
        <v>117.94551735034099</v>
      </c>
      <c r="F31" s="33">
        <f t="shared" si="9"/>
        <v>1.1000000000000001</v>
      </c>
      <c r="G31" s="33">
        <f t="shared" si="10"/>
        <v>3.2</v>
      </c>
      <c r="H31" s="34">
        <f t="shared" si="11"/>
        <v>10.240000000000002</v>
      </c>
      <c r="O31" s="32">
        <f t="shared" si="12"/>
        <v>25</v>
      </c>
      <c r="P31" s="42">
        <v>-2.6</v>
      </c>
      <c r="Q31" s="38">
        <f t="shared" si="1"/>
        <v>117.66088518219887</v>
      </c>
      <c r="R31" s="33">
        <f t="shared" si="13"/>
        <v>1.2</v>
      </c>
      <c r="S31" s="33">
        <f t="shared" si="14"/>
        <v>3.8</v>
      </c>
      <c r="T31" s="34">
        <f t="shared" si="15"/>
        <v>14.44</v>
      </c>
      <c r="AH31" s="32">
        <f t="shared" si="2"/>
        <v>-2.1</v>
      </c>
      <c r="AI31" s="33">
        <f t="shared" si="3"/>
        <v>-3.2</v>
      </c>
      <c r="AJ31" s="38">
        <f t="shared" si="16"/>
        <v>-32.768000000000008</v>
      </c>
      <c r="AK31" s="43">
        <f t="shared" si="17"/>
        <v>104.85760000000005</v>
      </c>
      <c r="AR31" s="53">
        <f t="shared" si="4"/>
        <v>-2.6</v>
      </c>
      <c r="AS31" s="42">
        <f t="shared" si="5"/>
        <v>-3.8</v>
      </c>
      <c r="AT31" s="38">
        <f t="shared" si="18"/>
        <v>-54.871999999999993</v>
      </c>
      <c r="AU31" s="43">
        <f t="shared" si="19"/>
        <v>208.5136</v>
      </c>
      <c r="BB31" s="32">
        <v>-2.1</v>
      </c>
      <c r="BC31" s="42">
        <f t="shared" si="6"/>
        <v>-3.2</v>
      </c>
      <c r="BD31" s="42">
        <v>-2.6</v>
      </c>
      <c r="BE31" s="42">
        <f t="shared" si="7"/>
        <v>-3.8</v>
      </c>
      <c r="BF31" s="43">
        <f t="shared" si="20"/>
        <v>12.16</v>
      </c>
    </row>
    <row r="32" spans="3:62" x14ac:dyDescent="0.25">
      <c r="C32" s="32">
        <f t="shared" si="8"/>
        <v>26</v>
      </c>
      <c r="D32" s="42">
        <v>1.1000000000000001</v>
      </c>
      <c r="E32" s="38">
        <f t="shared" si="0"/>
        <v>119.24291804119473</v>
      </c>
      <c r="F32" s="33">
        <f t="shared" si="9"/>
        <v>1.1000000000000001</v>
      </c>
      <c r="G32" s="33">
        <f t="shared" si="10"/>
        <v>0</v>
      </c>
      <c r="H32" s="34">
        <f t="shared" si="11"/>
        <v>0</v>
      </c>
      <c r="O32" s="32">
        <f t="shared" si="12"/>
        <v>26</v>
      </c>
      <c r="P32" s="42">
        <v>0.7</v>
      </c>
      <c r="Q32" s="38">
        <f t="shared" si="1"/>
        <v>118.48451137847425</v>
      </c>
      <c r="R32" s="33">
        <f t="shared" si="13"/>
        <v>1.2</v>
      </c>
      <c r="S32" s="33">
        <f t="shared" si="14"/>
        <v>0.5</v>
      </c>
      <c r="T32" s="34">
        <f t="shared" si="15"/>
        <v>0.25</v>
      </c>
      <c r="AH32" s="32">
        <f t="shared" si="2"/>
        <v>1.1000000000000001</v>
      </c>
      <c r="AI32" s="33">
        <f t="shared" si="3"/>
        <v>0</v>
      </c>
      <c r="AJ32" s="38">
        <f t="shared" si="16"/>
        <v>0</v>
      </c>
      <c r="AK32" s="43">
        <f t="shared" si="17"/>
        <v>0</v>
      </c>
      <c r="AR32" s="53">
        <f t="shared" si="4"/>
        <v>0.7</v>
      </c>
      <c r="AS32" s="42">
        <f t="shared" si="5"/>
        <v>-0.5</v>
      </c>
      <c r="AT32" s="38">
        <f t="shared" si="18"/>
        <v>-0.125</v>
      </c>
      <c r="AU32" s="43">
        <f t="shared" si="19"/>
        <v>6.25E-2</v>
      </c>
      <c r="BB32" s="32">
        <v>1.1000000000000001</v>
      </c>
      <c r="BC32" s="42">
        <f t="shared" si="6"/>
        <v>0</v>
      </c>
      <c r="BD32" s="42">
        <v>0.7</v>
      </c>
      <c r="BE32" s="42">
        <f t="shared" si="7"/>
        <v>-0.5</v>
      </c>
      <c r="BF32" s="43">
        <f t="shared" si="20"/>
        <v>0</v>
      </c>
    </row>
    <row r="33" spans="2:58" x14ac:dyDescent="0.25">
      <c r="C33" s="32">
        <f t="shared" si="8"/>
        <v>27</v>
      </c>
      <c r="D33" s="42">
        <v>4.7</v>
      </c>
      <c r="E33" s="38">
        <f t="shared" si="0"/>
        <v>124.84733518913087</v>
      </c>
      <c r="F33" s="33">
        <f t="shared" si="9"/>
        <v>1.1000000000000001</v>
      </c>
      <c r="G33" s="33">
        <f t="shared" si="10"/>
        <v>3.6</v>
      </c>
      <c r="H33" s="34">
        <f t="shared" si="11"/>
        <v>12.96</v>
      </c>
      <c r="O33" s="32">
        <f t="shared" si="12"/>
        <v>27</v>
      </c>
      <c r="P33" s="42">
        <v>4.3</v>
      </c>
      <c r="Q33" s="38">
        <f t="shared" si="1"/>
        <v>123.57934536774863</v>
      </c>
      <c r="R33" s="33">
        <f t="shared" si="13"/>
        <v>1.2</v>
      </c>
      <c r="S33" s="33">
        <f t="shared" si="14"/>
        <v>3.0999999999999996</v>
      </c>
      <c r="T33" s="34">
        <f t="shared" si="15"/>
        <v>9.6099999999999977</v>
      </c>
      <c r="AH33" s="32">
        <f t="shared" si="2"/>
        <v>4.7</v>
      </c>
      <c r="AI33" s="33">
        <f t="shared" si="3"/>
        <v>3.6</v>
      </c>
      <c r="AJ33" s="38">
        <f t="shared" si="16"/>
        <v>46.656000000000006</v>
      </c>
      <c r="AK33" s="43">
        <f t="shared" si="17"/>
        <v>167.96160000000003</v>
      </c>
      <c r="AR33" s="53">
        <f t="shared" si="4"/>
        <v>4.3</v>
      </c>
      <c r="AS33" s="42">
        <f t="shared" si="5"/>
        <v>3.0999999999999996</v>
      </c>
      <c r="AT33" s="38">
        <f t="shared" si="18"/>
        <v>29.79099999999999</v>
      </c>
      <c r="AU33" s="43">
        <f t="shared" si="19"/>
        <v>92.35209999999995</v>
      </c>
      <c r="BB33" s="32">
        <v>4.7</v>
      </c>
      <c r="BC33" s="42">
        <f t="shared" si="6"/>
        <v>3.6</v>
      </c>
      <c r="BD33" s="42">
        <v>4.3</v>
      </c>
      <c r="BE33" s="42">
        <f t="shared" si="7"/>
        <v>3.0999999999999996</v>
      </c>
      <c r="BF33" s="43">
        <f t="shared" si="20"/>
        <v>11.159999999999998</v>
      </c>
    </row>
    <row r="34" spans="2:58" x14ac:dyDescent="0.25">
      <c r="C34" s="32">
        <f t="shared" si="8"/>
        <v>28</v>
      </c>
      <c r="D34" s="42">
        <v>2.4</v>
      </c>
      <c r="E34" s="38">
        <f t="shared" si="0"/>
        <v>127.84367123367002</v>
      </c>
      <c r="F34" s="33">
        <f t="shared" si="9"/>
        <v>1.1000000000000001</v>
      </c>
      <c r="G34" s="33">
        <f t="shared" si="10"/>
        <v>1.2999999999999998</v>
      </c>
      <c r="H34" s="34">
        <f t="shared" si="11"/>
        <v>1.6899999999999995</v>
      </c>
      <c r="O34" s="32">
        <f t="shared" si="12"/>
        <v>28</v>
      </c>
      <c r="P34" s="42">
        <v>2.9</v>
      </c>
      <c r="Q34" s="38">
        <f t="shared" si="1"/>
        <v>127.16314638341333</v>
      </c>
      <c r="R34" s="33">
        <f t="shared" si="13"/>
        <v>1.2</v>
      </c>
      <c r="S34" s="33">
        <f t="shared" si="14"/>
        <v>1.7</v>
      </c>
      <c r="T34" s="34">
        <f t="shared" si="15"/>
        <v>2.8899999999999997</v>
      </c>
      <c r="AH34" s="32">
        <f t="shared" si="2"/>
        <v>2.4</v>
      </c>
      <c r="AI34" s="33">
        <f t="shared" si="3"/>
        <v>1.2999999999999998</v>
      </c>
      <c r="AJ34" s="38">
        <f t="shared" si="16"/>
        <v>2.1969999999999992</v>
      </c>
      <c r="AK34" s="43">
        <f t="shared" si="17"/>
        <v>2.8560999999999983</v>
      </c>
      <c r="AR34" s="53">
        <f t="shared" si="4"/>
        <v>2.9</v>
      </c>
      <c r="AS34" s="42">
        <f t="shared" si="5"/>
        <v>1.7</v>
      </c>
      <c r="AT34" s="38">
        <f t="shared" si="18"/>
        <v>4.9129999999999994</v>
      </c>
      <c r="AU34" s="43">
        <f t="shared" si="19"/>
        <v>8.3520999999999983</v>
      </c>
      <c r="BB34" s="32">
        <v>2.4</v>
      </c>
      <c r="BC34" s="42">
        <f t="shared" si="6"/>
        <v>1.2999999999999998</v>
      </c>
      <c r="BD34" s="42">
        <v>2.9</v>
      </c>
      <c r="BE34" s="42">
        <f t="shared" si="7"/>
        <v>1.7</v>
      </c>
      <c r="BF34" s="43">
        <f t="shared" si="20"/>
        <v>2.2099999999999995</v>
      </c>
    </row>
    <row r="35" spans="2:58" x14ac:dyDescent="0.25">
      <c r="C35" s="32">
        <f t="shared" si="8"/>
        <v>29</v>
      </c>
      <c r="D35" s="42">
        <v>3.3</v>
      </c>
      <c r="E35" s="38">
        <f t="shared" si="0"/>
        <v>132.06251238438114</v>
      </c>
      <c r="F35" s="33">
        <f t="shared" si="9"/>
        <v>1.1000000000000001</v>
      </c>
      <c r="G35" s="33">
        <f t="shared" si="10"/>
        <v>2.1999999999999997</v>
      </c>
      <c r="H35" s="34">
        <f t="shared" si="11"/>
        <v>4.839999999999999</v>
      </c>
      <c r="O35" s="32">
        <f t="shared" si="12"/>
        <v>29</v>
      </c>
      <c r="P35" s="42">
        <v>3.8</v>
      </c>
      <c r="Q35" s="38">
        <f t="shared" si="1"/>
        <v>131.99534594598305</v>
      </c>
      <c r="R35" s="33">
        <f t="shared" si="13"/>
        <v>1.2</v>
      </c>
      <c r="S35" s="33">
        <f t="shared" si="14"/>
        <v>2.5999999999999996</v>
      </c>
      <c r="T35" s="34">
        <f t="shared" si="15"/>
        <v>6.759999999999998</v>
      </c>
      <c r="AH35" s="32">
        <f t="shared" si="2"/>
        <v>3.3</v>
      </c>
      <c r="AI35" s="33">
        <f t="shared" si="3"/>
        <v>2.1999999999999997</v>
      </c>
      <c r="AJ35" s="38">
        <f t="shared" si="16"/>
        <v>10.647999999999996</v>
      </c>
      <c r="AK35" s="43">
        <f t="shared" si="17"/>
        <v>23.425599999999989</v>
      </c>
      <c r="AR35" s="53">
        <f t="shared" si="4"/>
        <v>3.8</v>
      </c>
      <c r="AS35" s="42">
        <f t="shared" si="5"/>
        <v>2.5999999999999996</v>
      </c>
      <c r="AT35" s="38">
        <f t="shared" si="18"/>
        <v>17.575999999999993</v>
      </c>
      <c r="AU35" s="43">
        <f t="shared" si="19"/>
        <v>45.697599999999973</v>
      </c>
      <c r="BB35" s="32">
        <v>3.3</v>
      </c>
      <c r="BC35" s="42">
        <f t="shared" si="6"/>
        <v>2.1999999999999997</v>
      </c>
      <c r="BD35" s="42">
        <v>3.8</v>
      </c>
      <c r="BE35" s="42">
        <f t="shared" si="7"/>
        <v>2.5999999999999996</v>
      </c>
      <c r="BF35" s="43">
        <f t="shared" si="20"/>
        <v>5.7199999999999989</v>
      </c>
    </row>
    <row r="36" spans="2:58" x14ac:dyDescent="0.25">
      <c r="C36" s="32">
        <f t="shared" si="8"/>
        <v>30</v>
      </c>
      <c r="D36" s="42">
        <v>-0.7</v>
      </c>
      <c r="E36" s="38">
        <f t="shared" si="0"/>
        <v>131.13807479769048</v>
      </c>
      <c r="F36" s="33">
        <f t="shared" si="9"/>
        <v>1.1000000000000001</v>
      </c>
      <c r="G36" s="33">
        <f t="shared" si="10"/>
        <v>1.8</v>
      </c>
      <c r="H36" s="34">
        <f t="shared" si="11"/>
        <v>3.24</v>
      </c>
      <c r="O36" s="32">
        <f t="shared" si="12"/>
        <v>30</v>
      </c>
      <c r="P36" s="42">
        <v>-0.2</v>
      </c>
      <c r="Q36" s="38">
        <f t="shared" si="1"/>
        <v>131.73135525409108</v>
      </c>
      <c r="R36" s="33">
        <f t="shared" si="13"/>
        <v>1.2</v>
      </c>
      <c r="S36" s="33">
        <f t="shared" si="14"/>
        <v>1.4</v>
      </c>
      <c r="T36" s="34">
        <f t="shared" si="15"/>
        <v>1.9599999999999997</v>
      </c>
      <c r="AH36" s="32">
        <f t="shared" si="2"/>
        <v>-0.7</v>
      </c>
      <c r="AI36" s="33">
        <f t="shared" si="3"/>
        <v>-1.8</v>
      </c>
      <c r="AJ36" s="38">
        <f t="shared" si="16"/>
        <v>-5.8320000000000007</v>
      </c>
      <c r="AK36" s="43">
        <f t="shared" si="17"/>
        <v>10.497600000000002</v>
      </c>
      <c r="AR36" s="53">
        <f t="shared" si="4"/>
        <v>-0.2</v>
      </c>
      <c r="AS36" s="42">
        <f t="shared" si="5"/>
        <v>-1.4</v>
      </c>
      <c r="AT36" s="38">
        <f t="shared" si="18"/>
        <v>-2.7439999999999993</v>
      </c>
      <c r="AU36" s="43">
        <f t="shared" si="19"/>
        <v>3.8415999999999988</v>
      </c>
      <c r="BB36" s="32">
        <v>-0.7</v>
      </c>
      <c r="BC36" s="42">
        <f t="shared" si="6"/>
        <v>-1.8</v>
      </c>
      <c r="BD36" s="42">
        <v>-0.2</v>
      </c>
      <c r="BE36" s="42">
        <f t="shared" si="7"/>
        <v>-1.4</v>
      </c>
      <c r="BF36" s="43">
        <f t="shared" si="20"/>
        <v>2.52</v>
      </c>
    </row>
    <row r="37" spans="2:58" x14ac:dyDescent="0.25">
      <c r="C37" s="32">
        <f t="shared" si="8"/>
        <v>31</v>
      </c>
      <c r="D37" s="42">
        <v>4.7</v>
      </c>
      <c r="E37" s="38">
        <f t="shared" si="0"/>
        <v>137.30156431318193</v>
      </c>
      <c r="F37" s="33">
        <f t="shared" si="9"/>
        <v>1.1000000000000001</v>
      </c>
      <c r="G37" s="33">
        <f t="shared" si="10"/>
        <v>3.6</v>
      </c>
      <c r="H37" s="34">
        <f t="shared" si="11"/>
        <v>12.96</v>
      </c>
      <c r="O37" s="32">
        <f t="shared" si="12"/>
        <v>31</v>
      </c>
      <c r="P37" s="42">
        <v>5.0999999999999996</v>
      </c>
      <c r="Q37" s="38">
        <f t="shared" si="1"/>
        <v>138.44965437204974</v>
      </c>
      <c r="R37" s="33">
        <f t="shared" si="13"/>
        <v>1.2</v>
      </c>
      <c r="S37" s="33">
        <f t="shared" si="14"/>
        <v>3.8999999999999995</v>
      </c>
      <c r="T37" s="34">
        <f t="shared" si="15"/>
        <v>15.209999999999996</v>
      </c>
      <c r="AH37" s="32">
        <f t="shared" si="2"/>
        <v>4.7</v>
      </c>
      <c r="AI37" s="33">
        <f t="shared" si="3"/>
        <v>3.6</v>
      </c>
      <c r="AJ37" s="38">
        <f t="shared" si="16"/>
        <v>46.656000000000006</v>
      </c>
      <c r="AK37" s="43">
        <f t="shared" si="17"/>
        <v>167.96160000000003</v>
      </c>
      <c r="AR37" s="53">
        <f t="shared" si="4"/>
        <v>5.0999999999999996</v>
      </c>
      <c r="AS37" s="42">
        <f t="shared" si="5"/>
        <v>3.8999999999999995</v>
      </c>
      <c r="AT37" s="38">
        <f t="shared" si="18"/>
        <v>59.318999999999974</v>
      </c>
      <c r="AU37" s="43">
        <f t="shared" si="19"/>
        <v>231.34409999999986</v>
      </c>
      <c r="BB37" s="32">
        <v>4.7</v>
      </c>
      <c r="BC37" s="42">
        <f t="shared" si="6"/>
        <v>3.6</v>
      </c>
      <c r="BD37" s="42">
        <v>5.0999999999999996</v>
      </c>
      <c r="BE37" s="42">
        <f t="shared" si="7"/>
        <v>3.8999999999999995</v>
      </c>
      <c r="BF37" s="43">
        <f t="shared" si="20"/>
        <v>14.04</v>
      </c>
    </row>
    <row r="38" spans="2:58" x14ac:dyDescent="0.25">
      <c r="C38" s="32">
        <f t="shared" si="8"/>
        <v>32</v>
      </c>
      <c r="D38" s="42">
        <v>0.6</v>
      </c>
      <c r="E38" s="38">
        <f t="shared" si="0"/>
        <v>138.12537369906102</v>
      </c>
      <c r="F38" s="33">
        <f t="shared" si="9"/>
        <v>1.1000000000000001</v>
      </c>
      <c r="G38" s="33">
        <f t="shared" si="10"/>
        <v>0.50000000000000011</v>
      </c>
      <c r="H38" s="34">
        <f t="shared" si="11"/>
        <v>0.25000000000000011</v>
      </c>
      <c r="O38" s="32">
        <f t="shared" si="12"/>
        <v>32</v>
      </c>
      <c r="P38" s="42">
        <v>1.4</v>
      </c>
      <c r="Q38" s="38">
        <f t="shared" si="1"/>
        <v>140.38794953325842</v>
      </c>
      <c r="R38" s="33">
        <f t="shared" si="13"/>
        <v>1.2</v>
      </c>
      <c r="S38" s="33">
        <f t="shared" si="14"/>
        <v>0.19999999999999996</v>
      </c>
      <c r="T38" s="34">
        <f t="shared" si="15"/>
        <v>3.999999999999998E-2</v>
      </c>
      <c r="AH38" s="32">
        <f t="shared" si="2"/>
        <v>0.6</v>
      </c>
      <c r="AI38" s="33">
        <f t="shared" si="3"/>
        <v>-0.50000000000000011</v>
      </c>
      <c r="AJ38" s="38">
        <f t="shared" si="16"/>
        <v>-0.12500000000000008</v>
      </c>
      <c r="AK38" s="43">
        <f t="shared" si="17"/>
        <v>6.2500000000000056E-2</v>
      </c>
      <c r="AR38" s="53">
        <f t="shared" si="4"/>
        <v>1.4</v>
      </c>
      <c r="AS38" s="42">
        <f t="shared" si="5"/>
        <v>0.19999999999999996</v>
      </c>
      <c r="AT38" s="38">
        <f t="shared" si="18"/>
        <v>7.999999999999995E-3</v>
      </c>
      <c r="AU38" s="43">
        <f t="shared" si="19"/>
        <v>1.5999999999999983E-3</v>
      </c>
      <c r="BB38" s="32">
        <v>0.6</v>
      </c>
      <c r="BC38" s="42">
        <f t="shared" si="6"/>
        <v>-0.50000000000000011</v>
      </c>
      <c r="BD38" s="42">
        <v>1.4</v>
      </c>
      <c r="BE38" s="42">
        <f t="shared" si="7"/>
        <v>0.19999999999999996</v>
      </c>
      <c r="BF38" s="43">
        <f t="shared" si="20"/>
        <v>-0.1</v>
      </c>
    </row>
    <row r="39" spans="2:58" x14ac:dyDescent="0.25">
      <c r="C39" s="32">
        <f t="shared" si="8"/>
        <v>33</v>
      </c>
      <c r="D39" s="42">
        <v>1</v>
      </c>
      <c r="E39" s="38">
        <f t="shared" si="0"/>
        <v>139.50662743605162</v>
      </c>
      <c r="F39" s="33">
        <f t="shared" si="9"/>
        <v>1.1000000000000001</v>
      </c>
      <c r="G39" s="33">
        <f t="shared" si="10"/>
        <v>0.10000000000000009</v>
      </c>
      <c r="H39" s="34">
        <f t="shared" si="11"/>
        <v>1.0000000000000018E-2</v>
      </c>
      <c r="O39" s="32">
        <f t="shared" si="12"/>
        <v>33</v>
      </c>
      <c r="P39" s="42">
        <v>1.3</v>
      </c>
      <c r="Q39" s="38">
        <f t="shared" si="1"/>
        <v>142.21299287719077</v>
      </c>
      <c r="R39" s="33">
        <f t="shared" si="13"/>
        <v>1.2</v>
      </c>
      <c r="S39" s="33">
        <f t="shared" si="14"/>
        <v>0.10000000000000009</v>
      </c>
      <c r="T39" s="34">
        <f t="shared" si="15"/>
        <v>1.0000000000000018E-2</v>
      </c>
      <c r="AH39" s="32">
        <f t="shared" si="2"/>
        <v>1</v>
      </c>
      <c r="AI39" s="33">
        <f t="shared" si="3"/>
        <v>-0.10000000000000009</v>
      </c>
      <c r="AJ39" s="38">
        <f t="shared" si="16"/>
        <v>-1.0000000000000026E-3</v>
      </c>
      <c r="AK39" s="43">
        <f t="shared" si="17"/>
        <v>1.0000000000000036E-4</v>
      </c>
      <c r="AR39" s="53">
        <f t="shared" si="4"/>
        <v>1.3</v>
      </c>
      <c r="AS39" s="42">
        <f t="shared" si="5"/>
        <v>0.10000000000000009</v>
      </c>
      <c r="AT39" s="38">
        <f t="shared" si="18"/>
        <v>1.0000000000000026E-3</v>
      </c>
      <c r="AU39" s="43">
        <f t="shared" si="19"/>
        <v>1.0000000000000036E-4</v>
      </c>
      <c r="BB39" s="32">
        <v>1</v>
      </c>
      <c r="BC39" s="42">
        <f t="shared" si="6"/>
        <v>-0.10000000000000009</v>
      </c>
      <c r="BD39" s="42">
        <v>1.3</v>
      </c>
      <c r="BE39" s="42">
        <f t="shared" si="7"/>
        <v>0.10000000000000009</v>
      </c>
      <c r="BF39" s="43">
        <f t="shared" si="20"/>
        <v>-1.0000000000000018E-2</v>
      </c>
    </row>
    <row r="40" spans="2:58" x14ac:dyDescent="0.25">
      <c r="C40" s="32">
        <f t="shared" si="8"/>
        <v>34</v>
      </c>
      <c r="D40" s="42">
        <v>-0.2</v>
      </c>
      <c r="E40" s="38">
        <f t="shared" si="0"/>
        <v>139.22761418117952</v>
      </c>
      <c r="F40" s="33">
        <f t="shared" si="9"/>
        <v>1.1000000000000001</v>
      </c>
      <c r="G40" s="33">
        <f t="shared" si="10"/>
        <v>1.3</v>
      </c>
      <c r="H40" s="34">
        <f t="shared" si="11"/>
        <v>1.6900000000000002</v>
      </c>
      <c r="O40" s="32">
        <f t="shared" si="12"/>
        <v>34</v>
      </c>
      <c r="P40" s="42">
        <v>0.3</v>
      </c>
      <c r="Q40" s="38">
        <f t="shared" si="1"/>
        <v>142.63963185582233</v>
      </c>
      <c r="R40" s="33">
        <f t="shared" si="13"/>
        <v>1.2</v>
      </c>
      <c r="S40" s="33">
        <f t="shared" si="14"/>
        <v>0.89999999999999991</v>
      </c>
      <c r="T40" s="34">
        <f t="shared" si="15"/>
        <v>0.80999999999999983</v>
      </c>
      <c r="AH40" s="32">
        <f t="shared" si="2"/>
        <v>-0.2</v>
      </c>
      <c r="AI40" s="33">
        <f t="shared" si="3"/>
        <v>-1.3</v>
      </c>
      <c r="AJ40" s="38">
        <f t="shared" si="16"/>
        <v>-2.1970000000000005</v>
      </c>
      <c r="AK40" s="43">
        <f t="shared" si="17"/>
        <v>2.8561000000000005</v>
      </c>
      <c r="AR40" s="53">
        <f t="shared" si="4"/>
        <v>0.3</v>
      </c>
      <c r="AS40" s="42">
        <f t="shared" si="5"/>
        <v>-0.89999999999999991</v>
      </c>
      <c r="AT40" s="38">
        <f t="shared" si="18"/>
        <v>-0.72899999999999976</v>
      </c>
      <c r="AU40" s="43">
        <f t="shared" si="19"/>
        <v>0.65609999999999968</v>
      </c>
      <c r="BB40" s="32">
        <v>-0.2</v>
      </c>
      <c r="BC40" s="42">
        <f t="shared" si="6"/>
        <v>-1.3</v>
      </c>
      <c r="BD40" s="42">
        <v>0.3</v>
      </c>
      <c r="BE40" s="42">
        <f t="shared" si="7"/>
        <v>-0.89999999999999991</v>
      </c>
      <c r="BF40" s="43">
        <f t="shared" si="20"/>
        <v>1.17</v>
      </c>
    </row>
    <row r="41" spans="2:58" x14ac:dyDescent="0.25">
      <c r="C41" s="32">
        <f t="shared" si="8"/>
        <v>35</v>
      </c>
      <c r="D41" s="42">
        <v>3.4</v>
      </c>
      <c r="E41" s="38">
        <f t="shared" si="0"/>
        <v>143.96135306333963</v>
      </c>
      <c r="F41" s="33">
        <f t="shared" si="9"/>
        <v>1.1000000000000001</v>
      </c>
      <c r="G41" s="33">
        <f t="shared" si="10"/>
        <v>2.2999999999999998</v>
      </c>
      <c r="H41" s="34">
        <f t="shared" si="11"/>
        <v>5.2899999999999991</v>
      </c>
      <c r="O41" s="32">
        <f t="shared" si="12"/>
        <v>35</v>
      </c>
      <c r="P41" s="42">
        <v>3.4</v>
      </c>
      <c r="Q41" s="38">
        <f t="shared" si="1"/>
        <v>147.48937933892029</v>
      </c>
      <c r="R41" s="33">
        <f t="shared" si="13"/>
        <v>1.2</v>
      </c>
      <c r="S41" s="33">
        <f t="shared" si="14"/>
        <v>2.2000000000000002</v>
      </c>
      <c r="T41" s="34">
        <f t="shared" si="15"/>
        <v>4.8400000000000007</v>
      </c>
      <c r="AH41" s="32">
        <f t="shared" si="2"/>
        <v>3.4</v>
      </c>
      <c r="AI41" s="33">
        <f t="shared" si="3"/>
        <v>2.2999999999999998</v>
      </c>
      <c r="AJ41" s="38">
        <f t="shared" si="16"/>
        <v>12.166999999999996</v>
      </c>
      <c r="AK41" s="43">
        <f t="shared" si="17"/>
        <v>27.984099999999991</v>
      </c>
      <c r="AR41" s="53">
        <f t="shared" si="4"/>
        <v>3.4</v>
      </c>
      <c r="AS41" s="42">
        <f t="shared" si="5"/>
        <v>2.2000000000000002</v>
      </c>
      <c r="AT41" s="38">
        <f t="shared" si="18"/>
        <v>10.648000000000003</v>
      </c>
      <c r="AU41" s="43">
        <f t="shared" si="19"/>
        <v>23.425600000000006</v>
      </c>
      <c r="BB41" s="32">
        <v>3.4</v>
      </c>
      <c r="BC41" s="42">
        <f t="shared" si="6"/>
        <v>2.2999999999999998</v>
      </c>
      <c r="BD41" s="42">
        <v>3.4</v>
      </c>
      <c r="BE41" s="42">
        <f t="shared" si="7"/>
        <v>2.2000000000000002</v>
      </c>
      <c r="BF41" s="43">
        <f t="shared" si="20"/>
        <v>5.0599999999999996</v>
      </c>
    </row>
    <row r="42" spans="2:58" x14ac:dyDescent="0.25">
      <c r="C42" s="32">
        <f t="shared" si="8"/>
        <v>36</v>
      </c>
      <c r="D42" s="42">
        <v>1</v>
      </c>
      <c r="E42" s="38">
        <f t="shared" si="0"/>
        <v>145.40096659397304</v>
      </c>
      <c r="F42" s="33">
        <f t="shared" si="9"/>
        <v>1.1000000000000001</v>
      </c>
      <c r="G42" s="33">
        <f t="shared" si="10"/>
        <v>0.10000000000000009</v>
      </c>
      <c r="H42" s="34">
        <f t="shared" si="11"/>
        <v>1.0000000000000018E-2</v>
      </c>
      <c r="O42" s="32">
        <f t="shared" si="12"/>
        <v>36</v>
      </c>
      <c r="P42" s="42">
        <v>2.1</v>
      </c>
      <c r="Q42" s="38">
        <f t="shared" si="1"/>
        <v>150.58665630503759</v>
      </c>
      <c r="R42" s="33">
        <f t="shared" si="13"/>
        <v>1.2</v>
      </c>
      <c r="S42" s="33">
        <f t="shared" si="14"/>
        <v>0.90000000000000013</v>
      </c>
      <c r="T42" s="34">
        <f t="shared" si="15"/>
        <v>0.81000000000000028</v>
      </c>
      <c r="AH42" s="32">
        <f t="shared" si="2"/>
        <v>1</v>
      </c>
      <c r="AI42" s="33">
        <f t="shared" si="3"/>
        <v>-0.10000000000000009</v>
      </c>
      <c r="AJ42" s="38">
        <f t="shared" si="16"/>
        <v>-1.0000000000000026E-3</v>
      </c>
      <c r="AK42" s="43">
        <f t="shared" si="17"/>
        <v>1.0000000000000036E-4</v>
      </c>
      <c r="AR42" s="53">
        <f t="shared" si="4"/>
        <v>2.1</v>
      </c>
      <c r="AS42" s="42">
        <f t="shared" si="5"/>
        <v>0.90000000000000013</v>
      </c>
      <c r="AT42" s="38">
        <f t="shared" si="18"/>
        <v>0.72900000000000031</v>
      </c>
      <c r="AU42" s="43">
        <f t="shared" si="19"/>
        <v>0.65610000000000046</v>
      </c>
      <c r="BB42" s="32">
        <v>1</v>
      </c>
      <c r="BC42" s="42">
        <f t="shared" si="6"/>
        <v>-0.10000000000000009</v>
      </c>
      <c r="BD42" s="42">
        <v>2.1</v>
      </c>
      <c r="BE42" s="42">
        <f t="shared" si="7"/>
        <v>0.90000000000000013</v>
      </c>
      <c r="BF42" s="43">
        <f t="shared" si="20"/>
        <v>-9.0000000000000094E-2</v>
      </c>
    </row>
    <row r="43" spans="2:58" ht="15.75" thickBot="1" x14ac:dyDescent="0.3">
      <c r="C43" s="32"/>
      <c r="D43" s="33"/>
      <c r="E43" s="33"/>
      <c r="F43" s="33"/>
      <c r="G43" s="33"/>
      <c r="H43" s="34"/>
      <c r="O43" s="32"/>
      <c r="P43" s="33"/>
      <c r="Q43" s="33"/>
      <c r="R43" s="33"/>
      <c r="S43" s="33"/>
      <c r="T43" s="34"/>
      <c r="AH43" s="35"/>
      <c r="AI43" s="36"/>
      <c r="AJ43" s="36"/>
      <c r="AK43" s="37"/>
      <c r="AR43" s="35"/>
      <c r="AS43" s="36"/>
      <c r="AT43" s="36"/>
      <c r="AU43" s="37"/>
      <c r="BB43" s="35"/>
      <c r="BC43" s="36"/>
      <c r="BD43" s="36"/>
      <c r="BE43" s="36"/>
      <c r="BF43" s="37"/>
    </row>
    <row r="44" spans="2:58" x14ac:dyDescent="0.25">
      <c r="C44" s="18" t="s">
        <v>16</v>
      </c>
      <c r="D44" s="19">
        <f>SUM(D7:D43)</f>
        <v>39.6</v>
      </c>
      <c r="E44" s="19"/>
      <c r="F44" s="19"/>
      <c r="G44" s="19">
        <f t="shared" ref="G44:H44" si="21">SUM(G7:G43)</f>
        <v>90.799999999999955</v>
      </c>
      <c r="H44" s="20">
        <f t="shared" si="21"/>
        <v>396.17999999999995</v>
      </c>
      <c r="O44" s="18" t="s">
        <v>16</v>
      </c>
      <c r="P44" s="19">
        <f>SUM(P7:P43)</f>
        <v>43.199999999999996</v>
      </c>
      <c r="Q44" s="19"/>
      <c r="R44" s="19"/>
      <c r="S44" s="19">
        <f t="shared" ref="S44" si="22">SUM(S7:S43)</f>
        <v>92.800000000000011</v>
      </c>
      <c r="T44" s="20">
        <f t="shared" ref="T44" si="23">SUM(T7:T43)</f>
        <v>406.92000000000007</v>
      </c>
      <c r="AH44" s="18" t="s">
        <v>16</v>
      </c>
      <c r="AI44" s="19"/>
      <c r="AJ44" s="52">
        <f t="shared" ref="AJ44" si="24">SUM(AJ7:AJ43)</f>
        <v>-312.79200000000003</v>
      </c>
      <c r="AK44" s="48">
        <f t="shared" ref="AK44" si="25">SUM(AK7:AK43)</f>
        <v>12982.389000000001</v>
      </c>
      <c r="AR44" s="18" t="s">
        <v>16</v>
      </c>
      <c r="AS44" s="19"/>
      <c r="AT44" s="52">
        <f t="shared" ref="AT44" si="26">SUM(AT7:AT43)</f>
        <v>-495.93599999999986</v>
      </c>
      <c r="AU44" s="48">
        <f t="shared" ref="AU44" si="27">SUM(AU7:AU43)</f>
        <v>14004.248400000006</v>
      </c>
      <c r="BB44" s="18"/>
      <c r="BC44" s="19"/>
      <c r="BD44" s="19"/>
      <c r="BE44" s="19"/>
      <c r="BF44" s="48">
        <f t="shared" ref="BF44" si="28">SUM(BF7:BF43)</f>
        <v>399.37000000000012</v>
      </c>
    </row>
    <row r="45" spans="2:58" ht="15.75" thickBot="1" x14ac:dyDescent="0.3">
      <c r="C45" s="35"/>
      <c r="D45" s="36"/>
      <c r="E45" s="36"/>
      <c r="F45" s="36"/>
      <c r="G45" s="36"/>
      <c r="H45" s="37"/>
      <c r="O45" s="15"/>
      <c r="P45" s="16"/>
      <c r="Q45" s="16"/>
      <c r="R45" s="16"/>
      <c r="S45" s="16"/>
      <c r="T45" s="21"/>
      <c r="AH45" s="15"/>
      <c r="AI45" s="16"/>
      <c r="AJ45" s="16"/>
      <c r="AK45" s="21"/>
      <c r="AR45" s="15"/>
      <c r="AS45" s="16"/>
      <c r="AT45" s="16"/>
      <c r="AU45" s="21"/>
      <c r="BB45" s="15"/>
      <c r="BC45" s="16"/>
      <c r="BD45" s="16"/>
      <c r="BE45" s="16"/>
      <c r="BF45" s="21"/>
    </row>
    <row r="46" spans="2:58" x14ac:dyDescent="0.25">
      <c r="B46" t="s">
        <v>0</v>
      </c>
      <c r="C46" s="2" t="s">
        <v>0</v>
      </c>
      <c r="D46" s="2" t="s">
        <v>0</v>
      </c>
      <c r="O46" s="2" t="s">
        <v>7</v>
      </c>
      <c r="P46" s="2">
        <f>+P44/O42</f>
        <v>1.2</v>
      </c>
    </row>
    <row r="57" spans="6:8" x14ac:dyDescent="0.25">
      <c r="H57" s="2"/>
    </row>
    <row r="58" spans="6:8" x14ac:dyDescent="0.25">
      <c r="F58" s="2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E1D1-E3E5-4400-854A-79DE5C91032B}">
  <dimension ref="B2:AG27"/>
  <sheetViews>
    <sheetView workbookViewId="0">
      <selection activeCell="G19" sqref="G19"/>
    </sheetView>
  </sheetViews>
  <sheetFormatPr defaultRowHeight="12.75" x14ac:dyDescent="0.2"/>
  <cols>
    <col min="1" max="1" width="9.140625" style="158"/>
    <col min="2" max="3" width="15.7109375" style="158" customWidth="1"/>
    <col min="4" max="9" width="12.7109375" style="158" customWidth="1"/>
    <col min="10" max="11" width="13.7109375" style="158" customWidth="1"/>
    <col min="12" max="12" width="12.7109375" style="158" customWidth="1"/>
    <col min="13" max="14" width="13.7109375" style="158" customWidth="1"/>
    <col min="15" max="15" width="9.140625" style="158"/>
    <col min="16" max="16" width="9.85546875" style="158" bestFit="1" customWidth="1"/>
    <col min="17" max="17" width="9.85546875" style="158" customWidth="1"/>
    <col min="18" max="18" width="9.85546875" style="158" bestFit="1" customWidth="1"/>
    <col min="19" max="19" width="10.7109375" style="158" customWidth="1"/>
    <col min="20" max="20" width="14.42578125" style="158" bestFit="1" customWidth="1"/>
    <col min="21" max="21" width="19.140625" style="158" bestFit="1" customWidth="1"/>
    <col min="22" max="22" width="9.140625" style="158"/>
    <col min="23" max="23" width="9.85546875" style="158" bestFit="1" customWidth="1"/>
    <col min="24" max="24" width="9.85546875" style="158" customWidth="1"/>
    <col min="25" max="26" width="9.140625" style="158"/>
    <col min="27" max="31" width="10.7109375" style="158" customWidth="1"/>
    <col min="32" max="16384" width="9.140625" style="158"/>
  </cols>
  <sheetData>
    <row r="2" spans="2:33" ht="20.25" x14ac:dyDescent="0.3">
      <c r="B2" s="164" t="s">
        <v>919</v>
      </c>
    </row>
    <row r="4" spans="2:33" ht="36" x14ac:dyDescent="0.2">
      <c r="B4" s="1046"/>
      <c r="C4" s="1046"/>
      <c r="D4" s="1047" t="s">
        <v>875</v>
      </c>
      <c r="E4" s="1048" t="s">
        <v>876</v>
      </c>
      <c r="F4" s="1047" t="s">
        <v>877</v>
      </c>
      <c r="G4" s="1048" t="s">
        <v>878</v>
      </c>
      <c r="O4" s="1049"/>
      <c r="P4" s="1047" t="s">
        <v>879</v>
      </c>
      <c r="Q4" s="1048" t="s">
        <v>907</v>
      </c>
      <c r="R4" s="1047" t="s">
        <v>880</v>
      </c>
      <c r="S4" s="1048" t="s">
        <v>908</v>
      </c>
      <c r="T4" s="1048" t="s">
        <v>484</v>
      </c>
      <c r="U4" s="1051"/>
      <c r="W4" s="1052" t="s">
        <v>882</v>
      </c>
      <c r="X4" s="1125" t="s">
        <v>909</v>
      </c>
      <c r="Y4" s="1126" t="s">
        <v>883</v>
      </c>
      <c r="AA4" s="1055" t="s">
        <v>885</v>
      </c>
      <c r="AB4" s="1056" t="s">
        <v>886</v>
      </c>
      <c r="AC4" s="1056" t="s">
        <v>910</v>
      </c>
      <c r="AD4" s="1056" t="s">
        <v>911</v>
      </c>
      <c r="AE4" s="1056" t="s">
        <v>912</v>
      </c>
      <c r="AF4" s="185"/>
      <c r="AG4" s="185"/>
    </row>
    <row r="5" spans="2:33" x14ac:dyDescent="0.2">
      <c r="B5" s="1057" t="s">
        <v>887</v>
      </c>
      <c r="C5" s="1058" t="s">
        <v>888</v>
      </c>
      <c r="D5" s="1059">
        <f>+D7+D9</f>
        <v>0.34799999999999998</v>
      </c>
      <c r="E5" s="1060">
        <f>+E7+E9</f>
        <v>0.3</v>
      </c>
      <c r="F5" s="1070">
        <f>+AA5</f>
        <v>-6.3991379310344834E-2</v>
      </c>
      <c r="G5" s="1071">
        <f>+AB5</f>
        <v>-5.0500000000000003E-2</v>
      </c>
      <c r="O5" s="1049"/>
      <c r="P5" s="1063">
        <f>(D5-E5)*((1+G5)/(1+G$17)-1)</f>
        <v>-2.1235089838441746E-3</v>
      </c>
      <c r="Q5" s="1072"/>
      <c r="R5" s="1063">
        <f>+R7+R9</f>
        <v>-1.881806165288576E-3</v>
      </c>
      <c r="S5" s="1072"/>
      <c r="T5" s="1072">
        <f>+T7+T9</f>
        <v>-2.8660252055813682E-3</v>
      </c>
      <c r="W5" s="1063">
        <f>+D5*G5</f>
        <v>-1.7573999999999999E-2</v>
      </c>
      <c r="X5" s="1064">
        <f>+D5*G5</f>
        <v>-1.7573999999999999E-2</v>
      </c>
      <c r="Y5" s="1120"/>
      <c r="AA5" s="1066">
        <f>+(AA7+AA9)/D5</f>
        <v>-6.3991379310344834E-2</v>
      </c>
      <c r="AB5" s="1067">
        <f>+(AB7+AB9)/E5</f>
        <v>-5.0500000000000003E-2</v>
      </c>
      <c r="AC5" s="185"/>
      <c r="AD5" s="185"/>
      <c r="AE5" s="185"/>
      <c r="AF5" s="185"/>
      <c r="AG5" s="185"/>
    </row>
    <row r="6" spans="2:33" x14ac:dyDescent="0.2">
      <c r="B6" s="1068"/>
      <c r="C6" s="1069"/>
      <c r="D6" s="1059"/>
      <c r="E6" s="1060"/>
      <c r="F6" s="1070"/>
      <c r="G6" s="1071"/>
      <c r="O6" s="1049"/>
      <c r="P6" s="1063"/>
      <c r="Q6" s="1072"/>
      <c r="R6" s="1063"/>
      <c r="S6" s="1072"/>
      <c r="T6" s="1072"/>
      <c r="W6" s="1063"/>
      <c r="X6" s="1064"/>
      <c r="Y6" s="1120"/>
      <c r="AA6" s="1066"/>
      <c r="AB6" s="1067"/>
      <c r="AC6" s="185"/>
      <c r="AD6" s="185"/>
      <c r="AE6" s="185"/>
      <c r="AF6" s="185"/>
    </row>
    <row r="7" spans="2:33" x14ac:dyDescent="0.2">
      <c r="B7" s="1073" t="s">
        <v>889</v>
      </c>
      <c r="C7" s="1074" t="s">
        <v>890</v>
      </c>
      <c r="D7" s="1075">
        <v>0.255</v>
      </c>
      <c r="E7" s="1076">
        <v>0.15</v>
      </c>
      <c r="F7" s="1077">
        <v>-6.8000000000000005E-2</v>
      </c>
      <c r="G7" s="1078">
        <v>-6.2E-2</v>
      </c>
      <c r="O7" s="1049"/>
      <c r="P7" s="1079"/>
      <c r="Q7" s="1081"/>
      <c r="R7" s="1079">
        <f>(D7-E7)*((1+G7)/(1+$G$5)-1)*((1+G$5)/(1+$X$17))</f>
        <v>-1.2196891812055665E-3</v>
      </c>
      <c r="S7" s="1081"/>
      <c r="T7" s="1099">
        <f>+D7*((1+F7)/(1+G7)-1)*(1+G7)/(1+Y17)</f>
        <v>-1.5483822614899409E-3</v>
      </c>
      <c r="U7" s="1082"/>
      <c r="W7" s="1083"/>
      <c r="X7" s="1127"/>
      <c r="Y7" s="1081">
        <f>+D7*G7</f>
        <v>-1.5810000000000001E-2</v>
      </c>
      <c r="AA7" s="1066">
        <f>+D7*F7</f>
        <v>-1.7340000000000001E-2</v>
      </c>
      <c r="AB7" s="1067">
        <f>+E7*G7</f>
        <v>-9.2999999999999992E-3</v>
      </c>
      <c r="AC7" s="185"/>
      <c r="AD7" s="185"/>
      <c r="AE7" s="185"/>
      <c r="AF7" s="185"/>
    </row>
    <row r="8" spans="2:33" x14ac:dyDescent="0.2">
      <c r="B8" s="1128"/>
      <c r="C8" s="1129"/>
      <c r="D8" s="1130"/>
      <c r="E8" s="1131"/>
      <c r="F8" s="1132"/>
      <c r="G8" s="1133"/>
      <c r="O8" s="1049"/>
      <c r="P8" s="1079"/>
      <c r="Q8" s="1081"/>
      <c r="R8" s="1079"/>
      <c r="S8" s="1081"/>
      <c r="T8" s="1099"/>
      <c r="U8" s="1082"/>
      <c r="W8" s="1095"/>
      <c r="X8" s="1134"/>
      <c r="Y8" s="1099"/>
      <c r="AA8" s="1066"/>
      <c r="AB8" s="1067"/>
      <c r="AC8" s="185"/>
      <c r="AD8" s="185"/>
      <c r="AE8" s="185"/>
      <c r="AF8" s="185"/>
    </row>
    <row r="9" spans="2:33" x14ac:dyDescent="0.2">
      <c r="B9" s="1073" t="s">
        <v>889</v>
      </c>
      <c r="C9" s="1074" t="s">
        <v>893</v>
      </c>
      <c r="D9" s="1075">
        <v>9.2999999999999999E-2</v>
      </c>
      <c r="E9" s="1076">
        <v>0.15</v>
      </c>
      <c r="F9" s="1077">
        <v>-5.2999999999999999E-2</v>
      </c>
      <c r="G9" s="1078">
        <v>-3.9E-2</v>
      </c>
      <c r="H9" s="1135" t="s">
        <v>1</v>
      </c>
      <c r="I9" s="1136" t="s">
        <v>15</v>
      </c>
      <c r="J9" s="1136" t="s">
        <v>1</v>
      </c>
      <c r="K9" s="1136" t="s">
        <v>15</v>
      </c>
      <c r="L9" s="1136" t="s">
        <v>913</v>
      </c>
      <c r="M9" s="1137" t="s">
        <v>914</v>
      </c>
      <c r="N9" s="1138" t="s">
        <v>915</v>
      </c>
      <c r="O9" s="1049"/>
      <c r="P9" s="1079"/>
      <c r="Q9" s="1081"/>
      <c r="R9" s="1079">
        <f>(D9-E9)*((1+G9)/(1+$G$5)-1)*((1+G$5)/(1+$X$17))</f>
        <v>-6.6211698408300955E-4</v>
      </c>
      <c r="S9" s="1081"/>
      <c r="T9" s="1099">
        <f>+D9*((1+F9)/(1+G9)-1)*(1+G9)/(1+Y17)</f>
        <v>-1.3176429440914272E-3</v>
      </c>
      <c r="U9" s="1082"/>
      <c r="W9" s="1083"/>
      <c r="X9" s="1127"/>
      <c r="Y9" s="1081">
        <f>+D9*G9</f>
        <v>-3.627E-3</v>
      </c>
      <c r="AA9" s="1066">
        <f>+D9*F9</f>
        <v>-4.9290000000000002E-3</v>
      </c>
      <c r="AB9" s="1067">
        <f>+E9*G9</f>
        <v>-5.8500000000000002E-3</v>
      </c>
      <c r="AC9" s="185"/>
      <c r="AD9" s="185"/>
      <c r="AE9" s="185"/>
      <c r="AF9" s="185"/>
    </row>
    <row r="10" spans="2:33" x14ac:dyDescent="0.2">
      <c r="B10" s="1073"/>
      <c r="C10" s="1074"/>
      <c r="D10" s="1075"/>
      <c r="E10" s="1076"/>
      <c r="F10" s="1077"/>
      <c r="G10" s="1078"/>
      <c r="H10" s="1139" t="s">
        <v>198</v>
      </c>
      <c r="I10" s="1140" t="s">
        <v>198</v>
      </c>
      <c r="J10" s="1141" t="s">
        <v>208</v>
      </c>
      <c r="K10" s="1141" t="s">
        <v>208</v>
      </c>
      <c r="L10" s="1140" t="s">
        <v>0</v>
      </c>
      <c r="M10" s="1141" t="s">
        <v>916</v>
      </c>
      <c r="N10" s="1142" t="s">
        <v>916</v>
      </c>
      <c r="O10" s="1049"/>
      <c r="P10" s="1079"/>
      <c r="Q10" s="1081"/>
      <c r="R10" s="1079"/>
      <c r="S10" s="1081"/>
      <c r="T10" s="1081"/>
      <c r="U10" s="1082"/>
      <c r="W10" s="1083"/>
      <c r="X10" s="1127"/>
      <c r="Y10" s="1081"/>
      <c r="AA10" s="1066"/>
      <c r="AB10" s="1067"/>
      <c r="AC10" s="185"/>
      <c r="AD10" s="185"/>
      <c r="AE10" s="185"/>
      <c r="AF10" s="185"/>
      <c r="AG10" s="185"/>
    </row>
    <row r="11" spans="2:33" x14ac:dyDescent="0.2">
      <c r="B11" s="1068" t="s">
        <v>887</v>
      </c>
      <c r="C11" s="1069" t="s">
        <v>895</v>
      </c>
      <c r="D11" s="1059">
        <f>+D13+D15</f>
        <v>0.65200000000000002</v>
      </c>
      <c r="E11" s="1060">
        <f>+E13+E15</f>
        <v>0.7</v>
      </c>
      <c r="F11" s="1070">
        <f>+AA11</f>
        <v>1.4061349693251535E-2</v>
      </c>
      <c r="G11" s="1071">
        <f>+AB11</f>
        <v>1.2285714285714287E-2</v>
      </c>
      <c r="H11" s="1070"/>
      <c r="I11" s="1143"/>
      <c r="J11" s="1143"/>
      <c r="K11" s="1143"/>
      <c r="L11" s="1143"/>
      <c r="M11" s="1143"/>
      <c r="N11" s="1071"/>
      <c r="O11" s="1049"/>
      <c r="P11" s="1063">
        <f>(D11-E11)*((1+G11)/(1+G$17)-1)</f>
        <v>-9.1007527879036101E-4</v>
      </c>
      <c r="Q11" s="1072">
        <f>(1+X17)/(1+W17)-1</f>
        <v>-4.341156928799883E-4</v>
      </c>
      <c r="R11" s="1063">
        <f>SUM(R13:S15)</f>
        <v>-1.5389866951930195E-5</v>
      </c>
      <c r="S11" s="1072"/>
      <c r="T11" s="1072">
        <f>+T13+T15</f>
        <v>1.6221725795351762E-3</v>
      </c>
      <c r="W11" s="1063">
        <f>+D11*G11</f>
        <v>8.0102857142857146E-3</v>
      </c>
      <c r="X11" s="1064">
        <f>+D11*AE11</f>
        <v>7.5803217798594853E-3</v>
      </c>
      <c r="Y11" s="1120"/>
      <c r="AA11" s="1066">
        <f>+(AA13+AA15)/D11</f>
        <v>1.4061349693251535E-2</v>
      </c>
      <c r="AB11" s="1067">
        <f>+(AB13+AB15)/E11</f>
        <v>1.2285714285714287E-2</v>
      </c>
      <c r="AC11" s="185"/>
      <c r="AD11" s="185"/>
      <c r="AE11" s="1121">
        <f>+H17/I17*(G11-L17)+L17</f>
        <v>1.1626260398557492E-2</v>
      </c>
      <c r="AF11" s="185"/>
      <c r="AG11" s="1066">
        <f>H17/I17*-I17*N17+L17</f>
        <v>1.1626260398557492E-2</v>
      </c>
    </row>
    <row r="12" spans="2:33" x14ac:dyDescent="0.2">
      <c r="B12" s="1068"/>
      <c r="C12" s="1069"/>
      <c r="D12" s="1059"/>
      <c r="E12" s="1060"/>
      <c r="F12" s="1070"/>
      <c r="G12" s="1071"/>
      <c r="H12" s="1070"/>
      <c r="I12" s="1143"/>
      <c r="J12" s="1143"/>
      <c r="K12" s="1143"/>
      <c r="L12" s="1143"/>
      <c r="M12" s="1143"/>
      <c r="N12" s="1071"/>
      <c r="O12" s="1049"/>
      <c r="P12" s="1063"/>
      <c r="Q12" s="1072"/>
      <c r="R12" s="1063"/>
      <c r="S12" s="1072"/>
      <c r="T12" s="1072"/>
      <c r="W12" s="1063"/>
      <c r="X12" s="1064"/>
      <c r="Y12" s="1120"/>
      <c r="AA12" s="1066"/>
      <c r="AB12" s="1067"/>
      <c r="AC12" s="185"/>
      <c r="AD12" s="185"/>
      <c r="AE12" s="1066"/>
      <c r="AF12" s="185"/>
      <c r="AG12" s="185"/>
    </row>
    <row r="13" spans="2:33" x14ac:dyDescent="0.2">
      <c r="B13" s="1073" t="s">
        <v>889</v>
      </c>
      <c r="C13" s="1074" t="s">
        <v>767</v>
      </c>
      <c r="D13" s="1075">
        <v>0.247</v>
      </c>
      <c r="E13" s="1076">
        <v>0.3</v>
      </c>
      <c r="F13" s="1097">
        <v>2.4E-2</v>
      </c>
      <c r="G13" s="1098">
        <v>1.4E-2</v>
      </c>
      <c r="H13" s="1144">
        <v>4.0999999999999996</v>
      </c>
      <c r="I13" s="1145">
        <v>3.5</v>
      </c>
      <c r="J13" s="1145">
        <f>+H13*D13</f>
        <v>1.0126999999999999</v>
      </c>
      <c r="K13" s="1145">
        <f>+I13*E13</f>
        <v>1.05</v>
      </c>
      <c r="L13" s="1146">
        <v>5.0000000000000001E-3</v>
      </c>
      <c r="M13" s="1146">
        <f>-(F13-L13)/H13</f>
        <v>-4.6341463414634153E-3</v>
      </c>
      <c r="N13" s="1098">
        <f>-(G13-L13)/I13</f>
        <v>-2.5714285714285717E-3</v>
      </c>
      <c r="O13" s="1049"/>
      <c r="P13" s="1079"/>
      <c r="Q13" s="1081"/>
      <c r="R13" s="1079">
        <f>+(J13-K13)*(N$17-N13)/(1+X$17)</f>
        <v>-1.9058852110175842E-5</v>
      </c>
      <c r="S13" s="1081">
        <f>(D13-E13)*((1+L13)/(1+$L$17)-1)*((1+L$17)/(1+$X$17))</f>
        <v>-9.1774305737551764E-5</v>
      </c>
      <c r="T13" s="1099">
        <f>+D13*((1+F13)/(1+AE13)-1)*(1+AE13)/(1+Y17)</f>
        <v>2.114011650831994E-3</v>
      </c>
      <c r="U13" s="1147" t="s">
        <v>0</v>
      </c>
      <c r="W13" s="1095"/>
      <c r="X13" s="1134"/>
      <c r="Y13" s="1081">
        <f>+D13*(H13/I13*(G13-L13)+L13)</f>
        <v>3.8390857142857142E-3</v>
      </c>
      <c r="AA13" s="1066">
        <f>+D13*F13</f>
        <v>5.9280000000000001E-3</v>
      </c>
      <c r="AB13" s="1067">
        <f>+E13*G13</f>
        <v>4.1999999999999997E-3</v>
      </c>
      <c r="AC13" s="1148">
        <f>+D13*L13/D$11</f>
        <v>1.8941717791411041E-3</v>
      </c>
      <c r="AD13" s="1149">
        <f>+E13*L13/E$11</f>
        <v>2.142857142857143E-3</v>
      </c>
      <c r="AE13" s="1066">
        <f>+H13/I13*(G13-L13)+L13</f>
        <v>1.5542857142857143E-2</v>
      </c>
      <c r="AF13" s="185"/>
      <c r="AG13" s="1066">
        <f>H13/I13*-I13*N13+L13</f>
        <v>1.5542857142857143E-2</v>
      </c>
    </row>
    <row r="14" spans="2:33" x14ac:dyDescent="0.2">
      <c r="B14" s="1073"/>
      <c r="C14" s="1074"/>
      <c r="D14" s="1075"/>
      <c r="E14" s="1076"/>
      <c r="F14" s="1097"/>
      <c r="G14" s="1098"/>
      <c r="H14" s="1144"/>
      <c r="I14" s="1145"/>
      <c r="J14" s="1145"/>
      <c r="K14" s="1145"/>
      <c r="L14" s="1146"/>
      <c r="M14" s="1146"/>
      <c r="N14" s="1098"/>
      <c r="O14" s="1049"/>
      <c r="P14" s="1079"/>
      <c r="Q14" s="1081"/>
      <c r="R14" s="1079"/>
      <c r="S14" s="1081"/>
      <c r="T14" s="1099"/>
      <c r="U14" s="1082"/>
      <c r="W14" s="1095"/>
      <c r="X14" s="1134"/>
      <c r="Y14" s="1081"/>
      <c r="AA14" s="1066"/>
      <c r="AB14" s="1067"/>
      <c r="AC14" s="1150"/>
      <c r="AD14" s="1151"/>
      <c r="AE14" s="1066"/>
      <c r="AF14" s="185"/>
      <c r="AG14" s="185"/>
    </row>
    <row r="15" spans="2:33" x14ac:dyDescent="0.2">
      <c r="B15" s="1073" t="s">
        <v>889</v>
      </c>
      <c r="C15" s="1074" t="s">
        <v>917</v>
      </c>
      <c r="D15" s="1075">
        <v>0.40500000000000003</v>
      </c>
      <c r="E15" s="1076">
        <v>0.4</v>
      </c>
      <c r="F15" s="1097">
        <v>8.0000000000000002E-3</v>
      </c>
      <c r="G15" s="1078">
        <v>1.0999999999999999E-2</v>
      </c>
      <c r="H15" s="1152">
        <v>4</v>
      </c>
      <c r="I15" s="1153">
        <v>5</v>
      </c>
      <c r="J15" s="1145">
        <f>+H15*D15</f>
        <v>1.62</v>
      </c>
      <c r="K15" s="1145">
        <f>+I15*E15</f>
        <v>2</v>
      </c>
      <c r="L15" s="1154">
        <v>2E-3</v>
      </c>
      <c r="M15" s="1146">
        <f>-(F15-L15)/H15</f>
        <v>-1.5E-3</v>
      </c>
      <c r="N15" s="1098">
        <f>-(G15-L15)/I15</f>
        <v>-1.8E-3</v>
      </c>
      <c r="O15" s="1049"/>
      <c r="P15" s="1079"/>
      <c r="Q15" s="1081"/>
      <c r="R15" s="1079">
        <f>+(J15-K15)*(N$17-N15)/(1+X$17)</f>
        <v>1.019367559243989E-4</v>
      </c>
      <c r="S15" s="1081">
        <f>(D15-E15)*((1+L15)/(1+$L$17)-1)*((1+L$17)/(1+$X$17))</f>
        <v>-6.4934650286014937E-6</v>
      </c>
      <c r="T15" s="1099">
        <f>+D15*((1+F15)/(1+AE15)-1)*(1+AE15)/(1+Y17)</f>
        <v>-4.9183907129681794E-4</v>
      </c>
      <c r="U15" s="1147" t="s">
        <v>0</v>
      </c>
      <c r="W15" s="1095"/>
      <c r="X15" s="1134"/>
      <c r="Y15" s="1081">
        <f>+D15*(H15/I15*(G15-L15)+L15)</f>
        <v>3.7260000000000001E-3</v>
      </c>
      <c r="AA15" s="1066">
        <f>+D15*F15</f>
        <v>3.2400000000000003E-3</v>
      </c>
      <c r="AB15" s="1067">
        <f>+E15*G15</f>
        <v>4.4000000000000003E-3</v>
      </c>
      <c r="AC15" s="1150">
        <f>+D15*L15/D$11</f>
        <v>1.2423312883435584E-3</v>
      </c>
      <c r="AD15" s="1151">
        <f>+E15*L15/E$11</f>
        <v>1.1428571428571429E-3</v>
      </c>
      <c r="AE15" s="1066">
        <f>+H15/I15*(G15-L15)+L15</f>
        <v>9.1999999999999998E-3</v>
      </c>
      <c r="AF15" s="185"/>
      <c r="AG15" s="1066">
        <f>H15/I15*-I15*N15+L15</f>
        <v>9.1999999999999998E-3</v>
      </c>
    </row>
    <row r="16" spans="2:33" x14ac:dyDescent="0.2">
      <c r="B16" s="1073"/>
      <c r="C16" s="1074"/>
      <c r="D16" s="1075"/>
      <c r="E16" s="1076"/>
      <c r="F16" s="1097"/>
      <c r="G16" s="1078"/>
      <c r="H16" s="1077"/>
      <c r="I16" s="1154"/>
      <c r="J16" s="1154"/>
      <c r="K16" s="1154"/>
      <c r="L16" s="1154"/>
      <c r="M16" s="1154"/>
      <c r="N16" s="1078"/>
      <c r="O16" s="1049"/>
      <c r="P16" s="1079"/>
      <c r="Q16" s="1081"/>
      <c r="R16" s="1100"/>
      <c r="S16" s="1155"/>
      <c r="T16" s="1102"/>
      <c r="U16" s="1082"/>
      <c r="W16" s="1095"/>
      <c r="X16" s="1134"/>
      <c r="Y16" s="1081"/>
      <c r="AA16" s="1066"/>
      <c r="AB16" s="1067"/>
      <c r="AC16" s="1150"/>
      <c r="AD16" s="1151"/>
      <c r="AE16" s="1124"/>
      <c r="AF16" s="185"/>
      <c r="AG16" s="185"/>
    </row>
    <row r="17" spans="2:33" x14ac:dyDescent="0.2">
      <c r="B17" s="1103" t="s">
        <v>0</v>
      </c>
      <c r="C17" s="1104" t="s">
        <v>898</v>
      </c>
      <c r="D17" s="1105">
        <f>+D5+D11</f>
        <v>1</v>
      </c>
      <c r="E17" s="1106">
        <f>+E5+E11</f>
        <v>1</v>
      </c>
      <c r="F17" s="1107">
        <f>+AA17</f>
        <v>-1.3101000000000002E-2</v>
      </c>
      <c r="G17" s="1108">
        <f>+AB17</f>
        <v>-6.5500000000000011E-3</v>
      </c>
      <c r="H17" s="1156">
        <f>SUM(J13:J15)/D11</f>
        <v>4.0378834355828213</v>
      </c>
      <c r="I17" s="1156">
        <f>SUM(K13:K15)/E11</f>
        <v>4.3571428571428568</v>
      </c>
      <c r="J17" s="1157"/>
      <c r="K17" s="1157"/>
      <c r="L17" s="1157">
        <f>+AD17</f>
        <v>3.2857142857142859E-3</v>
      </c>
      <c r="M17" s="1158">
        <f>-(F11-AC17)/H17</f>
        <v>-2.7055874197591833E-3</v>
      </c>
      <c r="N17" s="1159">
        <f>-(G11-L17)/I17</f>
        <v>-2.0655737704918038E-3</v>
      </c>
      <c r="O17" s="1049"/>
      <c r="P17" s="1109">
        <f>SUM(P5:P15)</f>
        <v>-3.0335842626345354E-3</v>
      </c>
      <c r="Q17" s="1110">
        <f>SUM(Q5:Q15)</f>
        <v>-4.341156928799883E-4</v>
      </c>
      <c r="R17" s="1110">
        <f>+R5+R11</f>
        <v>-1.8971960322405061E-3</v>
      </c>
      <c r="S17" s="1111"/>
      <c r="T17" s="1111">
        <f>+T5+T11</f>
        <v>-1.243852626046192E-3</v>
      </c>
      <c r="W17" s="1112">
        <f>SUM(W5:W15)</f>
        <v>-9.5637142857142848E-3</v>
      </c>
      <c r="X17" s="1112">
        <f>SUM(X5:X15)</f>
        <v>-9.9936782201405141E-3</v>
      </c>
      <c r="Y17" s="1160">
        <f>SUM(Y5:Y15)</f>
        <v>-1.1871914285714288E-2</v>
      </c>
      <c r="AA17" s="1115">
        <f>+AA7+AA9+AA13+AA15</f>
        <v>-1.3101000000000002E-2</v>
      </c>
      <c r="AB17" s="1115">
        <f>+AB7+AB9+AB13+AB15</f>
        <v>-6.5500000000000011E-3</v>
      </c>
      <c r="AC17" s="1161">
        <f>SUM(AC13:AC15)</f>
        <v>3.1365030674846625E-3</v>
      </c>
      <c r="AD17" s="1162">
        <f>SUM(AD13:AD15)</f>
        <v>3.2857142857142859E-3</v>
      </c>
      <c r="AE17" s="185"/>
      <c r="AF17" s="185"/>
      <c r="AG17" s="185" t="s">
        <v>0</v>
      </c>
    </row>
    <row r="18" spans="2:33" x14ac:dyDescent="0.2">
      <c r="O18" s="1049"/>
      <c r="P18" s="1116"/>
      <c r="Q18" s="1116"/>
      <c r="R18" s="1116" t="s">
        <v>0</v>
      </c>
      <c r="S18" s="1116"/>
      <c r="T18" s="1116" t="s">
        <v>0</v>
      </c>
    </row>
    <row r="19" spans="2:33" x14ac:dyDescent="0.2">
      <c r="B19" s="171" t="s">
        <v>0</v>
      </c>
      <c r="O19" s="192"/>
      <c r="R19" s="1117" t="s">
        <v>507</v>
      </c>
      <c r="S19" s="1118"/>
      <c r="T19" s="1119">
        <f>+(1+F17)/(1+G17)-1</f>
        <v>-6.5941919573204721E-3</v>
      </c>
      <c r="U19" s="185"/>
      <c r="V19" s="185"/>
      <c r="W19" s="185"/>
      <c r="X19" s="185"/>
    </row>
    <row r="20" spans="2:33" x14ac:dyDescent="0.2">
      <c r="R20" s="425"/>
      <c r="S20" s="321"/>
      <c r="T20" s="1120"/>
      <c r="U20" s="185"/>
      <c r="V20" s="185"/>
      <c r="W20" s="185" t="s">
        <v>223</v>
      </c>
      <c r="X20" s="185"/>
    </row>
    <row r="21" spans="2:33" x14ac:dyDescent="0.2">
      <c r="P21" s="1151">
        <f>+(1+W17)/(1+G17)-1</f>
        <v>-3.0335842626344478E-3</v>
      </c>
      <c r="R21" s="425" t="s">
        <v>899</v>
      </c>
      <c r="S21" s="321"/>
      <c r="T21" s="1120">
        <f>(1+P17)*(1+Q17)-1</f>
        <v>-3.466383028980502E-3</v>
      </c>
      <c r="U21" s="185"/>
      <c r="V21" s="185"/>
      <c r="W21" s="1151">
        <f>+(1+X17)/(1+G17)-1</f>
        <v>-3.4663830289802799E-3</v>
      </c>
      <c r="X21" s="1151"/>
    </row>
    <row r="22" spans="2:33" x14ac:dyDescent="0.2">
      <c r="R22" s="425"/>
      <c r="S22" s="321"/>
      <c r="T22" s="1120"/>
      <c r="U22" s="185"/>
      <c r="V22" s="185"/>
      <c r="W22" s="1151"/>
      <c r="X22" s="1151"/>
    </row>
    <row r="23" spans="2:33" x14ac:dyDescent="0.2">
      <c r="P23" s="1122" t="s">
        <v>0</v>
      </c>
      <c r="Q23" s="1122"/>
      <c r="R23" s="1123" t="s">
        <v>918</v>
      </c>
      <c r="S23" s="1163"/>
      <c r="T23" s="1120">
        <f>+R17</f>
        <v>-1.8971960322405061E-3</v>
      </c>
      <c r="U23" s="185"/>
      <c r="V23" s="185"/>
      <c r="W23" s="1151">
        <f>+(1+Y17)/(1+X17)-1</f>
        <v>-1.897196032240589E-3</v>
      </c>
      <c r="X23" s="1151"/>
    </row>
    <row r="24" spans="2:33" x14ac:dyDescent="0.2">
      <c r="R24" s="425"/>
      <c r="S24" s="321"/>
      <c r="T24" s="1120"/>
      <c r="U24" s="185"/>
      <c r="V24" s="185"/>
      <c r="W24" s="1151"/>
      <c r="X24" s="1151"/>
    </row>
    <row r="25" spans="2:33" x14ac:dyDescent="0.2">
      <c r="R25" s="425" t="s">
        <v>484</v>
      </c>
      <c r="S25" s="321"/>
      <c r="T25" s="1120">
        <f>+T17</f>
        <v>-1.243852626046192E-3</v>
      </c>
      <c r="U25" s="185"/>
      <c r="V25" s="185"/>
      <c r="W25" s="1151">
        <f>+(1+F17)/(1+Y17)-1</f>
        <v>-1.2438526260462046E-3</v>
      </c>
      <c r="X25" s="1151"/>
    </row>
    <row r="26" spans="2:33" x14ac:dyDescent="0.2">
      <c r="R26" s="425"/>
      <c r="S26" s="321"/>
      <c r="T26" s="1120"/>
      <c r="U26" s="185"/>
      <c r="V26" s="185"/>
    </row>
    <row r="27" spans="2:33" x14ac:dyDescent="0.2">
      <c r="R27" s="428" t="s">
        <v>524</v>
      </c>
      <c r="S27" s="429"/>
      <c r="T27" s="430">
        <f>(1+T19)/((1+T21)*(1+T23)*(1+T25))-1</f>
        <v>0</v>
      </c>
      <c r="U27" s="185"/>
      <c r="V27" s="185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G48"/>
  <sheetViews>
    <sheetView topLeftCell="I1" zoomScaleNormal="100" workbookViewId="0">
      <selection activeCell="AB1" sqref="AB1"/>
    </sheetView>
  </sheetViews>
  <sheetFormatPr defaultRowHeight="15" x14ac:dyDescent="0.25"/>
  <cols>
    <col min="7" max="7" width="9.5703125" bestFit="1" customWidth="1"/>
    <col min="15" max="15" width="14.28515625" customWidth="1"/>
    <col min="16" max="16" width="8.7109375" customWidth="1"/>
    <col min="19" max="19" width="12.85546875" customWidth="1"/>
    <col min="20" max="20" width="11.28515625" customWidth="1"/>
    <col min="22" max="22" width="10.42578125" customWidth="1"/>
    <col min="25" max="25" width="11.7109375" customWidth="1"/>
    <col min="26" max="26" width="11.140625" customWidth="1"/>
    <col min="27" max="27" width="10.85546875" customWidth="1"/>
    <col min="28" max="28" width="10.42578125" customWidth="1"/>
  </cols>
  <sheetData>
    <row r="2" spans="3:33" ht="15.75" thickBot="1" x14ac:dyDescent="0.3"/>
    <row r="3" spans="3:33" ht="15.75" thickBot="1" x14ac:dyDescent="0.3">
      <c r="C3" s="39" t="s">
        <v>417</v>
      </c>
      <c r="D3" s="40"/>
      <c r="E3" s="40"/>
      <c r="F3" s="40"/>
      <c r="G3" s="41"/>
      <c r="I3" s="39" t="s">
        <v>418</v>
      </c>
      <c r="J3" s="40"/>
      <c r="K3" s="41"/>
      <c r="M3" s="18" t="s">
        <v>419</v>
      </c>
      <c r="N3" s="19"/>
      <c r="O3" s="19"/>
      <c r="P3" s="20"/>
      <c r="R3" s="39" t="s">
        <v>446</v>
      </c>
      <c r="S3" s="40"/>
      <c r="T3" s="40"/>
      <c r="U3" s="40"/>
      <c r="V3" s="41"/>
      <c r="X3" s="18" t="s">
        <v>447</v>
      </c>
      <c r="Y3" s="19"/>
      <c r="Z3" s="19"/>
      <c r="AA3" s="19"/>
      <c r="AB3" s="20"/>
      <c r="AD3" s="18" t="s">
        <v>448</v>
      </c>
      <c r="AE3" s="19"/>
      <c r="AF3" s="19"/>
      <c r="AG3" s="20"/>
    </row>
    <row r="4" spans="3:33" x14ac:dyDescent="0.25">
      <c r="C4" s="22" t="s">
        <v>11</v>
      </c>
      <c r="D4" s="23" t="s">
        <v>1</v>
      </c>
      <c r="E4" s="23" t="s">
        <v>2</v>
      </c>
      <c r="F4" s="23" t="s">
        <v>8</v>
      </c>
      <c r="G4" s="24" t="s">
        <v>9</v>
      </c>
      <c r="I4" s="22" t="s">
        <v>71</v>
      </c>
      <c r="J4" s="23" t="s">
        <v>9</v>
      </c>
      <c r="K4" s="24" t="s">
        <v>9</v>
      </c>
      <c r="M4" s="22"/>
      <c r="N4" s="23"/>
      <c r="O4" s="23"/>
      <c r="P4" s="24"/>
      <c r="R4" s="18" t="s">
        <v>1</v>
      </c>
      <c r="S4" s="19" t="s">
        <v>15</v>
      </c>
      <c r="T4" s="19" t="s">
        <v>75</v>
      </c>
      <c r="U4" s="19" t="s">
        <v>9</v>
      </c>
      <c r="V4" s="20" t="s">
        <v>9</v>
      </c>
      <c r="X4" s="18" t="s">
        <v>1</v>
      </c>
      <c r="Y4" s="19" t="s">
        <v>15</v>
      </c>
      <c r="Z4" s="19" t="s">
        <v>76</v>
      </c>
      <c r="AA4" s="19" t="s">
        <v>9</v>
      </c>
      <c r="AB4" s="20" t="s">
        <v>9</v>
      </c>
      <c r="AD4" s="22"/>
      <c r="AE4" s="23"/>
      <c r="AF4" s="23"/>
      <c r="AG4" s="24"/>
    </row>
    <row r="5" spans="3:33" ht="15.75" thickBot="1" x14ac:dyDescent="0.3">
      <c r="C5" s="22"/>
      <c r="D5" s="23" t="s">
        <v>49</v>
      </c>
      <c r="E5" s="23" t="s">
        <v>69</v>
      </c>
      <c r="F5" s="23" t="s">
        <v>9</v>
      </c>
      <c r="G5" s="24" t="s">
        <v>18</v>
      </c>
      <c r="I5" s="22" t="s">
        <v>3</v>
      </c>
      <c r="J5" s="23"/>
      <c r="K5" s="24" t="s">
        <v>10</v>
      </c>
      <c r="M5" s="22"/>
      <c r="N5" s="23"/>
      <c r="O5" s="23"/>
      <c r="P5" s="24"/>
      <c r="R5" s="22" t="s">
        <v>49</v>
      </c>
      <c r="S5" s="23" t="s">
        <v>49</v>
      </c>
      <c r="T5" s="23" t="s">
        <v>71</v>
      </c>
      <c r="U5" s="23"/>
      <c r="V5" s="24" t="s">
        <v>18</v>
      </c>
      <c r="X5" s="22" t="s">
        <v>49</v>
      </c>
      <c r="Y5" s="23" t="s">
        <v>49</v>
      </c>
      <c r="Z5" s="23" t="s">
        <v>71</v>
      </c>
      <c r="AA5" s="23"/>
      <c r="AB5" s="24" t="s">
        <v>18</v>
      </c>
      <c r="AD5" s="15"/>
      <c r="AE5" s="16"/>
      <c r="AF5" s="16"/>
      <c r="AG5" s="21"/>
    </row>
    <row r="6" spans="3:33" ht="15.75" thickBot="1" x14ac:dyDescent="0.3">
      <c r="C6" s="15"/>
      <c r="D6" s="16" t="s">
        <v>50</v>
      </c>
      <c r="E6" s="16" t="s">
        <v>70</v>
      </c>
      <c r="F6" s="16"/>
      <c r="G6" s="21"/>
      <c r="I6" s="15"/>
      <c r="J6" s="16"/>
      <c r="K6" s="21"/>
      <c r="M6" s="29" t="s">
        <v>64</v>
      </c>
      <c r="N6" s="30"/>
      <c r="O6" s="30"/>
      <c r="P6" s="47">
        <v>2.4300000000000002</v>
      </c>
      <c r="R6" s="15" t="s">
        <v>50</v>
      </c>
      <c r="S6" s="16" t="s">
        <v>50</v>
      </c>
      <c r="T6" s="16" t="s">
        <v>3</v>
      </c>
      <c r="U6" s="16"/>
      <c r="V6" s="21"/>
      <c r="X6" s="15" t="s">
        <v>50</v>
      </c>
      <c r="Y6" s="16" t="s">
        <v>50</v>
      </c>
      <c r="Z6" s="16" t="s">
        <v>3</v>
      </c>
      <c r="AA6" s="16"/>
      <c r="AB6" s="21"/>
      <c r="AD6" s="29" t="s">
        <v>77</v>
      </c>
      <c r="AE6" s="30"/>
      <c r="AF6" s="30"/>
      <c r="AG6" s="50">
        <f>(V44/C42)^0.5</f>
        <v>0.34801021696368489</v>
      </c>
    </row>
    <row r="7" spans="3:33" x14ac:dyDescent="0.25">
      <c r="C7" s="32">
        <f>C6+1</f>
        <v>1</v>
      </c>
      <c r="D7" s="42">
        <v>0.3</v>
      </c>
      <c r="E7" s="33">
        <v>0.1</v>
      </c>
      <c r="F7" s="38">
        <f>ABS(E7-E$46)</f>
        <v>9.9999999999999922E-2</v>
      </c>
      <c r="G7" s="43">
        <f>+F7^2</f>
        <v>9.9999999999999846E-3</v>
      </c>
      <c r="I7" s="53">
        <f t="shared" ref="I7:I42" si="0">+D7-E7</f>
        <v>0.19999999999999998</v>
      </c>
      <c r="J7" s="42">
        <f>+I7-J$46</f>
        <v>-0.70000000000000018</v>
      </c>
      <c r="K7" s="43">
        <f>J7^2</f>
        <v>0.49000000000000027</v>
      </c>
      <c r="M7" s="32"/>
      <c r="N7" s="33"/>
      <c r="O7" s="33"/>
      <c r="P7" s="34"/>
      <c r="R7" s="53">
        <v>0.3</v>
      </c>
      <c r="S7" s="42">
        <v>0.2</v>
      </c>
      <c r="T7" s="42">
        <f>+R7-S7</f>
        <v>9.9999999999999978E-2</v>
      </c>
      <c r="U7" s="42">
        <f>+T7-T$46</f>
        <v>0.20000000000000012</v>
      </c>
      <c r="V7" s="34">
        <f>+U7^2</f>
        <v>4.0000000000000049E-2</v>
      </c>
      <c r="X7" s="53">
        <v>0.3</v>
      </c>
      <c r="Y7" s="42">
        <v>0.2</v>
      </c>
      <c r="Z7" s="38">
        <f>((1+R7/100)/(1+S7/100)-1)*100</f>
        <v>9.9800399201588341E-2</v>
      </c>
      <c r="AA7" s="38">
        <f>+Z7-Z$46</f>
        <v>0.19650559440452892</v>
      </c>
      <c r="AB7" s="43">
        <f>+AA7^2</f>
        <v>3.8614448632277226E-2</v>
      </c>
      <c r="AD7" s="32"/>
      <c r="AE7" s="33"/>
      <c r="AF7" s="33"/>
      <c r="AG7" s="34"/>
    </row>
    <row r="8" spans="3:33" x14ac:dyDescent="0.25">
      <c r="C8" s="32">
        <f t="shared" ref="C8:C42" si="1">C7+1</f>
        <v>2</v>
      </c>
      <c r="D8" s="42">
        <v>2.6</v>
      </c>
      <c r="E8" s="33">
        <v>0.1</v>
      </c>
      <c r="F8" s="38">
        <f t="shared" ref="F8:F42" si="2">ABS(E8-E$46)</f>
        <v>9.9999999999999922E-2</v>
      </c>
      <c r="G8" s="43">
        <f t="shared" ref="G8:G42" si="3">+F8^2</f>
        <v>9.9999999999999846E-3</v>
      </c>
      <c r="I8" s="53">
        <f t="shared" si="0"/>
        <v>2.5</v>
      </c>
      <c r="J8" s="42">
        <f t="shared" ref="J8:J42" si="4">+I8-J$46</f>
        <v>1.5999999999999999</v>
      </c>
      <c r="K8" s="43">
        <f t="shared" ref="K8:K42" si="5">J8^2</f>
        <v>2.5599999999999996</v>
      </c>
      <c r="M8" s="32" t="s">
        <v>63</v>
      </c>
      <c r="N8" s="33"/>
      <c r="O8" s="33"/>
      <c r="P8" s="43">
        <f>(' Descriptive Statistics'!M6-P6)/' Descriptive Statistics'!AE8</f>
        <v>0.94497064661004249</v>
      </c>
      <c r="R8" s="53">
        <v>2.6</v>
      </c>
      <c r="S8" s="42">
        <v>2.5</v>
      </c>
      <c r="T8" s="42">
        <f t="shared" ref="T8:T42" si="6">+R8-S8</f>
        <v>0.10000000000000009</v>
      </c>
      <c r="U8" s="42">
        <f t="shared" ref="U8:U42" si="7">+T8-T$46</f>
        <v>0.20000000000000023</v>
      </c>
      <c r="V8" s="43">
        <f t="shared" ref="V8:V42" si="8">+U8^2</f>
        <v>4.0000000000000091E-2</v>
      </c>
      <c r="X8" s="53">
        <v>2.6</v>
      </c>
      <c r="Y8" s="42">
        <v>2.5</v>
      </c>
      <c r="Z8" s="38">
        <f t="shared" ref="Z8:Z42" si="9">((1+R8/100)/(1+S8/100)-1)*100</f>
        <v>9.7560975609756184E-2</v>
      </c>
      <c r="AA8" s="38">
        <f t="shared" ref="AA8:AA42" si="10">+Z8-Z$46</f>
        <v>0.19426617081269676</v>
      </c>
      <c r="AB8" s="43">
        <f t="shared" ref="AB8:AB42" si="11">+AA8^2</f>
        <v>3.7739345122227874E-2</v>
      </c>
      <c r="AD8" s="32" t="s">
        <v>78</v>
      </c>
      <c r="AE8" s="33"/>
      <c r="AF8" s="33"/>
      <c r="AG8" s="43">
        <f>+AG6*12^0.5</f>
        <v>1.2055427546683413</v>
      </c>
    </row>
    <row r="9" spans="3:33" x14ac:dyDescent="0.25">
      <c r="C9" s="32">
        <f t="shared" si="1"/>
        <v>3</v>
      </c>
      <c r="D9" s="42">
        <v>1.1000000000000001</v>
      </c>
      <c r="E9" s="33">
        <v>0.2</v>
      </c>
      <c r="F9" s="38">
        <f t="shared" si="2"/>
        <v>8.3266726846886741E-17</v>
      </c>
      <c r="G9" s="43">
        <f t="shared" si="3"/>
        <v>6.9333477997940491E-33</v>
      </c>
      <c r="I9" s="53">
        <f t="shared" si="0"/>
        <v>0.90000000000000013</v>
      </c>
      <c r="J9" s="42">
        <f t="shared" si="4"/>
        <v>0</v>
      </c>
      <c r="K9" s="43">
        <f t="shared" si="5"/>
        <v>0</v>
      </c>
      <c r="M9" s="32"/>
      <c r="N9" s="33"/>
      <c r="O9" s="33"/>
      <c r="P9" s="34"/>
      <c r="R9" s="53">
        <v>1.1000000000000001</v>
      </c>
      <c r="S9" s="42">
        <v>1.8</v>
      </c>
      <c r="T9" s="42">
        <f t="shared" si="6"/>
        <v>-0.7</v>
      </c>
      <c r="U9" s="42">
        <f t="shared" si="7"/>
        <v>-0.59999999999999987</v>
      </c>
      <c r="V9" s="43">
        <f t="shared" si="8"/>
        <v>0.35999999999999982</v>
      </c>
      <c r="X9" s="53">
        <v>1.1000000000000001</v>
      </c>
      <c r="Y9" s="42">
        <v>1.8</v>
      </c>
      <c r="Z9" s="38">
        <f t="shared" si="9"/>
        <v>-0.68762278978390379</v>
      </c>
      <c r="AA9" s="38">
        <f t="shared" si="10"/>
        <v>-0.59091759458096327</v>
      </c>
      <c r="AB9" s="43">
        <f t="shared" si="11"/>
        <v>0.34918360358535167</v>
      </c>
      <c r="AD9" s="32"/>
      <c r="AE9" s="33"/>
      <c r="AF9" s="33"/>
      <c r="AG9" s="34"/>
    </row>
    <row r="10" spans="3:33" x14ac:dyDescent="0.25">
      <c r="C10" s="32">
        <f t="shared" si="1"/>
        <v>4</v>
      </c>
      <c r="D10" s="42">
        <v>-0.9</v>
      </c>
      <c r="E10" s="33">
        <v>0.2</v>
      </c>
      <c r="F10" s="38">
        <f t="shared" si="2"/>
        <v>8.3266726846886741E-17</v>
      </c>
      <c r="G10" s="43">
        <f t="shared" si="3"/>
        <v>6.9333477997940491E-33</v>
      </c>
      <c r="I10" s="53">
        <f t="shared" si="0"/>
        <v>-1.1000000000000001</v>
      </c>
      <c r="J10" s="42">
        <f t="shared" si="4"/>
        <v>-2</v>
      </c>
      <c r="K10" s="43">
        <f t="shared" si="5"/>
        <v>4</v>
      </c>
      <c r="M10" s="32" t="s">
        <v>66</v>
      </c>
      <c r="N10" s="33"/>
      <c r="O10" s="33"/>
      <c r="P10" s="43">
        <f>+(G44/C42)^0.5</f>
        <v>9.1287092917527707E-2</v>
      </c>
      <c r="R10" s="53">
        <v>-0.9</v>
      </c>
      <c r="S10" s="42">
        <v>-1.1000000000000001</v>
      </c>
      <c r="T10" s="42">
        <f t="shared" si="6"/>
        <v>0.20000000000000007</v>
      </c>
      <c r="U10" s="42">
        <f t="shared" si="7"/>
        <v>0.30000000000000021</v>
      </c>
      <c r="V10" s="43">
        <f t="shared" si="8"/>
        <v>9.0000000000000122E-2</v>
      </c>
      <c r="X10" s="53">
        <v>-0.9</v>
      </c>
      <c r="Y10" s="42">
        <v>-1.1000000000000001</v>
      </c>
      <c r="Z10" s="38">
        <f t="shared" si="9"/>
        <v>0.20222446916076109</v>
      </c>
      <c r="AA10" s="38">
        <f t="shared" si="10"/>
        <v>0.29892966436370166</v>
      </c>
      <c r="AB10" s="43">
        <f t="shared" si="11"/>
        <v>8.9358944236595322E-2</v>
      </c>
      <c r="AD10" s="32" t="s">
        <v>79</v>
      </c>
      <c r="AE10" s="33"/>
      <c r="AF10" s="33"/>
      <c r="AG10" s="43">
        <f>' Descriptive Statistics'!M6-' Descriptive Statistics'!Y6</f>
        <v>-1.331110956230086</v>
      </c>
    </row>
    <row r="11" spans="3:33" x14ac:dyDescent="0.25">
      <c r="C11" s="32">
        <f t="shared" si="1"/>
        <v>5</v>
      </c>
      <c r="D11" s="42">
        <v>1.4</v>
      </c>
      <c r="E11" s="33">
        <v>0.2</v>
      </c>
      <c r="F11" s="38">
        <f t="shared" si="2"/>
        <v>8.3266726846886741E-17</v>
      </c>
      <c r="G11" s="43">
        <f t="shared" si="3"/>
        <v>6.9333477997940491E-33</v>
      </c>
      <c r="I11" s="53">
        <f t="shared" si="0"/>
        <v>1.2</v>
      </c>
      <c r="J11" s="42">
        <f t="shared" si="4"/>
        <v>0.29999999999999982</v>
      </c>
      <c r="K11" s="43">
        <f t="shared" si="5"/>
        <v>8.99999999999999E-2</v>
      </c>
      <c r="M11" s="32"/>
      <c r="N11" s="33"/>
      <c r="O11" s="33"/>
      <c r="P11" s="34"/>
      <c r="R11" s="53">
        <v>1.4</v>
      </c>
      <c r="S11" s="42">
        <v>1.4</v>
      </c>
      <c r="T11" s="42">
        <f t="shared" si="6"/>
        <v>0</v>
      </c>
      <c r="U11" s="42">
        <f t="shared" si="7"/>
        <v>0.10000000000000014</v>
      </c>
      <c r="V11" s="43">
        <f t="shared" si="8"/>
        <v>1.000000000000003E-2</v>
      </c>
      <c r="X11" s="53">
        <v>1.4</v>
      </c>
      <c r="Y11" s="42">
        <v>1.4</v>
      </c>
      <c r="Z11" s="38">
        <f t="shared" si="9"/>
        <v>0</v>
      </c>
      <c r="AA11" s="38">
        <f t="shared" si="10"/>
        <v>9.6705195202940561E-2</v>
      </c>
      <c r="AB11" s="43">
        <f t="shared" si="11"/>
        <v>9.3518947792388379E-3</v>
      </c>
      <c r="AD11" s="32"/>
      <c r="AE11" s="33"/>
      <c r="AF11" s="33"/>
      <c r="AG11" s="34"/>
    </row>
    <row r="12" spans="3:33" x14ac:dyDescent="0.25">
      <c r="C12" s="32">
        <f t="shared" si="1"/>
        <v>6</v>
      </c>
      <c r="D12" s="42">
        <v>2.4</v>
      </c>
      <c r="E12" s="33">
        <v>0.2</v>
      </c>
      <c r="F12" s="38">
        <f t="shared" si="2"/>
        <v>8.3266726846886741E-17</v>
      </c>
      <c r="G12" s="43">
        <f t="shared" si="3"/>
        <v>6.9333477997940491E-33</v>
      </c>
      <c r="I12" s="53">
        <f t="shared" si="0"/>
        <v>2.1999999999999997</v>
      </c>
      <c r="J12" s="42">
        <f t="shared" si="4"/>
        <v>1.2999999999999996</v>
      </c>
      <c r="K12" s="43">
        <f t="shared" si="5"/>
        <v>1.6899999999999991</v>
      </c>
      <c r="M12" s="32" t="s">
        <v>67</v>
      </c>
      <c r="N12" s="33"/>
      <c r="O12" s="33"/>
      <c r="P12" s="43">
        <f>+P10*12^0.5</f>
        <v>0.316227766016838</v>
      </c>
      <c r="R12" s="53">
        <v>2.4</v>
      </c>
      <c r="S12" s="42">
        <v>2.2999999999999998</v>
      </c>
      <c r="T12" s="42">
        <f t="shared" si="6"/>
        <v>0.10000000000000009</v>
      </c>
      <c r="U12" s="42">
        <f t="shared" si="7"/>
        <v>0.20000000000000023</v>
      </c>
      <c r="V12" s="43">
        <f t="shared" si="8"/>
        <v>4.0000000000000091E-2</v>
      </c>
      <c r="X12" s="53">
        <v>2.4</v>
      </c>
      <c r="Y12" s="42">
        <v>2.2999999999999998</v>
      </c>
      <c r="Z12" s="38">
        <f t="shared" si="9"/>
        <v>9.7751710654936375E-2</v>
      </c>
      <c r="AA12" s="38">
        <f t="shared" si="10"/>
        <v>0.19445690585787695</v>
      </c>
      <c r="AB12" s="43">
        <f t="shared" si="11"/>
        <v>3.7813488235819218E-2</v>
      </c>
      <c r="AD12" s="32" t="s">
        <v>83</v>
      </c>
      <c r="AE12" s="33"/>
      <c r="AF12" s="33"/>
      <c r="AG12" s="43">
        <f>AG10/AG8</f>
        <v>-1.104159061199194</v>
      </c>
    </row>
    <row r="13" spans="3:33" ht="15.75" thickBot="1" x14ac:dyDescent="0.3">
      <c r="C13" s="32">
        <f t="shared" si="1"/>
        <v>7</v>
      </c>
      <c r="D13" s="42">
        <v>1.5</v>
      </c>
      <c r="E13" s="33">
        <v>0.2</v>
      </c>
      <c r="F13" s="38">
        <f t="shared" si="2"/>
        <v>8.3266726846886741E-17</v>
      </c>
      <c r="G13" s="43">
        <f t="shared" si="3"/>
        <v>6.9333477997940491E-33</v>
      </c>
      <c r="I13" s="53">
        <f t="shared" si="0"/>
        <v>1.3</v>
      </c>
      <c r="J13" s="42">
        <f t="shared" si="4"/>
        <v>0.39999999999999991</v>
      </c>
      <c r="K13" s="43">
        <f t="shared" si="5"/>
        <v>0.15999999999999992</v>
      </c>
      <c r="M13" s="32" t="s">
        <v>0</v>
      </c>
      <c r="N13" s="33"/>
      <c r="O13" s="33"/>
      <c r="P13" s="34"/>
      <c r="R13" s="53">
        <v>1.5</v>
      </c>
      <c r="S13" s="42">
        <v>1.4</v>
      </c>
      <c r="T13" s="42">
        <f t="shared" si="6"/>
        <v>0.10000000000000009</v>
      </c>
      <c r="U13" s="42">
        <f t="shared" si="7"/>
        <v>0.20000000000000023</v>
      </c>
      <c r="V13" s="43">
        <f t="shared" si="8"/>
        <v>4.0000000000000091E-2</v>
      </c>
      <c r="X13" s="53">
        <v>1.5</v>
      </c>
      <c r="Y13" s="42">
        <v>1.4</v>
      </c>
      <c r="Z13" s="38">
        <f t="shared" si="9"/>
        <v>9.8619329388549559E-2</v>
      </c>
      <c r="AA13" s="38">
        <f t="shared" si="10"/>
        <v>0.19532452459149013</v>
      </c>
      <c r="AB13" s="43">
        <f t="shared" si="11"/>
        <v>3.8151669906891637E-2</v>
      </c>
      <c r="AD13" s="35" t="s">
        <v>0</v>
      </c>
      <c r="AE13" s="36"/>
      <c r="AF13" s="36"/>
      <c r="AG13" s="37"/>
    </row>
    <row r="14" spans="3:33" x14ac:dyDescent="0.25">
      <c r="C14" s="32">
        <f t="shared" si="1"/>
        <v>8</v>
      </c>
      <c r="D14" s="42">
        <v>6.6</v>
      </c>
      <c r="E14" s="33">
        <v>0.3</v>
      </c>
      <c r="F14" s="38">
        <f t="shared" si="2"/>
        <v>0.10000000000000006</v>
      </c>
      <c r="G14" s="43">
        <f t="shared" si="3"/>
        <v>1.0000000000000012E-2</v>
      </c>
      <c r="I14" s="53">
        <f t="shared" si="0"/>
        <v>6.3</v>
      </c>
      <c r="J14" s="42">
        <f t="shared" si="4"/>
        <v>5.3999999999999995</v>
      </c>
      <c r="K14" s="43">
        <f t="shared" si="5"/>
        <v>29.159999999999993</v>
      </c>
      <c r="M14" s="32" t="s">
        <v>65</v>
      </c>
      <c r="N14" s="33"/>
      <c r="O14" s="33"/>
      <c r="P14" s="43">
        <f>(' Descriptive Statistics'!M6-P6)/(' Descriptive Statistics'!AE8-P12)</f>
        <v>0.97171000789549322</v>
      </c>
      <c r="R14" s="53">
        <v>6.6</v>
      </c>
      <c r="S14" s="42">
        <v>6.5</v>
      </c>
      <c r="T14" s="42">
        <f t="shared" si="6"/>
        <v>9.9999999999999645E-2</v>
      </c>
      <c r="U14" s="42">
        <f t="shared" si="7"/>
        <v>0.19999999999999979</v>
      </c>
      <c r="V14" s="43">
        <f t="shared" si="8"/>
        <v>3.9999999999999918E-2</v>
      </c>
      <c r="X14" s="53">
        <v>6.6</v>
      </c>
      <c r="Y14" s="42">
        <v>6.5</v>
      </c>
      <c r="Z14" s="38">
        <f t="shared" si="9"/>
        <v>9.3896713615038152E-2</v>
      </c>
      <c r="AA14" s="38">
        <f t="shared" si="10"/>
        <v>0.19060190881797873</v>
      </c>
      <c r="AB14" s="43">
        <f t="shared" si="11"/>
        <v>3.632908764505708E-2</v>
      </c>
      <c r="AD14" s="32" t="s">
        <v>80</v>
      </c>
      <c r="AE14" s="33"/>
      <c r="AF14" s="33"/>
      <c r="AG14" s="77">
        <f>(AB44/C42)^0.5</f>
        <v>0.34318750190674596</v>
      </c>
    </row>
    <row r="15" spans="3:33" x14ac:dyDescent="0.25">
      <c r="C15" s="32">
        <f t="shared" si="1"/>
        <v>9</v>
      </c>
      <c r="D15" s="42">
        <v>-1.4</v>
      </c>
      <c r="E15" s="33">
        <v>0.3</v>
      </c>
      <c r="F15" s="38">
        <f t="shared" si="2"/>
        <v>0.10000000000000006</v>
      </c>
      <c r="G15" s="43">
        <f t="shared" si="3"/>
        <v>1.0000000000000012E-2</v>
      </c>
      <c r="I15" s="53">
        <f t="shared" si="0"/>
        <v>-1.7</v>
      </c>
      <c r="J15" s="42">
        <f t="shared" si="4"/>
        <v>-2.6</v>
      </c>
      <c r="K15" s="43">
        <f t="shared" si="5"/>
        <v>6.7600000000000007</v>
      </c>
      <c r="M15" s="32"/>
      <c r="N15" s="33"/>
      <c r="O15" s="33"/>
      <c r="P15" s="34"/>
      <c r="R15" s="53">
        <v>-1.4</v>
      </c>
      <c r="S15" s="42">
        <v>-1.5</v>
      </c>
      <c r="T15" s="42">
        <f t="shared" si="6"/>
        <v>0.10000000000000009</v>
      </c>
      <c r="U15" s="42">
        <f t="shared" si="7"/>
        <v>0.20000000000000023</v>
      </c>
      <c r="V15" s="43">
        <f t="shared" si="8"/>
        <v>4.0000000000000091E-2</v>
      </c>
      <c r="X15" s="53">
        <v>-1.4</v>
      </c>
      <c r="Y15" s="42">
        <v>-1.5</v>
      </c>
      <c r="Z15" s="38">
        <f t="shared" si="9"/>
        <v>0.10152284263960087</v>
      </c>
      <c r="AA15" s="38">
        <f t="shared" si="10"/>
        <v>0.19822803784254145</v>
      </c>
      <c r="AB15" s="43">
        <f t="shared" si="11"/>
        <v>3.9294354986904048E-2</v>
      </c>
      <c r="AD15" s="32"/>
      <c r="AE15" s="33"/>
      <c r="AF15" s="33"/>
      <c r="AG15" s="34"/>
    </row>
    <row r="16" spans="3:33" x14ac:dyDescent="0.25">
      <c r="C16" s="32">
        <f t="shared" si="1"/>
        <v>10</v>
      </c>
      <c r="D16" s="42">
        <v>3.9</v>
      </c>
      <c r="E16" s="33">
        <v>0.4</v>
      </c>
      <c r="F16" s="38">
        <f t="shared" si="2"/>
        <v>0.20000000000000009</v>
      </c>
      <c r="G16" s="43">
        <f t="shared" si="3"/>
        <v>4.0000000000000036E-2</v>
      </c>
      <c r="I16" s="53">
        <f t="shared" si="0"/>
        <v>3.5</v>
      </c>
      <c r="J16" s="42">
        <f t="shared" si="4"/>
        <v>2.5999999999999996</v>
      </c>
      <c r="K16" s="43">
        <f t="shared" si="5"/>
        <v>6.759999999999998</v>
      </c>
      <c r="M16" s="32" t="s">
        <v>173</v>
      </c>
      <c r="N16" s="33"/>
      <c r="O16" s="33"/>
      <c r="P16" s="43">
        <f>P8*(1+' Descriptive Statistics'!AP4/6*P8)</f>
        <v>0.90955024735872714</v>
      </c>
      <c r="R16" s="53">
        <v>3.9</v>
      </c>
      <c r="S16" s="42">
        <v>4.2</v>
      </c>
      <c r="T16" s="42">
        <f t="shared" si="6"/>
        <v>-0.30000000000000027</v>
      </c>
      <c r="U16" s="42">
        <f t="shared" si="7"/>
        <v>-0.20000000000000012</v>
      </c>
      <c r="V16" s="43">
        <f t="shared" si="8"/>
        <v>4.0000000000000049E-2</v>
      </c>
      <c r="X16" s="53">
        <v>3.9</v>
      </c>
      <c r="Y16" s="42">
        <v>4.2</v>
      </c>
      <c r="Z16" s="38">
        <f t="shared" si="9"/>
        <v>-0.28790786948177383</v>
      </c>
      <c r="AA16" s="38">
        <f t="shared" si="10"/>
        <v>-0.19120267427883325</v>
      </c>
      <c r="AB16" s="43">
        <f t="shared" si="11"/>
        <v>3.6558462651377605E-2</v>
      </c>
      <c r="AD16" s="32" t="s">
        <v>78</v>
      </c>
      <c r="AE16" s="33"/>
      <c r="AF16" s="33"/>
      <c r="AG16" s="43">
        <f>+AG14*12^0.5</f>
        <v>1.1888363796502499</v>
      </c>
    </row>
    <row r="17" spans="3:33" x14ac:dyDescent="0.25">
      <c r="C17" s="32">
        <f t="shared" si="1"/>
        <v>11</v>
      </c>
      <c r="D17" s="42">
        <v>-0.5</v>
      </c>
      <c r="E17" s="33">
        <v>0.4</v>
      </c>
      <c r="F17" s="38">
        <f t="shared" si="2"/>
        <v>0.20000000000000009</v>
      </c>
      <c r="G17" s="43">
        <f t="shared" si="3"/>
        <v>4.0000000000000036E-2</v>
      </c>
      <c r="I17" s="53">
        <f t="shared" si="0"/>
        <v>-0.9</v>
      </c>
      <c r="J17" s="42">
        <f t="shared" si="4"/>
        <v>-1.8000000000000003</v>
      </c>
      <c r="K17" s="43">
        <f t="shared" si="5"/>
        <v>3.2400000000000011</v>
      </c>
      <c r="M17" s="32"/>
      <c r="N17" s="33"/>
      <c r="O17" s="33"/>
      <c r="P17" s="43"/>
      <c r="R17" s="53">
        <v>-0.5</v>
      </c>
      <c r="S17" s="42">
        <v>-0.3</v>
      </c>
      <c r="T17" s="42">
        <f t="shared" si="6"/>
        <v>-0.2</v>
      </c>
      <c r="U17" s="42">
        <f t="shared" si="7"/>
        <v>-9.9999999999999867E-2</v>
      </c>
      <c r="V17" s="43">
        <f t="shared" si="8"/>
        <v>9.9999999999999742E-3</v>
      </c>
      <c r="X17" s="53">
        <v>-0.5</v>
      </c>
      <c r="Y17" s="42">
        <v>-0.3</v>
      </c>
      <c r="Z17" s="38">
        <f t="shared" si="9"/>
        <v>-0.20060180541624506</v>
      </c>
      <c r="AA17" s="38">
        <f t="shared" si="10"/>
        <v>-0.1038966102133045</v>
      </c>
      <c r="AB17" s="43">
        <f t="shared" si="11"/>
        <v>1.079450561381533E-2</v>
      </c>
      <c r="AD17" s="32"/>
      <c r="AE17" s="33"/>
      <c r="AF17" s="33"/>
      <c r="AG17" s="34"/>
    </row>
    <row r="18" spans="3:33" x14ac:dyDescent="0.25">
      <c r="C18" s="32">
        <f t="shared" si="1"/>
        <v>12</v>
      </c>
      <c r="D18" s="42">
        <v>8.1</v>
      </c>
      <c r="E18" s="33">
        <v>0.3</v>
      </c>
      <c r="F18" s="38">
        <f t="shared" si="2"/>
        <v>0.10000000000000006</v>
      </c>
      <c r="G18" s="43">
        <f t="shared" si="3"/>
        <v>1.0000000000000012E-2</v>
      </c>
      <c r="I18" s="53">
        <f t="shared" si="0"/>
        <v>7.8</v>
      </c>
      <c r="J18" s="42">
        <f t="shared" si="4"/>
        <v>6.8999999999999995</v>
      </c>
      <c r="K18" s="43">
        <f t="shared" si="5"/>
        <v>47.609999999999992</v>
      </c>
      <c r="M18" s="32" t="s">
        <v>68</v>
      </c>
      <c r="N18" s="33"/>
      <c r="O18" s="33"/>
      <c r="P18" s="43">
        <f>P8*(1+' Descriptive Statistics'!AP4/6*P8-(' Descriptive Statistics'!AP6-3)/24*P8^2)</f>
        <v>0.91033645574396416</v>
      </c>
      <c r="R18" s="53">
        <v>8.1</v>
      </c>
      <c r="S18" s="42">
        <v>8.3000000000000007</v>
      </c>
      <c r="T18" s="42">
        <f t="shared" si="6"/>
        <v>-0.20000000000000107</v>
      </c>
      <c r="U18" s="42">
        <f t="shared" si="7"/>
        <v>-0.10000000000000092</v>
      </c>
      <c r="V18" s="43">
        <f t="shared" si="8"/>
        <v>1.0000000000000184E-2</v>
      </c>
      <c r="X18" s="53">
        <v>8.1</v>
      </c>
      <c r="Y18" s="42">
        <v>8.3000000000000007</v>
      </c>
      <c r="Z18" s="38">
        <f t="shared" si="9"/>
        <v>-0.18467220683286989</v>
      </c>
      <c r="AA18" s="38">
        <f t="shared" si="10"/>
        <v>-8.7967011629929329E-2</v>
      </c>
      <c r="AB18" s="43">
        <f t="shared" si="11"/>
        <v>7.7381951351001219E-3</v>
      </c>
      <c r="AD18" s="32" t="s">
        <v>81</v>
      </c>
      <c r="AE18" s="33"/>
      <c r="AF18" s="33"/>
      <c r="AG18" s="43">
        <f>((1+' Descriptive Statistics'!M6/100)/(1+' Descriptive Statistics'!Y6/100)-1)*100</f>
        <v>-1.1613205061379084</v>
      </c>
    </row>
    <row r="19" spans="3:33" ht="15.75" thickBot="1" x14ac:dyDescent="0.3">
      <c r="C19" s="32">
        <f t="shared" si="1"/>
        <v>13</v>
      </c>
      <c r="D19" s="42">
        <v>4</v>
      </c>
      <c r="E19" s="33">
        <v>0.3</v>
      </c>
      <c r="F19" s="38">
        <f t="shared" si="2"/>
        <v>0.10000000000000006</v>
      </c>
      <c r="G19" s="43">
        <f t="shared" si="3"/>
        <v>1.0000000000000012E-2</v>
      </c>
      <c r="I19" s="53">
        <f t="shared" si="0"/>
        <v>3.7</v>
      </c>
      <c r="J19" s="42">
        <f t="shared" si="4"/>
        <v>2.8</v>
      </c>
      <c r="K19" s="43">
        <f t="shared" si="5"/>
        <v>7.839999999999999</v>
      </c>
      <c r="M19" s="35"/>
      <c r="N19" s="36"/>
      <c r="O19" s="36"/>
      <c r="P19" s="37"/>
      <c r="R19" s="53">
        <v>4</v>
      </c>
      <c r="S19" s="42">
        <v>3.9</v>
      </c>
      <c r="T19" s="42">
        <f t="shared" si="6"/>
        <v>0.10000000000000009</v>
      </c>
      <c r="U19" s="42">
        <f t="shared" si="7"/>
        <v>0.20000000000000023</v>
      </c>
      <c r="V19" s="43">
        <f t="shared" si="8"/>
        <v>4.0000000000000091E-2</v>
      </c>
      <c r="X19" s="53">
        <v>4</v>
      </c>
      <c r="Y19" s="42">
        <v>3.9</v>
      </c>
      <c r="Z19" s="38">
        <f t="shared" si="9"/>
        <v>9.6246390760357237E-2</v>
      </c>
      <c r="AA19" s="38">
        <f t="shared" si="10"/>
        <v>0.19295158596329781</v>
      </c>
      <c r="AB19" s="43">
        <f t="shared" si="11"/>
        <v>3.7230314525751908E-2</v>
      </c>
      <c r="AD19" s="32"/>
      <c r="AE19" s="33"/>
      <c r="AF19" s="33"/>
      <c r="AG19" s="34"/>
    </row>
    <row r="20" spans="3:33" x14ac:dyDescent="0.25">
      <c r="C20" s="32">
        <f t="shared" si="1"/>
        <v>14</v>
      </c>
      <c r="D20" s="42">
        <v>-3.7</v>
      </c>
      <c r="E20" s="33">
        <v>0.3</v>
      </c>
      <c r="F20" s="38">
        <f t="shared" si="2"/>
        <v>0.10000000000000006</v>
      </c>
      <c r="G20" s="43">
        <f t="shared" si="3"/>
        <v>1.0000000000000012E-2</v>
      </c>
      <c r="I20" s="53">
        <f t="shared" si="0"/>
        <v>-4</v>
      </c>
      <c r="J20" s="42">
        <f t="shared" si="4"/>
        <v>-4.9000000000000004</v>
      </c>
      <c r="K20" s="43">
        <f t="shared" si="5"/>
        <v>24.010000000000005</v>
      </c>
      <c r="R20" s="53">
        <v>-3.7</v>
      </c>
      <c r="S20" s="42">
        <v>-3.8</v>
      </c>
      <c r="T20" s="42">
        <f t="shared" si="6"/>
        <v>9.9999999999999645E-2</v>
      </c>
      <c r="U20" s="42">
        <f t="shared" si="7"/>
        <v>0.19999999999999979</v>
      </c>
      <c r="V20" s="43">
        <f t="shared" si="8"/>
        <v>3.9999999999999918E-2</v>
      </c>
      <c r="X20" s="53">
        <v>-3.7</v>
      </c>
      <c r="Y20" s="42">
        <v>-3.8</v>
      </c>
      <c r="Z20" s="38">
        <f t="shared" si="9"/>
        <v>0.10395010395010118</v>
      </c>
      <c r="AA20" s="38">
        <f t="shared" si="10"/>
        <v>0.20065529915304176</v>
      </c>
      <c r="AB20" s="43">
        <f t="shared" si="11"/>
        <v>4.026254907819668E-2</v>
      </c>
      <c r="AD20" s="32" t="s">
        <v>82</v>
      </c>
      <c r="AE20" s="33"/>
      <c r="AF20" s="33"/>
      <c r="AG20" s="43">
        <f>+AG18/AG16</f>
        <v>-0.97685478507947698</v>
      </c>
    </row>
    <row r="21" spans="3:33" ht="15.75" thickBot="1" x14ac:dyDescent="0.3">
      <c r="C21" s="32">
        <f t="shared" si="1"/>
        <v>15</v>
      </c>
      <c r="D21" s="42">
        <v>-6.1</v>
      </c>
      <c r="E21" s="33">
        <v>0.3</v>
      </c>
      <c r="F21" s="38">
        <f t="shared" si="2"/>
        <v>0.10000000000000006</v>
      </c>
      <c r="G21" s="43">
        <f t="shared" si="3"/>
        <v>1.0000000000000012E-2</v>
      </c>
      <c r="I21" s="53">
        <f t="shared" si="0"/>
        <v>-6.3999999999999995</v>
      </c>
      <c r="J21" s="42">
        <f t="shared" si="4"/>
        <v>-7.3</v>
      </c>
      <c r="K21" s="43">
        <f t="shared" si="5"/>
        <v>53.29</v>
      </c>
      <c r="R21" s="53">
        <v>-6.1</v>
      </c>
      <c r="S21" s="42">
        <v>-6.2</v>
      </c>
      <c r="T21" s="42">
        <f t="shared" si="6"/>
        <v>0.10000000000000053</v>
      </c>
      <c r="U21" s="42">
        <f t="shared" si="7"/>
        <v>0.20000000000000068</v>
      </c>
      <c r="V21" s="43">
        <f t="shared" si="8"/>
        <v>4.0000000000000271E-2</v>
      </c>
      <c r="X21" s="53">
        <v>-6.1</v>
      </c>
      <c r="Y21" s="42">
        <v>-6.2</v>
      </c>
      <c r="Z21" s="38">
        <f t="shared" si="9"/>
        <v>0.10660980810235365</v>
      </c>
      <c r="AA21" s="38">
        <f t="shared" si="10"/>
        <v>0.20331500330529423</v>
      </c>
      <c r="AB21" s="43">
        <f t="shared" si="11"/>
        <v>4.1336990569031805E-2</v>
      </c>
      <c r="AD21" s="10"/>
      <c r="AE21" s="11"/>
      <c r="AF21" s="11"/>
      <c r="AG21" s="12"/>
    </row>
    <row r="22" spans="3:33" x14ac:dyDescent="0.25">
      <c r="C22" s="32">
        <f t="shared" si="1"/>
        <v>16</v>
      </c>
      <c r="D22" s="42">
        <v>1.4</v>
      </c>
      <c r="E22" s="33">
        <v>0.4</v>
      </c>
      <c r="F22" s="38">
        <f t="shared" si="2"/>
        <v>0.20000000000000009</v>
      </c>
      <c r="G22" s="43">
        <f t="shared" si="3"/>
        <v>4.0000000000000036E-2</v>
      </c>
      <c r="I22" s="53">
        <f t="shared" si="0"/>
        <v>0.99999999999999989</v>
      </c>
      <c r="J22" s="42">
        <f t="shared" si="4"/>
        <v>9.9999999999999756E-2</v>
      </c>
      <c r="K22" s="43">
        <f t="shared" si="5"/>
        <v>9.9999999999999516E-3</v>
      </c>
      <c r="M22" s="18" t="s">
        <v>420</v>
      </c>
      <c r="N22" s="19"/>
      <c r="O22" s="19"/>
      <c r="P22" s="20"/>
      <c r="R22" s="53">
        <v>1.4</v>
      </c>
      <c r="S22" s="42">
        <v>1.5</v>
      </c>
      <c r="T22" s="42">
        <f t="shared" si="6"/>
        <v>-0.10000000000000009</v>
      </c>
      <c r="U22" s="42">
        <f t="shared" si="7"/>
        <v>0</v>
      </c>
      <c r="V22" s="43">
        <f t="shared" si="8"/>
        <v>0</v>
      </c>
      <c r="X22" s="53">
        <v>1.4</v>
      </c>
      <c r="Y22" s="42">
        <v>1.5</v>
      </c>
      <c r="Z22" s="38">
        <f t="shared" si="9"/>
        <v>-9.8522167487669066E-2</v>
      </c>
      <c r="AA22" s="38">
        <f t="shared" si="10"/>
        <v>-1.8169722847285047E-3</v>
      </c>
      <c r="AB22" s="43">
        <f t="shared" si="11"/>
        <v>3.3013882834715223E-6</v>
      </c>
    </row>
    <row r="23" spans="3:33" ht="15.75" thickBot="1" x14ac:dyDescent="0.3">
      <c r="C23" s="32">
        <f t="shared" si="1"/>
        <v>17</v>
      </c>
      <c r="D23" s="42">
        <v>-4.9000000000000004</v>
      </c>
      <c r="E23" s="33">
        <v>0.2</v>
      </c>
      <c r="F23" s="38">
        <f t="shared" si="2"/>
        <v>8.3266726846886741E-17</v>
      </c>
      <c r="G23" s="43">
        <f t="shared" si="3"/>
        <v>6.9333477997940491E-33</v>
      </c>
      <c r="I23" s="53">
        <f t="shared" si="0"/>
        <v>-5.1000000000000005</v>
      </c>
      <c r="J23" s="42">
        <f t="shared" si="4"/>
        <v>-6.0000000000000009</v>
      </c>
      <c r="K23" s="43">
        <f t="shared" si="5"/>
        <v>36.000000000000014</v>
      </c>
      <c r="M23" s="15"/>
      <c r="N23" s="16"/>
      <c r="O23" s="16"/>
      <c r="P23" s="21"/>
      <c r="R23" s="53">
        <v>-4.9000000000000004</v>
      </c>
      <c r="S23" s="42">
        <v>-4.8</v>
      </c>
      <c r="T23" s="42">
        <f t="shared" si="6"/>
        <v>-0.10000000000000053</v>
      </c>
      <c r="U23" s="42">
        <f t="shared" si="7"/>
        <v>-3.8857805861880479E-16</v>
      </c>
      <c r="V23" s="43">
        <f t="shared" si="8"/>
        <v>1.5099290763995929E-31</v>
      </c>
      <c r="X23" s="53">
        <v>-4.9000000000000004</v>
      </c>
      <c r="Y23" s="42">
        <v>-4.8</v>
      </c>
      <c r="Z23" s="38">
        <f t="shared" si="9"/>
        <v>-0.10504201680672232</v>
      </c>
      <c r="AA23" s="38">
        <f t="shared" si="10"/>
        <v>-8.336821603781755E-3</v>
      </c>
      <c r="AB23" s="43">
        <f t="shared" si="11"/>
        <v>6.9502594453282199E-5</v>
      </c>
    </row>
    <row r="24" spans="3:33" x14ac:dyDescent="0.25">
      <c r="C24" s="32">
        <f t="shared" si="1"/>
        <v>18</v>
      </c>
      <c r="D24" s="42">
        <v>-2.1</v>
      </c>
      <c r="E24" s="33">
        <v>0.2</v>
      </c>
      <c r="F24" s="38">
        <f t="shared" si="2"/>
        <v>8.3266726846886741E-17</v>
      </c>
      <c r="G24" s="43">
        <f t="shared" si="3"/>
        <v>6.9333477997940491E-33</v>
      </c>
      <c r="I24" s="53">
        <f t="shared" si="0"/>
        <v>-2.3000000000000003</v>
      </c>
      <c r="J24" s="42">
        <f t="shared" si="4"/>
        <v>-3.2</v>
      </c>
      <c r="K24" s="43">
        <f t="shared" si="5"/>
        <v>10.240000000000002</v>
      </c>
      <c r="M24" s="32" t="s">
        <v>72</v>
      </c>
      <c r="N24" s="33"/>
      <c r="O24" s="33"/>
      <c r="P24" s="77">
        <f>+(K44/C42)^0.5</f>
        <v>3.3150330985443333</v>
      </c>
      <c r="R24" s="53">
        <v>-2.1</v>
      </c>
      <c r="S24" s="42">
        <v>-2</v>
      </c>
      <c r="T24" s="42">
        <f t="shared" si="6"/>
        <v>-0.10000000000000009</v>
      </c>
      <c r="U24" s="42">
        <f t="shared" si="7"/>
        <v>0</v>
      </c>
      <c r="V24" s="43">
        <f t="shared" si="8"/>
        <v>0</v>
      </c>
      <c r="X24" s="53">
        <v>-2.1</v>
      </c>
      <c r="Y24" s="42">
        <v>-2</v>
      </c>
      <c r="Z24" s="38">
        <f t="shared" si="9"/>
        <v>-0.10204081632653184</v>
      </c>
      <c r="AA24" s="38">
        <f t="shared" si="10"/>
        <v>-5.3356211235912748E-3</v>
      </c>
      <c r="AB24" s="43">
        <f t="shared" si="11"/>
        <v>2.8468852774513418E-5</v>
      </c>
      <c r="AG24" s="1" t="s">
        <v>0</v>
      </c>
    </row>
    <row r="25" spans="3:33" x14ac:dyDescent="0.25">
      <c r="C25" s="32">
        <f t="shared" si="1"/>
        <v>19</v>
      </c>
      <c r="D25" s="42">
        <v>6.2</v>
      </c>
      <c r="E25" s="33">
        <v>0.2</v>
      </c>
      <c r="F25" s="38">
        <f t="shared" si="2"/>
        <v>8.3266726846886741E-17</v>
      </c>
      <c r="G25" s="43">
        <f t="shared" si="3"/>
        <v>6.9333477997940491E-33</v>
      </c>
      <c r="I25" s="53">
        <f t="shared" si="0"/>
        <v>6</v>
      </c>
      <c r="J25" s="42">
        <f t="shared" si="4"/>
        <v>5.0999999999999996</v>
      </c>
      <c r="K25" s="43">
        <f t="shared" si="5"/>
        <v>26.009999999999998</v>
      </c>
      <c r="M25" s="32"/>
      <c r="N25" s="33"/>
      <c r="O25" s="33"/>
      <c r="P25" s="34"/>
      <c r="R25" s="53">
        <v>6.2</v>
      </c>
      <c r="S25" s="42">
        <v>6.0000000000000053</v>
      </c>
      <c r="T25" s="42">
        <f t="shared" si="6"/>
        <v>0.19999999999999485</v>
      </c>
      <c r="U25" s="42">
        <f t="shared" si="7"/>
        <v>0.29999999999999499</v>
      </c>
      <c r="V25" s="43">
        <f t="shared" si="8"/>
        <v>8.9999999999996999E-2</v>
      </c>
      <c r="X25" s="53">
        <v>6.2</v>
      </c>
      <c r="Y25" s="42">
        <v>6.0000000000000053</v>
      </c>
      <c r="Z25" s="38">
        <f t="shared" si="9"/>
        <v>0.18867924528302993</v>
      </c>
      <c r="AA25" s="38">
        <f t="shared" si="10"/>
        <v>0.2853844404859705</v>
      </c>
      <c r="AB25" s="43">
        <f t="shared" si="11"/>
        <v>8.1444278871490444E-2</v>
      </c>
    </row>
    <row r="26" spans="3:33" x14ac:dyDescent="0.25">
      <c r="C26" s="32">
        <f t="shared" si="1"/>
        <v>20</v>
      </c>
      <c r="D26" s="42">
        <v>5.8</v>
      </c>
      <c r="E26" s="33">
        <v>0.1</v>
      </c>
      <c r="F26" s="38">
        <f t="shared" si="2"/>
        <v>9.9999999999999922E-2</v>
      </c>
      <c r="G26" s="43">
        <f t="shared" si="3"/>
        <v>9.9999999999999846E-3</v>
      </c>
      <c r="I26" s="53">
        <f t="shared" si="0"/>
        <v>5.7</v>
      </c>
      <c r="J26" s="42">
        <f t="shared" si="4"/>
        <v>4.8</v>
      </c>
      <c r="K26" s="43">
        <f t="shared" si="5"/>
        <v>23.04</v>
      </c>
      <c r="M26" s="32" t="s">
        <v>73</v>
      </c>
      <c r="N26" s="33"/>
      <c r="O26" s="33"/>
      <c r="P26" s="43">
        <f>+P24*12^0.5</f>
        <v>11.48361151090254</v>
      </c>
      <c r="R26" s="53">
        <v>5.8</v>
      </c>
      <c r="S26" s="42">
        <v>5.6</v>
      </c>
      <c r="T26" s="42">
        <f t="shared" si="6"/>
        <v>0.20000000000000018</v>
      </c>
      <c r="U26" s="42">
        <f t="shared" si="7"/>
        <v>0.30000000000000032</v>
      </c>
      <c r="V26" s="43">
        <f t="shared" si="8"/>
        <v>9.0000000000000191E-2</v>
      </c>
      <c r="X26" s="53">
        <v>5.8</v>
      </c>
      <c r="Y26" s="42">
        <v>5.6</v>
      </c>
      <c r="Z26" s="38">
        <f t="shared" si="9"/>
        <v>0.18939393939394478</v>
      </c>
      <c r="AA26" s="38">
        <f t="shared" si="10"/>
        <v>0.28609913459688535</v>
      </c>
      <c r="AB26" s="43">
        <f t="shared" si="11"/>
        <v>8.1852714817086725E-2</v>
      </c>
    </row>
    <row r="27" spans="3:33" x14ac:dyDescent="0.25">
      <c r="C27" s="32">
        <f t="shared" si="1"/>
        <v>21</v>
      </c>
      <c r="D27" s="42">
        <v>-6.4</v>
      </c>
      <c r="E27" s="33">
        <v>0.1</v>
      </c>
      <c r="F27" s="38">
        <f t="shared" si="2"/>
        <v>9.9999999999999922E-2</v>
      </c>
      <c r="G27" s="43">
        <f t="shared" si="3"/>
        <v>9.9999999999999846E-3</v>
      </c>
      <c r="I27" s="53">
        <f t="shared" si="0"/>
        <v>-6.5</v>
      </c>
      <c r="J27" s="42">
        <f t="shared" si="4"/>
        <v>-7.4</v>
      </c>
      <c r="K27" s="43">
        <f t="shared" si="5"/>
        <v>54.760000000000005</v>
      </c>
      <c r="M27" s="84"/>
      <c r="N27" s="13"/>
      <c r="O27" s="13"/>
      <c r="P27" s="14"/>
      <c r="R27" s="53">
        <v>-6.4</v>
      </c>
      <c r="S27" s="42">
        <v>-6.7</v>
      </c>
      <c r="T27" s="42">
        <f t="shared" si="6"/>
        <v>0.29999999999999982</v>
      </c>
      <c r="U27" s="42">
        <f t="shared" si="7"/>
        <v>0.39999999999999997</v>
      </c>
      <c r="V27" s="43">
        <f t="shared" si="8"/>
        <v>0.15999999999999998</v>
      </c>
      <c r="X27" s="53">
        <v>-6.4</v>
      </c>
      <c r="Y27" s="42">
        <v>-6.7</v>
      </c>
      <c r="Z27" s="38">
        <f t="shared" si="9"/>
        <v>0.3215434083601254</v>
      </c>
      <c r="AA27" s="38">
        <f t="shared" si="10"/>
        <v>0.41824860356306598</v>
      </c>
      <c r="AB27" s="43">
        <f t="shared" si="11"/>
        <v>0.17493189438245474</v>
      </c>
    </row>
    <row r="28" spans="3:33" x14ac:dyDescent="0.25">
      <c r="C28" s="32">
        <f t="shared" si="1"/>
        <v>22</v>
      </c>
      <c r="D28" s="42">
        <v>1.7</v>
      </c>
      <c r="E28" s="33">
        <v>0.1</v>
      </c>
      <c r="F28" s="38">
        <f t="shared" si="2"/>
        <v>9.9999999999999922E-2</v>
      </c>
      <c r="G28" s="43">
        <f t="shared" si="3"/>
        <v>9.9999999999999846E-3</v>
      </c>
      <c r="I28" s="53">
        <f t="shared" si="0"/>
        <v>1.5999999999999999</v>
      </c>
      <c r="J28" s="42">
        <f t="shared" si="4"/>
        <v>0.69999999999999973</v>
      </c>
      <c r="K28" s="43">
        <f t="shared" si="5"/>
        <v>0.4899999999999996</v>
      </c>
      <c r="M28" s="32" t="s">
        <v>74</v>
      </c>
      <c r="N28" s="33"/>
      <c r="O28" s="33"/>
      <c r="P28" s="43">
        <f>(' Descriptive Statistics'!M6-P6)/P26</f>
        <v>0.94563921294860598</v>
      </c>
      <c r="R28" s="53">
        <v>1.7</v>
      </c>
      <c r="S28" s="42">
        <v>1.9</v>
      </c>
      <c r="T28" s="42">
        <f t="shared" si="6"/>
        <v>-0.19999999999999996</v>
      </c>
      <c r="U28" s="42">
        <f t="shared" si="7"/>
        <v>-9.9999999999999811E-2</v>
      </c>
      <c r="V28" s="43">
        <f t="shared" si="8"/>
        <v>9.999999999999962E-3</v>
      </c>
      <c r="X28" s="53">
        <v>1.7</v>
      </c>
      <c r="Y28" s="42">
        <v>1.9</v>
      </c>
      <c r="Z28" s="38">
        <f t="shared" si="9"/>
        <v>-0.19627085377821318</v>
      </c>
      <c r="AA28" s="38">
        <f t="shared" si="10"/>
        <v>-9.9565658575272623E-2</v>
      </c>
      <c r="AB28" s="43">
        <f t="shared" si="11"/>
        <v>9.913320367527758E-3</v>
      </c>
    </row>
    <row r="29" spans="3:33" ht="15.75" thickBot="1" x14ac:dyDescent="0.3">
      <c r="C29" s="32">
        <f t="shared" si="1"/>
        <v>23</v>
      </c>
      <c r="D29" s="42">
        <v>-0.4</v>
      </c>
      <c r="E29" s="33">
        <v>0.1</v>
      </c>
      <c r="F29" s="38">
        <f t="shared" si="2"/>
        <v>9.9999999999999922E-2</v>
      </c>
      <c r="G29" s="43">
        <f t="shared" si="3"/>
        <v>9.9999999999999846E-3</v>
      </c>
      <c r="I29" s="53">
        <f t="shared" si="0"/>
        <v>-0.5</v>
      </c>
      <c r="J29" s="42">
        <f t="shared" si="4"/>
        <v>-1.4000000000000001</v>
      </c>
      <c r="K29" s="43">
        <f t="shared" si="5"/>
        <v>1.9600000000000004</v>
      </c>
      <c r="M29" s="35" t="s">
        <v>0</v>
      </c>
      <c r="N29" s="36"/>
      <c r="O29" s="36"/>
      <c r="P29" s="76" t="s">
        <v>0</v>
      </c>
      <c r="R29" s="53">
        <v>-0.4</v>
      </c>
      <c r="S29" s="42">
        <v>-0.3</v>
      </c>
      <c r="T29" s="42">
        <f t="shared" si="6"/>
        <v>-0.10000000000000003</v>
      </c>
      <c r="U29" s="42">
        <f t="shared" si="7"/>
        <v>1.1102230246251565E-16</v>
      </c>
      <c r="V29" s="43">
        <f t="shared" si="8"/>
        <v>1.2325951644078309E-32</v>
      </c>
      <c r="X29" s="53">
        <v>-0.4</v>
      </c>
      <c r="Y29" s="42">
        <v>-0.3</v>
      </c>
      <c r="Z29" s="38">
        <f t="shared" si="9"/>
        <v>-0.10030090270812808</v>
      </c>
      <c r="AA29" s="38">
        <f t="shared" si="10"/>
        <v>-3.5957075051875204E-3</v>
      </c>
      <c r="AB29" s="43">
        <f t="shared" si="11"/>
        <v>1.2929112462861861E-5</v>
      </c>
    </row>
    <row r="30" spans="3:33" x14ac:dyDescent="0.25">
      <c r="C30" s="32">
        <f t="shared" si="1"/>
        <v>24</v>
      </c>
      <c r="D30" s="42">
        <v>-0.2</v>
      </c>
      <c r="E30" s="33">
        <v>0.1</v>
      </c>
      <c r="F30" s="38">
        <f t="shared" si="2"/>
        <v>9.9999999999999922E-2</v>
      </c>
      <c r="G30" s="43">
        <f t="shared" si="3"/>
        <v>9.9999999999999846E-3</v>
      </c>
      <c r="I30" s="53">
        <f t="shared" si="0"/>
        <v>-0.30000000000000004</v>
      </c>
      <c r="J30" s="42">
        <f t="shared" si="4"/>
        <v>-1.2000000000000002</v>
      </c>
      <c r="K30" s="43">
        <f t="shared" si="5"/>
        <v>1.4400000000000004</v>
      </c>
      <c r="R30" s="53">
        <v>-0.2</v>
      </c>
      <c r="S30" s="42">
        <v>-0.1</v>
      </c>
      <c r="T30" s="42">
        <f t="shared" si="6"/>
        <v>-0.1</v>
      </c>
      <c r="U30" s="42">
        <f t="shared" si="7"/>
        <v>1.3877787807814457E-16</v>
      </c>
      <c r="V30" s="43">
        <f t="shared" si="8"/>
        <v>1.9259299443872359E-32</v>
      </c>
      <c r="X30" s="53">
        <v>-0.2</v>
      </c>
      <c r="Y30" s="42">
        <v>-0.1</v>
      </c>
      <c r="Z30" s="38">
        <f t="shared" si="9"/>
        <v>-0.10010010010009784</v>
      </c>
      <c r="AA30" s="38">
        <f t="shared" si="10"/>
        <v>-3.3949048971572832E-3</v>
      </c>
      <c r="AB30" s="43">
        <f t="shared" si="11"/>
        <v>1.1525379260742504E-5</v>
      </c>
    </row>
    <row r="31" spans="3:33" x14ac:dyDescent="0.25">
      <c r="C31" s="32">
        <f t="shared" si="1"/>
        <v>25</v>
      </c>
      <c r="D31" s="42">
        <v>-2.1</v>
      </c>
      <c r="E31" s="33">
        <v>0.1</v>
      </c>
      <c r="F31" s="38">
        <f t="shared" si="2"/>
        <v>9.9999999999999922E-2</v>
      </c>
      <c r="G31" s="43">
        <f t="shared" si="3"/>
        <v>9.9999999999999846E-3</v>
      </c>
      <c r="I31" s="53">
        <f t="shared" si="0"/>
        <v>-2.2000000000000002</v>
      </c>
      <c r="J31" s="42">
        <f t="shared" si="4"/>
        <v>-3.1000000000000005</v>
      </c>
      <c r="K31" s="43">
        <f t="shared" si="5"/>
        <v>9.610000000000003</v>
      </c>
      <c r="R31" s="53">
        <v>-2.1</v>
      </c>
      <c r="S31" s="42">
        <v>-2.6</v>
      </c>
      <c r="T31" s="42">
        <f t="shared" si="6"/>
        <v>0.5</v>
      </c>
      <c r="U31" s="42">
        <f t="shared" si="7"/>
        <v>0.60000000000000009</v>
      </c>
      <c r="V31" s="43">
        <f t="shared" si="8"/>
        <v>0.3600000000000001</v>
      </c>
      <c r="X31" s="53">
        <v>-2.1</v>
      </c>
      <c r="Y31" s="42">
        <v>-2.6</v>
      </c>
      <c r="Z31" s="38">
        <f t="shared" si="9"/>
        <v>0.51334702258727383</v>
      </c>
      <c r="AA31" s="38">
        <f t="shared" si="10"/>
        <v>0.61005221779021435</v>
      </c>
      <c r="AB31" s="43">
        <f t="shared" si="11"/>
        <v>0.37216370843075913</v>
      </c>
    </row>
    <row r="32" spans="3:33" x14ac:dyDescent="0.25">
      <c r="C32" s="32">
        <f t="shared" si="1"/>
        <v>26</v>
      </c>
      <c r="D32" s="42">
        <v>1.1000000000000001</v>
      </c>
      <c r="E32" s="33">
        <v>0.1</v>
      </c>
      <c r="F32" s="38">
        <f t="shared" si="2"/>
        <v>9.9999999999999922E-2</v>
      </c>
      <c r="G32" s="43">
        <f t="shared" si="3"/>
        <v>9.9999999999999846E-3</v>
      </c>
      <c r="I32" s="53">
        <f t="shared" si="0"/>
        <v>1</v>
      </c>
      <c r="J32" s="42">
        <f t="shared" si="4"/>
        <v>9.9999999999999867E-2</v>
      </c>
      <c r="K32" s="43">
        <f t="shared" si="5"/>
        <v>9.9999999999999742E-3</v>
      </c>
      <c r="R32" s="53">
        <v>1.1000000000000001</v>
      </c>
      <c r="S32" s="42">
        <v>0.7</v>
      </c>
      <c r="T32" s="42">
        <f t="shared" si="6"/>
        <v>0.40000000000000013</v>
      </c>
      <c r="U32" s="42">
        <f t="shared" si="7"/>
        <v>0.50000000000000022</v>
      </c>
      <c r="V32" s="43">
        <f t="shared" si="8"/>
        <v>0.25000000000000022</v>
      </c>
      <c r="X32" s="53">
        <v>1.1000000000000001</v>
      </c>
      <c r="Y32" s="42">
        <v>0.7</v>
      </c>
      <c r="Z32" s="38">
        <f t="shared" si="9"/>
        <v>0.39721946375372852</v>
      </c>
      <c r="AA32" s="38">
        <f t="shared" si="10"/>
        <v>0.49392465895666909</v>
      </c>
      <c r="AB32" s="43">
        <f t="shared" si="11"/>
        <v>0.24396156872546187</v>
      </c>
    </row>
    <row r="33" spans="3:28" x14ac:dyDescent="0.25">
      <c r="C33" s="32">
        <f t="shared" si="1"/>
        <v>27</v>
      </c>
      <c r="D33" s="42">
        <v>4.7</v>
      </c>
      <c r="E33" s="33">
        <v>0.1</v>
      </c>
      <c r="F33" s="38">
        <f t="shared" si="2"/>
        <v>9.9999999999999922E-2</v>
      </c>
      <c r="G33" s="43">
        <f t="shared" si="3"/>
        <v>9.9999999999999846E-3</v>
      </c>
      <c r="I33" s="53">
        <f t="shared" si="0"/>
        <v>4.6000000000000005</v>
      </c>
      <c r="J33" s="42">
        <f t="shared" si="4"/>
        <v>3.7</v>
      </c>
      <c r="K33" s="43">
        <f t="shared" si="5"/>
        <v>13.690000000000001</v>
      </c>
      <c r="R33" s="53">
        <v>4.7</v>
      </c>
      <c r="S33" s="42">
        <v>4.3</v>
      </c>
      <c r="T33" s="42">
        <f t="shared" si="6"/>
        <v>0.40000000000000036</v>
      </c>
      <c r="U33" s="42">
        <f t="shared" si="7"/>
        <v>0.50000000000000044</v>
      </c>
      <c r="V33" s="43">
        <f t="shared" si="8"/>
        <v>0.25000000000000044</v>
      </c>
      <c r="X33" s="53">
        <v>4.7</v>
      </c>
      <c r="Y33" s="42">
        <v>4.3</v>
      </c>
      <c r="Z33" s="38">
        <f t="shared" si="9"/>
        <v>0.3835091083413289</v>
      </c>
      <c r="AA33" s="38">
        <f t="shared" si="10"/>
        <v>0.48021430354426947</v>
      </c>
      <c r="AB33" s="43">
        <f t="shared" si="11"/>
        <v>0.23060577732850779</v>
      </c>
    </row>
    <row r="34" spans="3:28" x14ac:dyDescent="0.25">
      <c r="C34" s="32">
        <f t="shared" si="1"/>
        <v>28</v>
      </c>
      <c r="D34" s="42">
        <v>2.4</v>
      </c>
      <c r="E34" s="33">
        <v>0.1</v>
      </c>
      <c r="F34" s="38">
        <f t="shared" si="2"/>
        <v>9.9999999999999922E-2</v>
      </c>
      <c r="G34" s="43">
        <f t="shared" si="3"/>
        <v>9.9999999999999846E-3</v>
      </c>
      <c r="I34" s="53">
        <f t="shared" si="0"/>
        <v>2.2999999999999998</v>
      </c>
      <c r="J34" s="42">
        <f t="shared" si="4"/>
        <v>1.3999999999999997</v>
      </c>
      <c r="K34" s="43">
        <f t="shared" si="5"/>
        <v>1.9599999999999991</v>
      </c>
      <c r="R34" s="53">
        <v>2.4</v>
      </c>
      <c r="S34" s="42">
        <v>2.9</v>
      </c>
      <c r="T34" s="42">
        <f t="shared" si="6"/>
        <v>-0.5</v>
      </c>
      <c r="U34" s="42">
        <f t="shared" si="7"/>
        <v>-0.39999999999999986</v>
      </c>
      <c r="V34" s="43">
        <f t="shared" si="8"/>
        <v>0.15999999999999989</v>
      </c>
      <c r="X34" s="53">
        <v>2.4</v>
      </c>
      <c r="Y34" s="42">
        <v>2.9</v>
      </c>
      <c r="Z34" s="38">
        <f t="shared" si="9"/>
        <v>-0.48590864917394949</v>
      </c>
      <c r="AA34" s="38">
        <f t="shared" si="10"/>
        <v>-0.38920345397100892</v>
      </c>
      <c r="AB34" s="43">
        <f t="shared" si="11"/>
        <v>0.15147932858296326</v>
      </c>
    </row>
    <row r="35" spans="3:28" x14ac:dyDescent="0.25">
      <c r="C35" s="32">
        <f t="shared" si="1"/>
        <v>29</v>
      </c>
      <c r="D35" s="42">
        <v>3.3</v>
      </c>
      <c r="E35" s="33">
        <v>0.1</v>
      </c>
      <c r="F35" s="38">
        <f t="shared" si="2"/>
        <v>9.9999999999999922E-2</v>
      </c>
      <c r="G35" s="43">
        <f t="shared" si="3"/>
        <v>9.9999999999999846E-3</v>
      </c>
      <c r="I35" s="53">
        <f t="shared" si="0"/>
        <v>3.1999999999999997</v>
      </c>
      <c r="J35" s="42">
        <f t="shared" si="4"/>
        <v>2.2999999999999998</v>
      </c>
      <c r="K35" s="43">
        <f t="shared" si="5"/>
        <v>5.2899999999999991</v>
      </c>
      <c r="R35" s="53">
        <v>3.3</v>
      </c>
      <c r="S35" s="42">
        <v>3.8</v>
      </c>
      <c r="T35" s="42">
        <f t="shared" si="6"/>
        <v>-0.5</v>
      </c>
      <c r="U35" s="42">
        <f t="shared" si="7"/>
        <v>-0.39999999999999986</v>
      </c>
      <c r="V35" s="43">
        <f t="shared" si="8"/>
        <v>0.15999999999999989</v>
      </c>
      <c r="X35" s="53">
        <v>3.3</v>
      </c>
      <c r="Y35" s="42">
        <v>3.8</v>
      </c>
      <c r="Z35" s="38">
        <f t="shared" si="9"/>
        <v>-0.4816955684007862</v>
      </c>
      <c r="AA35" s="38">
        <f t="shared" si="10"/>
        <v>-0.38499037319784563</v>
      </c>
      <c r="AB35" s="43">
        <f t="shared" si="11"/>
        <v>0.14821758745501645</v>
      </c>
    </row>
    <row r="36" spans="3:28" x14ac:dyDescent="0.25">
      <c r="C36" s="32">
        <f t="shared" si="1"/>
        <v>30</v>
      </c>
      <c r="D36" s="42">
        <v>-0.7</v>
      </c>
      <c r="E36" s="33">
        <v>0.2</v>
      </c>
      <c r="F36" s="38">
        <f t="shared" si="2"/>
        <v>8.3266726846886741E-17</v>
      </c>
      <c r="G36" s="43">
        <f t="shared" si="3"/>
        <v>6.9333477997940491E-33</v>
      </c>
      <c r="I36" s="53">
        <f t="shared" si="0"/>
        <v>-0.89999999999999991</v>
      </c>
      <c r="J36" s="42">
        <f t="shared" si="4"/>
        <v>-1.8</v>
      </c>
      <c r="K36" s="43">
        <f t="shared" si="5"/>
        <v>3.24</v>
      </c>
      <c r="R36" s="53">
        <v>-0.7</v>
      </c>
      <c r="S36" s="42">
        <v>-0.2</v>
      </c>
      <c r="T36" s="42">
        <f t="shared" si="6"/>
        <v>-0.49999999999999994</v>
      </c>
      <c r="U36" s="42">
        <f t="shared" si="7"/>
        <v>-0.3999999999999998</v>
      </c>
      <c r="V36" s="43">
        <f t="shared" si="8"/>
        <v>0.15999999999999984</v>
      </c>
      <c r="X36" s="53">
        <v>-0.7</v>
      </c>
      <c r="Y36" s="42">
        <v>-0.2</v>
      </c>
      <c r="Z36" s="38">
        <f t="shared" si="9"/>
        <v>-0.50100200400801098</v>
      </c>
      <c r="AA36" s="38">
        <f t="shared" si="10"/>
        <v>-0.40429680880507041</v>
      </c>
      <c r="AB36" s="43">
        <f t="shared" si="11"/>
        <v>0.16345590960996365</v>
      </c>
    </row>
    <row r="37" spans="3:28" x14ac:dyDescent="0.25">
      <c r="C37" s="32">
        <f t="shared" si="1"/>
        <v>31</v>
      </c>
      <c r="D37" s="42">
        <v>4.7</v>
      </c>
      <c r="E37" s="33">
        <v>0.2</v>
      </c>
      <c r="F37" s="38">
        <f t="shared" si="2"/>
        <v>8.3266726846886741E-17</v>
      </c>
      <c r="G37" s="43">
        <f t="shared" si="3"/>
        <v>6.9333477997940491E-33</v>
      </c>
      <c r="I37" s="53">
        <f t="shared" si="0"/>
        <v>4.5</v>
      </c>
      <c r="J37" s="42">
        <f t="shared" si="4"/>
        <v>3.5999999999999996</v>
      </c>
      <c r="K37" s="43">
        <f t="shared" si="5"/>
        <v>12.959999999999997</v>
      </c>
      <c r="R37" s="53">
        <v>4.7</v>
      </c>
      <c r="S37" s="42">
        <v>5.0999999999999996</v>
      </c>
      <c r="T37" s="42">
        <f t="shared" si="6"/>
        <v>-0.39999999999999947</v>
      </c>
      <c r="U37" s="42">
        <f t="shared" si="7"/>
        <v>-0.29999999999999932</v>
      </c>
      <c r="V37" s="43">
        <f t="shared" si="8"/>
        <v>8.9999999999999594E-2</v>
      </c>
      <c r="X37" s="53">
        <v>4.7</v>
      </c>
      <c r="Y37" s="42">
        <v>5.0999999999999996</v>
      </c>
      <c r="Z37" s="38">
        <f t="shared" si="9"/>
        <v>-0.38058991436726863</v>
      </c>
      <c r="AA37" s="38">
        <f t="shared" si="10"/>
        <v>-0.28388471916432806</v>
      </c>
      <c r="AB37" s="43">
        <f t="shared" si="11"/>
        <v>8.059053377500941E-2</v>
      </c>
    </row>
    <row r="38" spans="3:28" x14ac:dyDescent="0.25">
      <c r="C38" s="32">
        <f t="shared" si="1"/>
        <v>32</v>
      </c>
      <c r="D38" s="42">
        <v>0.6</v>
      </c>
      <c r="E38" s="33">
        <v>0.2</v>
      </c>
      <c r="F38" s="38">
        <f t="shared" si="2"/>
        <v>8.3266726846886741E-17</v>
      </c>
      <c r="G38" s="43">
        <f t="shared" si="3"/>
        <v>6.9333477997940491E-33</v>
      </c>
      <c r="I38" s="53">
        <f t="shared" si="0"/>
        <v>0.39999999999999997</v>
      </c>
      <c r="J38" s="42">
        <f t="shared" si="4"/>
        <v>-0.50000000000000022</v>
      </c>
      <c r="K38" s="43">
        <f t="shared" si="5"/>
        <v>0.25000000000000022</v>
      </c>
      <c r="R38" s="53">
        <v>0.6</v>
      </c>
      <c r="S38" s="42">
        <v>1.4</v>
      </c>
      <c r="T38" s="42">
        <f t="shared" si="6"/>
        <v>-0.79999999999999993</v>
      </c>
      <c r="U38" s="42">
        <f t="shared" si="7"/>
        <v>-0.69999999999999973</v>
      </c>
      <c r="V38" s="43">
        <f t="shared" si="8"/>
        <v>0.4899999999999996</v>
      </c>
      <c r="X38" s="53">
        <v>0.6</v>
      </c>
      <c r="Y38" s="42">
        <v>1.4</v>
      </c>
      <c r="Z38" s="38">
        <f t="shared" si="9"/>
        <v>-0.78895463510848529</v>
      </c>
      <c r="AA38" s="38">
        <f t="shared" si="10"/>
        <v>-0.69224943990554477</v>
      </c>
      <c r="AB38" s="43">
        <f t="shared" si="11"/>
        <v>0.47920928704954047</v>
      </c>
    </row>
    <row r="39" spans="3:28" x14ac:dyDescent="0.25">
      <c r="C39" s="32">
        <f t="shared" si="1"/>
        <v>33</v>
      </c>
      <c r="D39" s="42">
        <v>1</v>
      </c>
      <c r="E39" s="33">
        <v>0.2</v>
      </c>
      <c r="F39" s="38">
        <f t="shared" si="2"/>
        <v>8.3266726846886741E-17</v>
      </c>
      <c r="G39" s="43">
        <f t="shared" si="3"/>
        <v>6.9333477997940491E-33</v>
      </c>
      <c r="I39" s="53">
        <f t="shared" si="0"/>
        <v>0.8</v>
      </c>
      <c r="J39" s="42">
        <f t="shared" si="4"/>
        <v>-0.10000000000000009</v>
      </c>
      <c r="K39" s="43">
        <f t="shared" si="5"/>
        <v>1.0000000000000018E-2</v>
      </c>
      <c r="R39" s="53">
        <v>1</v>
      </c>
      <c r="S39" s="42">
        <v>1.3</v>
      </c>
      <c r="T39" s="42">
        <f t="shared" si="6"/>
        <v>-0.30000000000000004</v>
      </c>
      <c r="U39" s="42">
        <f t="shared" si="7"/>
        <v>-0.1999999999999999</v>
      </c>
      <c r="V39" s="43">
        <f t="shared" si="8"/>
        <v>3.9999999999999959E-2</v>
      </c>
      <c r="X39" s="53">
        <v>1</v>
      </c>
      <c r="Y39" s="42">
        <v>1.3</v>
      </c>
      <c r="Z39" s="38">
        <f t="shared" si="9"/>
        <v>-0.29615004935833467</v>
      </c>
      <c r="AA39" s="38">
        <f t="shared" si="10"/>
        <v>-0.19944485415539409</v>
      </c>
      <c r="AB39" s="43">
        <f t="shared" si="11"/>
        <v>3.9778249849066423E-2</v>
      </c>
    </row>
    <row r="40" spans="3:28" x14ac:dyDescent="0.25">
      <c r="C40" s="32">
        <f t="shared" si="1"/>
        <v>34</v>
      </c>
      <c r="D40" s="42">
        <v>-0.2</v>
      </c>
      <c r="E40" s="33">
        <v>0.2</v>
      </c>
      <c r="F40" s="38">
        <f t="shared" si="2"/>
        <v>8.3266726846886741E-17</v>
      </c>
      <c r="G40" s="43">
        <f t="shared" si="3"/>
        <v>6.9333477997940491E-33</v>
      </c>
      <c r="I40" s="53">
        <f t="shared" si="0"/>
        <v>-0.4</v>
      </c>
      <c r="J40" s="42">
        <f t="shared" si="4"/>
        <v>-1.3000000000000003</v>
      </c>
      <c r="K40" s="43">
        <f t="shared" si="5"/>
        <v>1.6900000000000006</v>
      </c>
      <c r="R40" s="53">
        <v>-0.2</v>
      </c>
      <c r="S40" s="42">
        <v>0.3</v>
      </c>
      <c r="T40" s="42">
        <f t="shared" si="6"/>
        <v>-0.5</v>
      </c>
      <c r="U40" s="42">
        <f t="shared" si="7"/>
        <v>-0.39999999999999986</v>
      </c>
      <c r="V40" s="43">
        <f t="shared" si="8"/>
        <v>0.15999999999999989</v>
      </c>
      <c r="X40" s="53">
        <v>-0.2</v>
      </c>
      <c r="Y40" s="42">
        <v>0.3</v>
      </c>
      <c r="Z40" s="38">
        <f t="shared" si="9"/>
        <v>-0.49850448654036317</v>
      </c>
      <c r="AA40" s="38">
        <f t="shared" si="10"/>
        <v>-0.40179929133742259</v>
      </c>
      <c r="AB40" s="43">
        <f t="shared" si="11"/>
        <v>0.16144267051925501</v>
      </c>
    </row>
    <row r="41" spans="3:28" x14ac:dyDescent="0.25">
      <c r="C41" s="32">
        <f t="shared" si="1"/>
        <v>35</v>
      </c>
      <c r="D41" s="42">
        <v>3.4</v>
      </c>
      <c r="E41" s="33">
        <v>0.2</v>
      </c>
      <c r="F41" s="38">
        <f t="shared" si="2"/>
        <v>8.3266726846886741E-17</v>
      </c>
      <c r="G41" s="43">
        <f t="shared" si="3"/>
        <v>6.9333477997940491E-33</v>
      </c>
      <c r="I41" s="53">
        <f t="shared" si="0"/>
        <v>3.1999999999999997</v>
      </c>
      <c r="J41" s="42">
        <f t="shared" si="4"/>
        <v>2.2999999999999998</v>
      </c>
      <c r="K41" s="43">
        <f t="shared" si="5"/>
        <v>5.2899999999999991</v>
      </c>
      <c r="R41" s="53">
        <v>3.4</v>
      </c>
      <c r="S41" s="42">
        <v>3.4</v>
      </c>
      <c r="T41" s="42">
        <f t="shared" si="6"/>
        <v>0</v>
      </c>
      <c r="U41" s="42">
        <f t="shared" si="7"/>
        <v>0.10000000000000014</v>
      </c>
      <c r="V41" s="43">
        <f t="shared" si="8"/>
        <v>1.000000000000003E-2</v>
      </c>
      <c r="X41" s="53">
        <v>3.4</v>
      </c>
      <c r="Y41" s="42">
        <v>3.4</v>
      </c>
      <c r="Z41" s="38">
        <f t="shared" si="9"/>
        <v>0</v>
      </c>
      <c r="AA41" s="38">
        <f t="shared" si="10"/>
        <v>9.6705195202940561E-2</v>
      </c>
      <c r="AB41" s="43">
        <f t="shared" si="11"/>
        <v>9.3518947792388379E-3</v>
      </c>
    </row>
    <row r="42" spans="3:28" ht="15.75" thickBot="1" x14ac:dyDescent="0.3">
      <c r="C42" s="32">
        <f t="shared" si="1"/>
        <v>36</v>
      </c>
      <c r="D42" s="42">
        <v>1</v>
      </c>
      <c r="E42" s="33">
        <v>0.2</v>
      </c>
      <c r="F42" s="38">
        <f t="shared" si="2"/>
        <v>8.3266726846886741E-17</v>
      </c>
      <c r="G42" s="43">
        <f t="shared" si="3"/>
        <v>6.9333477997940491E-33</v>
      </c>
      <c r="I42" s="53">
        <f t="shared" si="0"/>
        <v>0.8</v>
      </c>
      <c r="J42" s="42">
        <f t="shared" si="4"/>
        <v>-0.10000000000000009</v>
      </c>
      <c r="K42" s="43">
        <f t="shared" si="5"/>
        <v>1.0000000000000018E-2</v>
      </c>
      <c r="R42" s="53">
        <v>1</v>
      </c>
      <c r="S42" s="42">
        <v>2.1</v>
      </c>
      <c r="T42" s="42">
        <f t="shared" si="6"/>
        <v>-1.1000000000000001</v>
      </c>
      <c r="U42" s="42">
        <f t="shared" si="7"/>
        <v>-1</v>
      </c>
      <c r="V42" s="43">
        <f t="shared" si="8"/>
        <v>1</v>
      </c>
      <c r="X42" s="53">
        <v>1</v>
      </c>
      <c r="Y42" s="42">
        <v>2.1</v>
      </c>
      <c r="Z42" s="38">
        <f t="shared" si="9"/>
        <v>-1.0773751224289807</v>
      </c>
      <c r="AA42" s="38">
        <f t="shared" si="10"/>
        <v>-0.98066992722604018</v>
      </c>
      <c r="AB42" s="43">
        <f t="shared" si="11"/>
        <v>0.96171350616552698</v>
      </c>
    </row>
    <row r="43" spans="3:28" x14ac:dyDescent="0.25">
      <c r="C43" s="7"/>
      <c r="D43" s="8"/>
      <c r="E43" s="8"/>
      <c r="F43" s="8"/>
      <c r="G43" s="9"/>
      <c r="I43" s="29"/>
      <c r="J43" s="30"/>
      <c r="K43" s="31"/>
      <c r="R43" s="29"/>
      <c r="S43" s="30"/>
      <c r="T43" s="30"/>
      <c r="U43" s="30"/>
      <c r="V43" s="31"/>
      <c r="X43" s="18"/>
      <c r="Y43" s="19"/>
      <c r="Z43" s="19"/>
      <c r="AA43" s="19"/>
      <c r="AB43" s="20"/>
    </row>
    <row r="44" spans="3:28" ht="15.75" thickBot="1" x14ac:dyDescent="0.3">
      <c r="C44" s="15" t="s">
        <v>16</v>
      </c>
      <c r="D44" s="46">
        <f>SUM(D7:D42)</f>
        <v>39.6</v>
      </c>
      <c r="E44" s="46">
        <f>SUM(E7:E42)</f>
        <v>7.1999999999999975</v>
      </c>
      <c r="F44" s="46">
        <f>SUM(F7:F42)</f>
        <v>2.4000000000000008</v>
      </c>
      <c r="G44" s="17">
        <f>SUM(G7:G42)</f>
        <v>0.3000000000000001</v>
      </c>
      <c r="I44" s="35"/>
      <c r="J44" s="36"/>
      <c r="K44" s="82">
        <f>SUM(K7:K42)</f>
        <v>395.62</v>
      </c>
      <c r="Q44" t="s">
        <v>0</v>
      </c>
      <c r="R44" s="15" t="s">
        <v>16</v>
      </c>
      <c r="S44" s="36"/>
      <c r="T44" s="46">
        <f>SUM(T7:T42)</f>
        <v>-3.6000000000000054</v>
      </c>
      <c r="U44" s="16"/>
      <c r="V44" s="82">
        <f>SUM(V7:V42)</f>
        <v>4.3599999999999968</v>
      </c>
      <c r="X44" s="15" t="s">
        <v>16</v>
      </c>
      <c r="Y44" s="16"/>
      <c r="Z44" s="46">
        <f>SUM(Z7:Z42)</f>
        <v>-3.48138702730586</v>
      </c>
      <c r="AA44" s="16"/>
      <c r="AB44" s="82">
        <f>SUM(AB7:AB42)</f>
        <v>4.2399958127397399</v>
      </c>
    </row>
    <row r="46" spans="3:28" x14ac:dyDescent="0.25">
      <c r="C46" s="2" t="s">
        <v>7</v>
      </c>
      <c r="D46" s="2"/>
      <c r="E46" s="2">
        <f>+E44/C42</f>
        <v>0.19999999999999993</v>
      </c>
      <c r="F46" s="2"/>
      <c r="G46" s="2"/>
      <c r="H46" s="2"/>
      <c r="I46" s="2" t="s">
        <v>7</v>
      </c>
      <c r="J46" s="2">
        <f>(D44-E44)/C42</f>
        <v>0.90000000000000013</v>
      </c>
      <c r="K46" s="4" t="s">
        <v>0</v>
      </c>
      <c r="R46" s="2" t="s">
        <v>7</v>
      </c>
      <c r="S46" s="2"/>
      <c r="T46" s="5">
        <f>+T44/C42</f>
        <v>-0.10000000000000014</v>
      </c>
      <c r="U46" s="2"/>
      <c r="V46" s="2"/>
      <c r="W46" s="2"/>
      <c r="X46" s="2" t="s">
        <v>7</v>
      </c>
      <c r="Y46" s="2"/>
      <c r="Z46" s="5">
        <f>+Z44/C42</f>
        <v>-9.6705195202940561E-2</v>
      </c>
    </row>
    <row r="48" spans="3:28" x14ac:dyDescent="0.25">
      <c r="K48" s="1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BM51"/>
  <sheetViews>
    <sheetView topLeftCell="A3" workbookViewId="0">
      <selection activeCell="A19" sqref="A19"/>
    </sheetView>
  </sheetViews>
  <sheetFormatPr defaultRowHeight="15" x14ac:dyDescent="0.25"/>
  <cols>
    <col min="3" max="3" width="19" customWidth="1"/>
    <col min="4" max="4" width="9.28515625" bestFit="1" customWidth="1"/>
    <col min="22" max="22" width="10.42578125" customWidth="1"/>
    <col min="24" max="24" width="19.42578125" customWidth="1"/>
    <col min="27" max="27" width="13.28515625" customWidth="1"/>
    <col min="28" max="28" width="15" customWidth="1"/>
    <col min="30" max="30" width="10.85546875" customWidth="1"/>
    <col min="32" max="32" width="10.5703125" bestFit="1" customWidth="1"/>
    <col min="33" max="33" width="10.85546875" customWidth="1"/>
    <col min="40" max="40" width="10.7109375" customWidth="1"/>
    <col min="42" max="42" width="19.7109375" customWidth="1"/>
    <col min="47" max="47" width="12.28515625" customWidth="1"/>
    <col min="49" max="49" width="20.140625" customWidth="1"/>
    <col min="50" max="50" width="9.140625" customWidth="1"/>
    <col min="52" max="52" width="16" customWidth="1"/>
    <col min="56" max="56" width="10.7109375" customWidth="1"/>
  </cols>
  <sheetData>
    <row r="4" spans="2:65" ht="15.75" thickBot="1" x14ac:dyDescent="0.3"/>
    <row r="5" spans="2:65" ht="15.75" thickBot="1" x14ac:dyDescent="0.3">
      <c r="G5" s="18" t="s">
        <v>428</v>
      </c>
      <c r="H5" s="19"/>
      <c r="I5" s="19"/>
      <c r="J5" s="19"/>
      <c r="K5" s="20"/>
      <c r="M5" s="39" t="s">
        <v>429</v>
      </c>
      <c r="N5" s="40"/>
      <c r="O5" s="40"/>
      <c r="P5" s="40"/>
      <c r="Q5" s="41"/>
      <c r="T5" s="39" t="s">
        <v>430</v>
      </c>
      <c r="U5" s="40"/>
      <c r="V5" s="40"/>
      <c r="W5" s="40"/>
      <c r="X5" s="41" t="s">
        <v>0</v>
      </c>
      <c r="AD5" s="39" t="s">
        <v>438</v>
      </c>
      <c r="AE5" s="40"/>
      <c r="AF5" s="40"/>
      <c r="AG5" s="40"/>
      <c r="AH5" s="40"/>
      <c r="AI5" s="41"/>
      <c r="AK5" s="18" t="s">
        <v>436</v>
      </c>
      <c r="AL5" s="8"/>
      <c r="AM5" s="19"/>
      <c r="AN5" s="19"/>
      <c r="AO5" s="19"/>
      <c r="AP5" s="20"/>
      <c r="AR5" s="18" t="s">
        <v>437</v>
      </c>
      <c r="AS5" s="8"/>
      <c r="AT5" s="8"/>
      <c r="AU5" s="8"/>
      <c r="AV5" s="8"/>
      <c r="AW5" s="9"/>
      <c r="AY5" t="s">
        <v>0</v>
      </c>
      <c r="BG5" s="18" t="s">
        <v>443</v>
      </c>
      <c r="BH5" s="19"/>
      <c r="BI5" s="20"/>
    </row>
    <row r="6" spans="2:65" ht="15.75" thickBot="1" x14ac:dyDescent="0.3">
      <c r="G6" s="18" t="s">
        <v>1</v>
      </c>
      <c r="H6" s="19" t="s">
        <v>84</v>
      </c>
      <c r="I6" s="19" t="s">
        <v>71</v>
      </c>
      <c r="J6" s="19" t="s">
        <v>9</v>
      </c>
      <c r="K6" s="20" t="s">
        <v>9</v>
      </c>
      <c r="M6" s="18" t="s">
        <v>15</v>
      </c>
      <c r="N6" s="19" t="s">
        <v>84</v>
      </c>
      <c r="O6" s="19" t="s">
        <v>71</v>
      </c>
      <c r="P6" s="19" t="s">
        <v>9</v>
      </c>
      <c r="Q6" s="20" t="s">
        <v>9</v>
      </c>
      <c r="T6" s="22" t="s">
        <v>1</v>
      </c>
      <c r="U6" s="23" t="s">
        <v>9</v>
      </c>
      <c r="V6" s="23" t="s">
        <v>15</v>
      </c>
      <c r="W6" s="23" t="s">
        <v>9</v>
      </c>
      <c r="X6" s="24" t="s">
        <v>86</v>
      </c>
      <c r="AD6" s="22" t="s">
        <v>15</v>
      </c>
      <c r="AE6" s="23" t="s">
        <v>89</v>
      </c>
      <c r="AF6" s="23" t="s">
        <v>89</v>
      </c>
      <c r="AG6" s="23" t="s">
        <v>15</v>
      </c>
      <c r="AH6" s="23" t="s">
        <v>90</v>
      </c>
      <c r="AI6" s="24" t="s">
        <v>90</v>
      </c>
      <c r="AK6" s="18" t="s">
        <v>11</v>
      </c>
      <c r="AL6" s="19" t="s">
        <v>1</v>
      </c>
      <c r="AM6" s="19" t="s">
        <v>9</v>
      </c>
      <c r="AN6" s="19" t="s">
        <v>15</v>
      </c>
      <c r="AO6" s="19" t="s">
        <v>9</v>
      </c>
      <c r="AP6" s="20" t="s">
        <v>86</v>
      </c>
      <c r="AR6" s="18" t="s">
        <v>11</v>
      </c>
      <c r="AS6" s="19" t="s">
        <v>1</v>
      </c>
      <c r="AT6" s="19" t="s">
        <v>9</v>
      </c>
      <c r="AU6" s="19" t="s">
        <v>15</v>
      </c>
      <c r="AV6" s="19" t="s">
        <v>9</v>
      </c>
      <c r="AW6" s="20" t="s">
        <v>86</v>
      </c>
      <c r="BG6" s="18" t="s">
        <v>1</v>
      </c>
      <c r="BH6" s="19" t="s">
        <v>139</v>
      </c>
      <c r="BI6" s="20" t="s">
        <v>141</v>
      </c>
    </row>
    <row r="7" spans="2:65" ht="17.25" x14ac:dyDescent="0.25">
      <c r="B7" s="18" t="s">
        <v>427</v>
      </c>
      <c r="C7" s="19"/>
      <c r="D7" s="31"/>
      <c r="G7" s="22" t="s">
        <v>49</v>
      </c>
      <c r="H7" s="23" t="s">
        <v>85</v>
      </c>
      <c r="I7" s="23" t="s">
        <v>50</v>
      </c>
      <c r="J7" s="23"/>
      <c r="K7" s="24" t="s">
        <v>18</v>
      </c>
      <c r="M7" s="22" t="s">
        <v>49</v>
      </c>
      <c r="N7" s="23" t="s">
        <v>85</v>
      </c>
      <c r="O7" s="23" t="s">
        <v>50</v>
      </c>
      <c r="P7" s="23"/>
      <c r="Q7" s="24" t="s">
        <v>18</v>
      </c>
      <c r="T7" s="22" t="s">
        <v>71</v>
      </c>
      <c r="U7" s="23"/>
      <c r="V7" s="23" t="s">
        <v>71</v>
      </c>
      <c r="W7" s="23"/>
      <c r="X7" s="59" t="s">
        <v>87</v>
      </c>
      <c r="Z7" s="18" t="s">
        <v>431</v>
      </c>
      <c r="AA7" s="19"/>
      <c r="AB7" s="31"/>
      <c r="AD7" s="22" t="s">
        <v>71</v>
      </c>
      <c r="AE7" s="23" t="s">
        <v>13</v>
      </c>
      <c r="AF7" s="23" t="s">
        <v>13</v>
      </c>
      <c r="AG7" s="23" t="s">
        <v>71</v>
      </c>
      <c r="AH7" s="23" t="s">
        <v>13</v>
      </c>
      <c r="AI7" s="24" t="s">
        <v>13</v>
      </c>
      <c r="AK7" s="22"/>
      <c r="AL7" s="23" t="s">
        <v>71</v>
      </c>
      <c r="AM7" s="23"/>
      <c r="AN7" s="23" t="s">
        <v>71</v>
      </c>
      <c r="AO7" s="23"/>
      <c r="AP7" s="59" t="s">
        <v>87</v>
      </c>
      <c r="AR7" s="22"/>
      <c r="AS7" s="23" t="s">
        <v>71</v>
      </c>
      <c r="AT7" s="23"/>
      <c r="AU7" s="23" t="s">
        <v>71</v>
      </c>
      <c r="AV7" s="23"/>
      <c r="AW7" s="59" t="s">
        <v>87</v>
      </c>
      <c r="AY7" s="18" t="s">
        <v>435</v>
      </c>
      <c r="AZ7" s="19"/>
      <c r="BA7" s="31"/>
      <c r="BC7" s="18" t="s">
        <v>440</v>
      </c>
      <c r="BD7" s="19"/>
      <c r="BE7" s="31"/>
      <c r="BG7" s="22" t="s">
        <v>49</v>
      </c>
      <c r="BH7" s="23" t="s">
        <v>140</v>
      </c>
      <c r="BI7" s="24" t="s">
        <v>18</v>
      </c>
      <c r="BK7" s="18" t="s">
        <v>444</v>
      </c>
      <c r="BL7" s="19"/>
      <c r="BM7" s="31"/>
    </row>
    <row r="8" spans="2:65" ht="15.75" thickBot="1" x14ac:dyDescent="0.3">
      <c r="B8" s="15"/>
      <c r="C8" s="16"/>
      <c r="D8" s="37"/>
      <c r="G8" s="15" t="s">
        <v>50</v>
      </c>
      <c r="H8" s="16" t="s">
        <v>70</v>
      </c>
      <c r="I8" s="16"/>
      <c r="J8" s="16"/>
      <c r="K8" s="21"/>
      <c r="M8" s="15" t="s">
        <v>50</v>
      </c>
      <c r="N8" s="16" t="s">
        <v>70</v>
      </c>
      <c r="O8" s="16"/>
      <c r="P8" s="16"/>
      <c r="Q8" s="21"/>
      <c r="T8" s="15" t="s">
        <v>3</v>
      </c>
      <c r="U8" s="16"/>
      <c r="V8" s="16" t="s">
        <v>3</v>
      </c>
      <c r="W8" s="16"/>
      <c r="X8" s="21" t="s">
        <v>59</v>
      </c>
      <c r="Z8" s="15"/>
      <c r="AA8" s="16"/>
      <c r="AB8" s="37"/>
      <c r="AD8" s="15" t="s">
        <v>28</v>
      </c>
      <c r="AE8" s="16"/>
      <c r="AF8" s="16" t="s">
        <v>18</v>
      </c>
      <c r="AG8" s="16" t="s">
        <v>88</v>
      </c>
      <c r="AH8" s="16"/>
      <c r="AI8" s="21" t="s">
        <v>18</v>
      </c>
      <c r="AK8" s="15"/>
      <c r="AL8" s="16" t="s">
        <v>3</v>
      </c>
      <c r="AM8" s="16"/>
      <c r="AN8" s="16" t="s">
        <v>3</v>
      </c>
      <c r="AO8" s="16"/>
      <c r="AP8" s="21" t="s">
        <v>59</v>
      </c>
      <c r="AR8" s="15"/>
      <c r="AS8" s="16" t="s">
        <v>3</v>
      </c>
      <c r="AT8" s="16"/>
      <c r="AU8" s="16" t="s">
        <v>3</v>
      </c>
      <c r="AV8" s="16"/>
      <c r="AW8" s="21" t="s">
        <v>59</v>
      </c>
      <c r="AY8" s="15"/>
      <c r="AZ8" s="16"/>
      <c r="BA8" s="37"/>
      <c r="BC8" s="15"/>
      <c r="BD8" s="16"/>
      <c r="BE8" s="37"/>
      <c r="BG8" s="15" t="s">
        <v>50</v>
      </c>
      <c r="BH8" s="16" t="s">
        <v>0</v>
      </c>
      <c r="BI8" s="21"/>
      <c r="BK8" s="15"/>
      <c r="BL8" s="16"/>
      <c r="BM8" s="37"/>
    </row>
    <row r="9" spans="2:65" x14ac:dyDescent="0.25">
      <c r="B9" s="32"/>
      <c r="C9" s="33"/>
      <c r="D9" s="34"/>
      <c r="G9" s="29"/>
      <c r="H9" s="30"/>
      <c r="I9" s="30"/>
      <c r="J9" s="30"/>
      <c r="K9" s="31"/>
      <c r="M9" s="32"/>
      <c r="N9" s="33"/>
      <c r="O9" s="23"/>
      <c r="P9" s="23"/>
      <c r="Q9" s="24"/>
      <c r="T9" s="7"/>
      <c r="U9" s="8"/>
      <c r="V9" s="8"/>
      <c r="W9" s="8"/>
      <c r="X9" s="9"/>
      <c r="Z9" s="29"/>
      <c r="AA9" s="30"/>
      <c r="AB9" s="31"/>
      <c r="AD9" s="29"/>
      <c r="AE9" s="30"/>
      <c r="AF9" s="30"/>
      <c r="AG9" s="30"/>
      <c r="AH9" s="30"/>
      <c r="AI9" s="31"/>
      <c r="AK9" s="32"/>
      <c r="AL9" s="33"/>
      <c r="AM9" s="33"/>
      <c r="AN9" s="33"/>
      <c r="AO9" s="33"/>
      <c r="AP9" s="34"/>
      <c r="AR9" s="29"/>
      <c r="AS9" s="30"/>
      <c r="AT9" s="30"/>
      <c r="AU9" s="30"/>
      <c r="AV9" s="30"/>
      <c r="AW9" s="31"/>
      <c r="AY9" s="32"/>
      <c r="AZ9" s="33"/>
      <c r="BA9" s="34"/>
      <c r="BC9" s="32"/>
      <c r="BD9" s="33"/>
      <c r="BE9" s="34"/>
      <c r="BG9" s="29"/>
      <c r="BH9" s="30"/>
      <c r="BI9" s="31"/>
      <c r="BK9" s="29"/>
      <c r="BL9" s="30"/>
      <c r="BM9" s="31"/>
    </row>
    <row r="10" spans="2:65" x14ac:dyDescent="0.25">
      <c r="B10" s="32"/>
      <c r="C10" s="33" t="s">
        <v>27</v>
      </c>
      <c r="D10" s="43">
        <f>' Descriptive Statistics'!BF44/' Descriptive Statistics'!C42</f>
        <v>11.093611111111114</v>
      </c>
      <c r="G10" s="53">
        <v>0.3</v>
      </c>
      <c r="H10" s="42">
        <v>0.1</v>
      </c>
      <c r="I10" s="42">
        <f>+G10-H10</f>
        <v>0.19999999999999998</v>
      </c>
      <c r="J10" s="42">
        <f>+I10-I$49</f>
        <v>-0.7</v>
      </c>
      <c r="K10" s="43">
        <f>+J10^2</f>
        <v>0.48999999999999994</v>
      </c>
      <c r="M10" s="53">
        <v>0.2</v>
      </c>
      <c r="N10" s="33">
        <v>0.1</v>
      </c>
      <c r="O10" s="42">
        <f>+M10-N10</f>
        <v>0.1</v>
      </c>
      <c r="P10" s="42">
        <f>+O10-O$49</f>
        <v>-0.90000000000000047</v>
      </c>
      <c r="Q10" s="43">
        <f>+P10^2</f>
        <v>0.81000000000000083</v>
      </c>
      <c r="T10" s="53">
        <f t="shared" ref="T10:T45" si="0">+I10</f>
        <v>0.19999999999999998</v>
      </c>
      <c r="U10" s="42">
        <f t="shared" ref="U10:U45" si="1">+J10</f>
        <v>-0.7</v>
      </c>
      <c r="V10" s="42">
        <f>+O10</f>
        <v>0.1</v>
      </c>
      <c r="W10" s="42">
        <f>+P10</f>
        <v>-0.90000000000000047</v>
      </c>
      <c r="X10" s="43">
        <f>+U10*W10</f>
        <v>0.63000000000000034</v>
      </c>
      <c r="Z10" s="32"/>
      <c r="AA10" s="33" t="s">
        <v>95</v>
      </c>
      <c r="AB10" s="77">
        <f>+X47/Q47</f>
        <v>0.98177609220312279</v>
      </c>
      <c r="AD10" s="32">
        <f>IF(O10&gt;=0,O10,"")</f>
        <v>0.1</v>
      </c>
      <c r="AE10" s="38">
        <f>IF(O10&gt;=0,O10-AD$51,"")</f>
        <v>-2.7375000000000007</v>
      </c>
      <c r="AF10" s="38">
        <f>IF(O10&gt;=0,AE10^2,"")</f>
        <v>7.4939062500000038</v>
      </c>
      <c r="AG10" s="33" t="str">
        <f>IF(O10&lt;0,O10,"")</f>
        <v/>
      </c>
      <c r="AH10" s="38" t="str">
        <f>IF(O10&lt;0,O10-AG$51,"")</f>
        <v/>
      </c>
      <c r="AI10" s="43" t="str">
        <f>IF(O10&lt;0,AH10^2,"")</f>
        <v/>
      </c>
      <c r="AK10" s="32">
        <f>AK9+1</f>
        <v>1</v>
      </c>
      <c r="AL10" s="33">
        <f>IF(O10&gt;=0,I10,"")</f>
        <v>0.19999999999999998</v>
      </c>
      <c r="AM10" s="38">
        <f>IF(O10&gt;=0,AL10-AL$51,"")</f>
        <v>-2.479166666666667</v>
      </c>
      <c r="AN10" s="33">
        <f>IF(O10&gt;=0,O10,"")</f>
        <v>0.1</v>
      </c>
      <c r="AO10" s="38">
        <f>IF(O10&gt;=0,AE10,"")</f>
        <v>-2.7375000000000007</v>
      </c>
      <c r="AP10" s="43">
        <f>IF(O10&gt;=0,AM10*AO10,"")</f>
        <v>6.7867187500000021</v>
      </c>
      <c r="AR10" s="32">
        <f>AR9+1</f>
        <v>1</v>
      </c>
      <c r="AS10" s="33" t="str">
        <f>IF(O10&lt;0,I10,"")</f>
        <v/>
      </c>
      <c r="AT10" s="38" t="str">
        <f>IF(O10&lt;0,AS10-AS$51,"")</f>
        <v/>
      </c>
      <c r="AU10" s="33" t="str">
        <f>IF(O10&lt;0,O10,"")</f>
        <v/>
      </c>
      <c r="AV10" s="38" t="str">
        <f>IF(O10&lt;0,AH10,"")</f>
        <v/>
      </c>
      <c r="AW10" s="43" t="str">
        <f>IF(O10&lt;0,AT10*AV10,"")</f>
        <v/>
      </c>
      <c r="AY10" s="32"/>
      <c r="AZ10" s="33" t="s">
        <v>91</v>
      </c>
      <c r="BA10" s="77">
        <f>+AP47/AF47</f>
        <v>1.0353074180363506</v>
      </c>
      <c r="BC10" s="32"/>
      <c r="BD10" s="33" t="s">
        <v>26</v>
      </c>
      <c r="BE10" s="77">
        <f>+D14*' Descriptive Statistics'!AE10/' Descriptive Statistics'!AE4</f>
        <v>0.99465998465587535</v>
      </c>
      <c r="BG10" s="53">
        <v>0.3</v>
      </c>
      <c r="BH10" s="38">
        <f t="shared" ref="BH10:BH45" si="2">+BG10-D$16-D$14*M10</f>
        <v>0.1814459844686917</v>
      </c>
      <c r="BI10" s="43">
        <f>+BH10^2</f>
        <v>3.2922645279812708E-2</v>
      </c>
      <c r="BK10" s="32" t="s">
        <v>142</v>
      </c>
      <c r="BL10" s="33"/>
      <c r="BM10" s="43">
        <f>+(BI47/AK45)^0.5</f>
        <v>0.34237395015208061</v>
      </c>
    </row>
    <row r="11" spans="2:65" x14ac:dyDescent="0.25">
      <c r="B11" s="32"/>
      <c r="C11" s="33"/>
      <c r="D11" s="43"/>
      <c r="G11" s="53">
        <v>2.6</v>
      </c>
      <c r="H11" s="42">
        <v>0.1</v>
      </c>
      <c r="I11" s="42">
        <f t="shared" ref="I11:I45" si="3">+G11-H11</f>
        <v>2.5</v>
      </c>
      <c r="J11" s="42">
        <f t="shared" ref="J11:J45" si="4">+I11-I$49</f>
        <v>1.6</v>
      </c>
      <c r="K11" s="43">
        <f t="shared" ref="K11:K45" si="5">+J11^2</f>
        <v>2.5600000000000005</v>
      </c>
      <c r="M11" s="53">
        <v>2.5</v>
      </c>
      <c r="N11" s="33">
        <v>0.1</v>
      </c>
      <c r="O11" s="42">
        <f t="shared" ref="O11:O45" si="6">+M11-N11</f>
        <v>2.4</v>
      </c>
      <c r="P11" s="42">
        <f t="shared" ref="P11:P45" si="7">+O11-O$49</f>
        <v>1.3999999999999995</v>
      </c>
      <c r="Q11" s="43">
        <f t="shared" ref="Q11:Q45" si="8">+P11^2</f>
        <v>1.9599999999999984</v>
      </c>
      <c r="T11" s="53">
        <f t="shared" si="0"/>
        <v>2.5</v>
      </c>
      <c r="U11" s="42">
        <f t="shared" si="1"/>
        <v>1.6</v>
      </c>
      <c r="V11" s="42">
        <f t="shared" ref="V11:V45" si="9">+O11</f>
        <v>2.4</v>
      </c>
      <c r="W11" s="42">
        <f t="shared" ref="W11:W45" si="10">+P11</f>
        <v>1.3999999999999995</v>
      </c>
      <c r="X11" s="43">
        <f t="shared" ref="X11:X45" si="11">+U11*W11</f>
        <v>2.2399999999999993</v>
      </c>
      <c r="Z11" s="32"/>
      <c r="AA11" s="33"/>
      <c r="AB11" s="43"/>
      <c r="AD11" s="32">
        <f t="shared" ref="AD11:AD45" si="12">IF(O11&gt;=0,O11,"")</f>
        <v>2.4</v>
      </c>
      <c r="AE11" s="38">
        <f t="shared" ref="AE11:AE45" si="13">IF(O11&gt;=0,O11-AD$51,"")</f>
        <v>-0.43750000000000089</v>
      </c>
      <c r="AF11" s="38">
        <f t="shared" ref="AF11:AF45" si="14">IF(O11&gt;=0,AE11^2,"")</f>
        <v>0.19140625000000078</v>
      </c>
      <c r="AG11" s="33" t="str">
        <f t="shared" ref="AG11:AG45" si="15">IF(O11&lt;0,O11,"")</f>
        <v/>
      </c>
      <c r="AH11" s="38" t="str">
        <f t="shared" ref="AH11:AH45" si="16">IF(O11&lt;0,O11-AG$51,"")</f>
        <v/>
      </c>
      <c r="AI11" s="43" t="str">
        <f t="shared" ref="AI11:AI45" si="17">IF(O11&lt;0,AH11^2,"")</f>
        <v/>
      </c>
      <c r="AK11" s="32">
        <f t="shared" ref="AK11:AK45" si="18">AK10+1</f>
        <v>2</v>
      </c>
      <c r="AL11" s="33">
        <f t="shared" ref="AL11:AL45" si="19">IF(O11&gt;=0,I11,"")</f>
        <v>2.5</v>
      </c>
      <c r="AM11" s="38">
        <f t="shared" ref="AM11:AM45" si="20">IF(O11&gt;=0,AL11-AL$51,"")</f>
        <v>-0.17916666666666714</v>
      </c>
      <c r="AN11" s="33">
        <f t="shared" ref="AN11:AN45" si="21">IF(O11&gt;=0,O11,"")</f>
        <v>2.4</v>
      </c>
      <c r="AO11" s="38">
        <f t="shared" ref="AO11:AO45" si="22">IF(O11&gt;=0,AE11,"")</f>
        <v>-0.43750000000000089</v>
      </c>
      <c r="AP11" s="43">
        <f t="shared" ref="AP11:AP45" si="23">IF(O11&gt;=0,AM11*AO11,"")</f>
        <v>7.8385416666667027E-2</v>
      </c>
      <c r="AR11" s="32">
        <f t="shared" ref="AR11:AR45" si="24">AR10+1</f>
        <v>2</v>
      </c>
      <c r="AS11" s="33" t="str">
        <f t="shared" ref="AS11:AS45" si="25">IF(O11&lt;0,I11,"")</f>
        <v/>
      </c>
      <c r="AT11" s="38" t="str">
        <f t="shared" ref="AT11:AT45" si="26">IF(O11&lt;0,AS11-AS$51,"")</f>
        <v/>
      </c>
      <c r="AU11" s="33" t="str">
        <f t="shared" ref="AU11:AU45" si="27">IF(O11&lt;0,O11,"")</f>
        <v/>
      </c>
      <c r="AV11" s="38" t="str">
        <f t="shared" ref="AV11:AV45" si="28">IF(O11&lt;0,AH11,"")</f>
        <v/>
      </c>
      <c r="AW11" s="43" t="str">
        <f t="shared" ref="AW11:AW45" si="29">IF(O11&lt;0,AT11*AV11,"")</f>
        <v/>
      </c>
      <c r="AY11" s="32"/>
      <c r="AZ11" s="33"/>
      <c r="BA11" s="43"/>
      <c r="BC11" s="32"/>
      <c r="BD11" s="33"/>
      <c r="BE11" s="43"/>
      <c r="BG11" s="53">
        <v>2.6</v>
      </c>
      <c r="BH11" s="38">
        <f t="shared" si="2"/>
        <v>0.22412022019070044</v>
      </c>
      <c r="BI11" s="43">
        <f t="shared" ref="BI11:BI45" si="30">+BH11^2</f>
        <v>5.0229873098328048E-2</v>
      </c>
      <c r="BK11" s="32"/>
      <c r="BL11" s="33"/>
      <c r="BM11" s="43"/>
    </row>
    <row r="12" spans="2:65" x14ac:dyDescent="0.25">
      <c r="B12" s="32"/>
      <c r="C12" s="33" t="s">
        <v>33</v>
      </c>
      <c r="D12" s="43">
        <f>' Descriptive Statistics'!T44/' Descriptive Statistics'!C42</f>
        <v>11.303333333333335</v>
      </c>
      <c r="G12" s="53">
        <v>1.1000000000000001</v>
      </c>
      <c r="H12" s="42">
        <v>0.2</v>
      </c>
      <c r="I12" s="42">
        <f t="shared" si="3"/>
        <v>0.90000000000000013</v>
      </c>
      <c r="J12" s="42">
        <f t="shared" si="4"/>
        <v>0</v>
      </c>
      <c r="K12" s="43">
        <f t="shared" si="5"/>
        <v>0</v>
      </c>
      <c r="M12" s="53">
        <v>1.8</v>
      </c>
      <c r="N12" s="33">
        <v>0.2</v>
      </c>
      <c r="O12" s="42">
        <f t="shared" si="6"/>
        <v>1.6</v>
      </c>
      <c r="P12" s="42">
        <f t="shared" si="7"/>
        <v>0.59999999999999964</v>
      </c>
      <c r="Q12" s="43">
        <f t="shared" si="8"/>
        <v>0.3599999999999996</v>
      </c>
      <c r="T12" s="53">
        <f t="shared" si="0"/>
        <v>0.90000000000000013</v>
      </c>
      <c r="U12" s="42">
        <f t="shared" si="1"/>
        <v>0</v>
      </c>
      <c r="V12" s="42">
        <f t="shared" si="9"/>
        <v>1.6</v>
      </c>
      <c r="W12" s="42">
        <f t="shared" si="10"/>
        <v>0.59999999999999964</v>
      </c>
      <c r="X12" s="43">
        <f t="shared" si="11"/>
        <v>0</v>
      </c>
      <c r="Z12" s="32"/>
      <c r="AA12" s="33" t="s">
        <v>34</v>
      </c>
      <c r="AB12" s="77">
        <f>+I49-AB10*O49</f>
        <v>-8.1776092203123318E-2</v>
      </c>
      <c r="AD12" s="32">
        <f t="shared" si="12"/>
        <v>1.6</v>
      </c>
      <c r="AE12" s="38">
        <f t="shared" si="13"/>
        <v>-1.2375000000000007</v>
      </c>
      <c r="AF12" s="38">
        <f t="shared" si="14"/>
        <v>1.5314062500000019</v>
      </c>
      <c r="AG12" s="33" t="str">
        <f t="shared" si="15"/>
        <v/>
      </c>
      <c r="AH12" s="38" t="str">
        <f t="shared" si="16"/>
        <v/>
      </c>
      <c r="AI12" s="43" t="str">
        <f t="shared" si="17"/>
        <v/>
      </c>
      <c r="AK12" s="32">
        <f t="shared" si="18"/>
        <v>3</v>
      </c>
      <c r="AL12" s="33">
        <f t="shared" si="19"/>
        <v>0.90000000000000013</v>
      </c>
      <c r="AM12" s="38">
        <f t="shared" si="20"/>
        <v>-1.779166666666667</v>
      </c>
      <c r="AN12" s="33">
        <f t="shared" si="21"/>
        <v>1.6</v>
      </c>
      <c r="AO12" s="38">
        <f t="shared" si="22"/>
        <v>-1.2375000000000007</v>
      </c>
      <c r="AP12" s="43">
        <f t="shared" si="23"/>
        <v>2.2017187500000017</v>
      </c>
      <c r="AR12" s="32">
        <f t="shared" si="24"/>
        <v>3</v>
      </c>
      <c r="AS12" s="33" t="str">
        <f t="shared" si="25"/>
        <v/>
      </c>
      <c r="AT12" s="38" t="str">
        <f t="shared" si="26"/>
        <v/>
      </c>
      <c r="AU12" s="33" t="str">
        <f t="shared" si="27"/>
        <v/>
      </c>
      <c r="AV12" s="38" t="str">
        <f t="shared" si="28"/>
        <v/>
      </c>
      <c r="AW12" s="43" t="str">
        <f t="shared" si="29"/>
        <v/>
      </c>
      <c r="AY12" s="32"/>
      <c r="AZ12" s="33" t="s">
        <v>92</v>
      </c>
      <c r="BA12" s="77">
        <f>+AW47/AI47</f>
        <v>0.9481092352728876</v>
      </c>
      <c r="BC12" s="32"/>
      <c r="BD12" s="33" t="s">
        <v>26</v>
      </c>
      <c r="BE12" s="77">
        <f>+D10/(' Descriptive Statistics'!AE4*' Descriptive Statistics'!AE10)</f>
        <v>0.99465998465587535</v>
      </c>
      <c r="BG12" s="53">
        <v>1.1000000000000001</v>
      </c>
      <c r="BH12" s="38">
        <f t="shared" si="2"/>
        <v>-0.58886759068121508</v>
      </c>
      <c r="BI12" s="43">
        <f t="shared" si="30"/>
        <v>0.34676503935469905</v>
      </c>
      <c r="BK12" s="32" t="s">
        <v>143</v>
      </c>
      <c r="BL12" s="33"/>
      <c r="BM12" s="43">
        <f>' Descriptive Statistics'!AE10*D14</f>
        <v>3.2996636310777596</v>
      </c>
    </row>
    <row r="13" spans="2:65" ht="15.75" thickBot="1" x14ac:dyDescent="0.3">
      <c r="B13" s="32"/>
      <c r="C13" s="33"/>
      <c r="D13" s="34"/>
      <c r="G13" s="53">
        <v>-0.9</v>
      </c>
      <c r="H13" s="42">
        <v>0.2</v>
      </c>
      <c r="I13" s="42">
        <f t="shared" si="3"/>
        <v>-1.1000000000000001</v>
      </c>
      <c r="J13" s="42">
        <f t="shared" si="4"/>
        <v>-2</v>
      </c>
      <c r="K13" s="43">
        <f t="shared" si="5"/>
        <v>4</v>
      </c>
      <c r="M13" s="53">
        <v>-1.1000000000000001</v>
      </c>
      <c r="N13" s="33">
        <v>0.2</v>
      </c>
      <c r="O13" s="42">
        <f t="shared" si="6"/>
        <v>-1.3</v>
      </c>
      <c r="P13" s="42">
        <f t="shared" si="7"/>
        <v>-2.3000000000000007</v>
      </c>
      <c r="Q13" s="43">
        <f t="shared" si="8"/>
        <v>5.2900000000000036</v>
      </c>
      <c r="T13" s="53">
        <f t="shared" si="0"/>
        <v>-1.1000000000000001</v>
      </c>
      <c r="U13" s="42">
        <f t="shared" si="1"/>
        <v>-2</v>
      </c>
      <c r="V13" s="42">
        <f t="shared" si="9"/>
        <v>-1.3</v>
      </c>
      <c r="W13" s="42">
        <f t="shared" si="10"/>
        <v>-2.3000000000000007</v>
      </c>
      <c r="X13" s="43">
        <f t="shared" si="11"/>
        <v>4.6000000000000014</v>
      </c>
      <c r="Z13" s="35"/>
      <c r="AA13" s="36"/>
      <c r="AB13" s="37"/>
      <c r="AD13" s="32" t="str">
        <f t="shared" si="12"/>
        <v/>
      </c>
      <c r="AE13" s="38" t="str">
        <f t="shared" si="13"/>
        <v/>
      </c>
      <c r="AF13" s="38" t="str">
        <f t="shared" si="14"/>
        <v/>
      </c>
      <c r="AG13" s="33">
        <f t="shared" si="15"/>
        <v>-1.3</v>
      </c>
      <c r="AH13" s="38">
        <f t="shared" si="16"/>
        <v>1.3749999999999993</v>
      </c>
      <c r="AI13" s="43">
        <f t="shared" si="17"/>
        <v>1.8906249999999982</v>
      </c>
      <c r="AK13" s="32">
        <f t="shared" si="18"/>
        <v>4</v>
      </c>
      <c r="AL13" s="33" t="str">
        <f t="shared" si="19"/>
        <v/>
      </c>
      <c r="AM13" s="38" t="str">
        <f t="shared" si="20"/>
        <v/>
      </c>
      <c r="AN13" s="33" t="str">
        <f t="shared" si="21"/>
        <v/>
      </c>
      <c r="AO13" s="38" t="str">
        <f t="shared" si="22"/>
        <v/>
      </c>
      <c r="AP13" s="43" t="str">
        <f t="shared" si="23"/>
        <v/>
      </c>
      <c r="AR13" s="32">
        <f t="shared" si="24"/>
        <v>4</v>
      </c>
      <c r="AS13" s="33">
        <f t="shared" si="25"/>
        <v>-1.1000000000000001</v>
      </c>
      <c r="AT13" s="38">
        <f t="shared" si="26"/>
        <v>1.5583333333333331</v>
      </c>
      <c r="AU13" s="33">
        <f t="shared" si="27"/>
        <v>-1.3</v>
      </c>
      <c r="AV13" s="38">
        <f t="shared" si="28"/>
        <v>1.3749999999999993</v>
      </c>
      <c r="AW13" s="43">
        <f t="shared" si="29"/>
        <v>2.1427083333333319</v>
      </c>
      <c r="AY13" s="32"/>
      <c r="AZ13" s="33"/>
      <c r="BA13" s="34"/>
      <c r="BC13" s="32"/>
      <c r="BD13" s="33"/>
      <c r="BE13" s="34"/>
      <c r="BG13" s="53">
        <v>-0.9</v>
      </c>
      <c r="BH13" s="38">
        <f t="shared" si="2"/>
        <v>0.25732576427799103</v>
      </c>
      <c r="BI13" s="43">
        <f t="shared" si="30"/>
        <v>6.6216548961252203E-2</v>
      </c>
      <c r="BK13" s="32"/>
      <c r="BL13" s="33"/>
      <c r="BM13" s="43"/>
    </row>
    <row r="14" spans="2:65" ht="17.25" x14ac:dyDescent="0.25">
      <c r="B14" s="32"/>
      <c r="C14" s="33" t="s">
        <v>31</v>
      </c>
      <c r="D14" s="83">
        <f>+D10/D12</f>
        <v>0.9814459844686918</v>
      </c>
      <c r="G14" s="53">
        <v>1.4</v>
      </c>
      <c r="H14" s="42">
        <v>0.2</v>
      </c>
      <c r="I14" s="42">
        <f t="shared" si="3"/>
        <v>1.2</v>
      </c>
      <c r="J14" s="42">
        <f t="shared" si="4"/>
        <v>0.30000000000000004</v>
      </c>
      <c r="K14" s="43">
        <f t="shared" si="5"/>
        <v>9.0000000000000024E-2</v>
      </c>
      <c r="M14" s="53">
        <v>1.4</v>
      </c>
      <c r="N14" s="33">
        <v>0.2</v>
      </c>
      <c r="O14" s="42">
        <f t="shared" si="6"/>
        <v>1.2</v>
      </c>
      <c r="P14" s="42">
        <f t="shared" si="7"/>
        <v>0.19999999999999951</v>
      </c>
      <c r="Q14" s="43">
        <f t="shared" si="8"/>
        <v>3.9999999999999807E-2</v>
      </c>
      <c r="T14" s="53">
        <f t="shared" si="0"/>
        <v>1.2</v>
      </c>
      <c r="U14" s="42">
        <f t="shared" si="1"/>
        <v>0.30000000000000004</v>
      </c>
      <c r="V14" s="42">
        <f t="shared" si="9"/>
        <v>1.2</v>
      </c>
      <c r="W14" s="42">
        <f t="shared" si="10"/>
        <v>0.19999999999999951</v>
      </c>
      <c r="X14" s="43">
        <f t="shared" si="11"/>
        <v>5.9999999999999859E-2</v>
      </c>
      <c r="AD14" s="32">
        <f t="shared" si="12"/>
        <v>1.2</v>
      </c>
      <c r="AE14" s="38">
        <f t="shared" si="13"/>
        <v>-1.6375000000000008</v>
      </c>
      <c r="AF14" s="38">
        <f t="shared" si="14"/>
        <v>2.6814062500000029</v>
      </c>
      <c r="AG14" s="33" t="str">
        <f t="shared" si="15"/>
        <v/>
      </c>
      <c r="AH14" s="38" t="str">
        <f t="shared" si="16"/>
        <v/>
      </c>
      <c r="AI14" s="43" t="str">
        <f t="shared" si="17"/>
        <v/>
      </c>
      <c r="AK14" s="32">
        <f t="shared" si="18"/>
        <v>5</v>
      </c>
      <c r="AL14" s="33">
        <f t="shared" si="19"/>
        <v>1.2</v>
      </c>
      <c r="AM14" s="38">
        <f t="shared" si="20"/>
        <v>-1.4791666666666672</v>
      </c>
      <c r="AN14" s="33">
        <f t="shared" si="21"/>
        <v>1.2</v>
      </c>
      <c r="AO14" s="38">
        <f t="shared" si="22"/>
        <v>-1.6375000000000008</v>
      </c>
      <c r="AP14" s="43">
        <f t="shared" si="23"/>
        <v>2.4221354166666687</v>
      </c>
      <c r="AR14" s="32">
        <f t="shared" si="24"/>
        <v>5</v>
      </c>
      <c r="AS14" s="33" t="str">
        <f t="shared" si="25"/>
        <v/>
      </c>
      <c r="AT14" s="38" t="str">
        <f t="shared" si="26"/>
        <v/>
      </c>
      <c r="AU14" s="33" t="str">
        <f t="shared" si="27"/>
        <v/>
      </c>
      <c r="AV14" s="38" t="str">
        <f t="shared" si="28"/>
        <v/>
      </c>
      <c r="AW14" s="43" t="str">
        <f t="shared" si="29"/>
        <v/>
      </c>
      <c r="AY14" s="32"/>
      <c r="AZ14" s="33" t="s">
        <v>93</v>
      </c>
      <c r="BA14" s="77">
        <f>+BA10/BA12</f>
        <v>1.0919706079419904</v>
      </c>
      <c r="BC14" s="32"/>
      <c r="BD14" s="33" t="s">
        <v>94</v>
      </c>
      <c r="BE14" s="77">
        <f>+BE12^2</f>
        <v>0.98934848507562623</v>
      </c>
      <c r="BG14" s="53">
        <v>1.4</v>
      </c>
      <c r="BH14" s="38">
        <f t="shared" si="2"/>
        <v>0.10371080310626146</v>
      </c>
      <c r="BI14" s="43">
        <f t="shared" si="30"/>
        <v>1.0755930680945732E-2</v>
      </c>
      <c r="BK14" s="32" t="s">
        <v>188</v>
      </c>
      <c r="BL14" s="33"/>
      <c r="BM14" s="43">
        <f>(BM10^2+BM12^2)^0.5</f>
        <v>3.3173784830796746</v>
      </c>
    </row>
    <row r="15" spans="2:65" ht="15.75" thickBot="1" x14ac:dyDescent="0.3">
      <c r="B15" s="32"/>
      <c r="C15" s="33"/>
      <c r="D15" s="34"/>
      <c r="G15" s="53">
        <v>2.4</v>
      </c>
      <c r="H15" s="42">
        <v>0.2</v>
      </c>
      <c r="I15" s="42">
        <f t="shared" si="3"/>
        <v>2.1999999999999997</v>
      </c>
      <c r="J15" s="42">
        <f t="shared" si="4"/>
        <v>1.2999999999999998</v>
      </c>
      <c r="K15" s="43">
        <f t="shared" si="5"/>
        <v>1.6899999999999995</v>
      </c>
      <c r="M15" s="53">
        <v>2.2999999999999998</v>
      </c>
      <c r="N15" s="33">
        <v>0.2</v>
      </c>
      <c r="O15" s="42">
        <f t="shared" si="6"/>
        <v>2.0999999999999996</v>
      </c>
      <c r="P15" s="42">
        <f t="shared" si="7"/>
        <v>1.0999999999999992</v>
      </c>
      <c r="Q15" s="43">
        <f t="shared" si="8"/>
        <v>1.2099999999999982</v>
      </c>
      <c r="T15" s="53">
        <f t="shared" si="0"/>
        <v>2.1999999999999997</v>
      </c>
      <c r="U15" s="42">
        <f t="shared" si="1"/>
        <v>1.2999999999999998</v>
      </c>
      <c r="V15" s="42">
        <f t="shared" si="9"/>
        <v>2.0999999999999996</v>
      </c>
      <c r="W15" s="42">
        <f t="shared" si="10"/>
        <v>1.0999999999999992</v>
      </c>
      <c r="X15" s="43">
        <f t="shared" si="11"/>
        <v>1.4299999999999988</v>
      </c>
      <c r="AD15" s="32">
        <f t="shared" si="12"/>
        <v>2.0999999999999996</v>
      </c>
      <c r="AE15" s="38">
        <f t="shared" si="13"/>
        <v>-0.73750000000000115</v>
      </c>
      <c r="AF15" s="38">
        <f t="shared" si="14"/>
        <v>0.5439062500000017</v>
      </c>
      <c r="AG15" s="33" t="str">
        <f t="shared" si="15"/>
        <v/>
      </c>
      <c r="AH15" s="38" t="str">
        <f t="shared" si="16"/>
        <v/>
      </c>
      <c r="AI15" s="43" t="str">
        <f t="shared" si="17"/>
        <v/>
      </c>
      <c r="AK15" s="32">
        <f t="shared" si="18"/>
        <v>6</v>
      </c>
      <c r="AL15" s="33">
        <f t="shared" si="19"/>
        <v>2.1999999999999997</v>
      </c>
      <c r="AM15" s="38">
        <f t="shared" si="20"/>
        <v>-0.47916666666666741</v>
      </c>
      <c r="AN15" s="33">
        <f t="shared" si="21"/>
        <v>2.0999999999999996</v>
      </c>
      <c r="AO15" s="38">
        <f t="shared" si="22"/>
        <v>-0.73750000000000115</v>
      </c>
      <c r="AP15" s="43">
        <f t="shared" si="23"/>
        <v>0.35338541666666778</v>
      </c>
      <c r="AR15" s="32">
        <f t="shared" si="24"/>
        <v>6</v>
      </c>
      <c r="AS15" s="33" t="str">
        <f t="shared" si="25"/>
        <v/>
      </c>
      <c r="AT15" s="38" t="str">
        <f t="shared" si="26"/>
        <v/>
      </c>
      <c r="AU15" s="33" t="str">
        <f t="shared" si="27"/>
        <v/>
      </c>
      <c r="AV15" s="38" t="str">
        <f t="shared" si="28"/>
        <v/>
      </c>
      <c r="AW15" s="43" t="str">
        <f t="shared" si="29"/>
        <v/>
      </c>
      <c r="AY15" s="35"/>
      <c r="AZ15" s="36"/>
      <c r="BA15" s="37"/>
      <c r="BC15" s="35"/>
      <c r="BD15" s="36"/>
      <c r="BE15" s="37"/>
      <c r="BG15" s="53">
        <v>2.4</v>
      </c>
      <c r="BH15" s="38">
        <f t="shared" si="2"/>
        <v>0.22040941708443906</v>
      </c>
      <c r="BI15" s="43">
        <f t="shared" si="30"/>
        <v>4.8580311139502216E-2</v>
      </c>
      <c r="BK15" s="32"/>
      <c r="BL15" s="33"/>
      <c r="BM15" s="43"/>
    </row>
    <row r="16" spans="2:65" x14ac:dyDescent="0.25">
      <c r="B16" s="32"/>
      <c r="C16" s="33" t="s">
        <v>32</v>
      </c>
      <c r="D16" s="77">
        <f>' Descriptive Statistics'!M4-D14*' Descriptive Statistics'!Y4</f>
        <v>-7.7735181362430072E-2</v>
      </c>
      <c r="G16" s="53">
        <v>1.5</v>
      </c>
      <c r="H16" s="42">
        <v>0.2</v>
      </c>
      <c r="I16" s="42">
        <f t="shared" si="3"/>
        <v>1.3</v>
      </c>
      <c r="J16" s="42">
        <f t="shared" si="4"/>
        <v>0.40000000000000013</v>
      </c>
      <c r="K16" s="43">
        <f t="shared" si="5"/>
        <v>0.16000000000000011</v>
      </c>
      <c r="M16" s="53">
        <v>1.4</v>
      </c>
      <c r="N16" s="33">
        <v>0.2</v>
      </c>
      <c r="O16" s="42">
        <f t="shared" si="6"/>
        <v>1.2</v>
      </c>
      <c r="P16" s="42">
        <f t="shared" si="7"/>
        <v>0.19999999999999951</v>
      </c>
      <c r="Q16" s="43">
        <f t="shared" si="8"/>
        <v>3.9999999999999807E-2</v>
      </c>
      <c r="T16" s="53">
        <f t="shared" si="0"/>
        <v>1.3</v>
      </c>
      <c r="U16" s="42">
        <f t="shared" si="1"/>
        <v>0.40000000000000013</v>
      </c>
      <c r="V16" s="42">
        <f t="shared" si="9"/>
        <v>1.2</v>
      </c>
      <c r="W16" s="42">
        <f t="shared" si="10"/>
        <v>0.19999999999999951</v>
      </c>
      <c r="X16" s="43">
        <f t="shared" si="11"/>
        <v>7.9999999999999835E-2</v>
      </c>
      <c r="AD16" s="32">
        <f t="shared" si="12"/>
        <v>1.2</v>
      </c>
      <c r="AE16" s="38">
        <f t="shared" si="13"/>
        <v>-1.6375000000000008</v>
      </c>
      <c r="AF16" s="38">
        <f t="shared" si="14"/>
        <v>2.6814062500000029</v>
      </c>
      <c r="AG16" s="33" t="str">
        <f t="shared" si="15"/>
        <v/>
      </c>
      <c r="AH16" s="38" t="str">
        <f t="shared" si="16"/>
        <v/>
      </c>
      <c r="AI16" s="43" t="str">
        <f t="shared" si="17"/>
        <v/>
      </c>
      <c r="AK16" s="32">
        <f t="shared" si="18"/>
        <v>7</v>
      </c>
      <c r="AL16" s="33">
        <f t="shared" si="19"/>
        <v>1.3</v>
      </c>
      <c r="AM16" s="38">
        <f t="shared" si="20"/>
        <v>-1.3791666666666671</v>
      </c>
      <c r="AN16" s="33">
        <f t="shared" si="21"/>
        <v>1.2</v>
      </c>
      <c r="AO16" s="38">
        <f t="shared" si="22"/>
        <v>-1.6375000000000008</v>
      </c>
      <c r="AP16" s="43">
        <f t="shared" si="23"/>
        <v>2.2583854166666684</v>
      </c>
      <c r="AR16" s="32">
        <f t="shared" si="24"/>
        <v>7</v>
      </c>
      <c r="AS16" s="33" t="str">
        <f t="shared" si="25"/>
        <v/>
      </c>
      <c r="AT16" s="38" t="str">
        <f t="shared" si="26"/>
        <v/>
      </c>
      <c r="AU16" s="33" t="str">
        <f t="shared" si="27"/>
        <v/>
      </c>
      <c r="AV16" s="38" t="str">
        <f t="shared" si="28"/>
        <v/>
      </c>
      <c r="AW16" s="43" t="str">
        <f t="shared" si="29"/>
        <v/>
      </c>
      <c r="BG16" s="53">
        <v>1.5</v>
      </c>
      <c r="BH16" s="38">
        <f t="shared" si="2"/>
        <v>0.20371080310626155</v>
      </c>
      <c r="BI16" s="43">
        <f t="shared" si="30"/>
        <v>4.1498091302198059E-2</v>
      </c>
      <c r="BK16" s="32" t="s">
        <v>142</v>
      </c>
      <c r="BL16" s="33"/>
      <c r="BM16" s="43">
        <f>(' Descriptive Statistics'!AE4^2-BM12^2)^0.5</f>
        <v>0.3423739501520755</v>
      </c>
    </row>
    <row r="17" spans="2:65" ht="15.75" thickBot="1" x14ac:dyDescent="0.3">
      <c r="B17" s="35"/>
      <c r="C17" s="36"/>
      <c r="D17" s="37"/>
      <c r="G17" s="53">
        <v>6.6</v>
      </c>
      <c r="H17" s="42">
        <v>0.3</v>
      </c>
      <c r="I17" s="42">
        <f t="shared" si="3"/>
        <v>6.3</v>
      </c>
      <c r="J17" s="42">
        <f t="shared" si="4"/>
        <v>5.4</v>
      </c>
      <c r="K17" s="43">
        <f t="shared" si="5"/>
        <v>29.160000000000004</v>
      </c>
      <c r="M17" s="53">
        <v>6.5</v>
      </c>
      <c r="N17" s="33">
        <v>0.3</v>
      </c>
      <c r="O17" s="42">
        <f t="shared" si="6"/>
        <v>6.2</v>
      </c>
      <c r="P17" s="42">
        <f t="shared" si="7"/>
        <v>5.1999999999999993</v>
      </c>
      <c r="Q17" s="43">
        <f t="shared" si="8"/>
        <v>27.039999999999992</v>
      </c>
      <c r="T17" s="53">
        <f t="shared" si="0"/>
        <v>6.3</v>
      </c>
      <c r="U17" s="42">
        <f t="shared" si="1"/>
        <v>5.4</v>
      </c>
      <c r="V17" s="42">
        <f t="shared" si="9"/>
        <v>6.2</v>
      </c>
      <c r="W17" s="42">
        <f t="shared" si="10"/>
        <v>5.1999999999999993</v>
      </c>
      <c r="X17" s="43">
        <f t="shared" si="11"/>
        <v>28.08</v>
      </c>
      <c r="AD17" s="32">
        <f t="shared" si="12"/>
        <v>6.2</v>
      </c>
      <c r="AE17" s="38">
        <f t="shared" si="13"/>
        <v>3.3624999999999994</v>
      </c>
      <c r="AF17" s="38">
        <f t="shared" si="14"/>
        <v>11.306406249999997</v>
      </c>
      <c r="AG17" s="33" t="str">
        <f t="shared" si="15"/>
        <v/>
      </c>
      <c r="AH17" s="38" t="str">
        <f t="shared" si="16"/>
        <v/>
      </c>
      <c r="AI17" s="43" t="str">
        <f t="shared" si="17"/>
        <v/>
      </c>
      <c r="AK17" s="32">
        <f t="shared" si="18"/>
        <v>8</v>
      </c>
      <c r="AL17" s="33">
        <f t="shared" si="19"/>
        <v>6.3</v>
      </c>
      <c r="AM17" s="38">
        <f t="shared" si="20"/>
        <v>3.6208333333333327</v>
      </c>
      <c r="AN17" s="33">
        <f t="shared" si="21"/>
        <v>6.2</v>
      </c>
      <c r="AO17" s="38">
        <f t="shared" si="22"/>
        <v>3.3624999999999994</v>
      </c>
      <c r="AP17" s="43">
        <f t="shared" si="23"/>
        <v>12.175052083333329</v>
      </c>
      <c r="AR17" s="32">
        <f t="shared" si="24"/>
        <v>8</v>
      </c>
      <c r="AS17" s="33" t="str">
        <f t="shared" si="25"/>
        <v/>
      </c>
      <c r="AT17" s="38" t="str">
        <f t="shared" si="26"/>
        <v/>
      </c>
      <c r="AU17" s="33" t="str">
        <f t="shared" si="27"/>
        <v/>
      </c>
      <c r="AV17" s="38" t="str">
        <f t="shared" si="28"/>
        <v/>
      </c>
      <c r="AW17" s="43" t="str">
        <f t="shared" si="29"/>
        <v/>
      </c>
      <c r="BG17" s="53">
        <v>6.6</v>
      </c>
      <c r="BH17" s="38">
        <f t="shared" si="2"/>
        <v>0.29833628231593234</v>
      </c>
      <c r="BI17" s="43">
        <f t="shared" si="30"/>
        <v>8.9004537346091692E-2</v>
      </c>
      <c r="BK17" s="139"/>
      <c r="BL17" s="140"/>
      <c r="BM17" s="141"/>
    </row>
    <row r="18" spans="2:65" ht="15.75" thickBot="1" x14ac:dyDescent="0.3">
      <c r="G18" s="53">
        <v>-1.4</v>
      </c>
      <c r="H18" s="42">
        <v>0.3</v>
      </c>
      <c r="I18" s="42">
        <f t="shared" si="3"/>
        <v>-1.7</v>
      </c>
      <c r="J18" s="42">
        <f t="shared" si="4"/>
        <v>-2.5999999999999996</v>
      </c>
      <c r="K18" s="43">
        <f t="shared" si="5"/>
        <v>6.759999999999998</v>
      </c>
      <c r="M18" s="53">
        <v>-1.5</v>
      </c>
      <c r="N18" s="33">
        <v>0.3</v>
      </c>
      <c r="O18" s="42">
        <f t="shared" si="6"/>
        <v>-1.8</v>
      </c>
      <c r="P18" s="42">
        <f t="shared" si="7"/>
        <v>-2.8000000000000007</v>
      </c>
      <c r="Q18" s="43">
        <f t="shared" si="8"/>
        <v>7.8400000000000043</v>
      </c>
      <c r="T18" s="53">
        <f t="shared" si="0"/>
        <v>-1.7</v>
      </c>
      <c r="U18" s="42">
        <f t="shared" si="1"/>
        <v>-2.5999999999999996</v>
      </c>
      <c r="V18" s="42">
        <f t="shared" si="9"/>
        <v>-1.8</v>
      </c>
      <c r="W18" s="42">
        <f t="shared" si="10"/>
        <v>-2.8000000000000007</v>
      </c>
      <c r="X18" s="43">
        <f t="shared" si="11"/>
        <v>7.2800000000000011</v>
      </c>
      <c r="AD18" s="32" t="str">
        <f t="shared" si="12"/>
        <v/>
      </c>
      <c r="AE18" s="38" t="str">
        <f t="shared" si="13"/>
        <v/>
      </c>
      <c r="AF18" s="38" t="str">
        <f t="shared" si="14"/>
        <v/>
      </c>
      <c r="AG18" s="33">
        <f t="shared" si="15"/>
        <v>-1.8</v>
      </c>
      <c r="AH18" s="38">
        <f t="shared" si="16"/>
        <v>0.87499999999999933</v>
      </c>
      <c r="AI18" s="43">
        <f t="shared" si="17"/>
        <v>0.76562499999999889</v>
      </c>
      <c r="AK18" s="32">
        <f t="shared" si="18"/>
        <v>9</v>
      </c>
      <c r="AL18" s="33" t="str">
        <f t="shared" si="19"/>
        <v/>
      </c>
      <c r="AM18" s="38" t="str">
        <f t="shared" si="20"/>
        <v/>
      </c>
      <c r="AN18" s="33" t="str">
        <f t="shared" si="21"/>
        <v/>
      </c>
      <c r="AO18" s="38" t="str">
        <f t="shared" si="22"/>
        <v/>
      </c>
      <c r="AP18" s="43" t="str">
        <f t="shared" si="23"/>
        <v/>
      </c>
      <c r="AR18" s="32">
        <f t="shared" si="24"/>
        <v>9</v>
      </c>
      <c r="AS18" s="33">
        <f t="shared" si="25"/>
        <v>-1.7</v>
      </c>
      <c r="AT18" s="38">
        <f t="shared" si="26"/>
        <v>0.95833333333333326</v>
      </c>
      <c r="AU18" s="33">
        <f t="shared" si="27"/>
        <v>-1.8</v>
      </c>
      <c r="AV18" s="38">
        <f t="shared" si="28"/>
        <v>0.87499999999999933</v>
      </c>
      <c r="AW18" s="43">
        <f t="shared" si="29"/>
        <v>0.83854166666666596</v>
      </c>
      <c r="BC18" s="63" t="s">
        <v>53</v>
      </c>
      <c r="BD18" s="64"/>
      <c r="BE18" s="65"/>
      <c r="BG18" s="53">
        <v>-1.4</v>
      </c>
      <c r="BH18" s="38">
        <f t="shared" si="2"/>
        <v>0.14990415806546786</v>
      </c>
      <c r="BI18" s="43">
        <f t="shared" si="30"/>
        <v>2.2471256605316774E-2</v>
      </c>
      <c r="BK18" s="142" t="s">
        <v>189</v>
      </c>
      <c r="BL18" s="143"/>
      <c r="BM18" s="154">
        <f>' Descriptive Statistics'!AE4</f>
        <v>3.3173784830796742</v>
      </c>
    </row>
    <row r="19" spans="2:65" ht="15.75" thickBot="1" x14ac:dyDescent="0.3">
      <c r="B19" s="63" t="s">
        <v>53</v>
      </c>
      <c r="C19" s="64"/>
      <c r="D19" s="65"/>
      <c r="G19" s="53">
        <v>3.9</v>
      </c>
      <c r="H19" s="42">
        <v>0.4</v>
      </c>
      <c r="I19" s="42">
        <f t="shared" si="3"/>
        <v>3.5</v>
      </c>
      <c r="J19" s="42">
        <f t="shared" si="4"/>
        <v>2.6</v>
      </c>
      <c r="K19" s="43">
        <f t="shared" si="5"/>
        <v>6.7600000000000007</v>
      </c>
      <c r="M19" s="53">
        <v>4.2</v>
      </c>
      <c r="N19" s="33">
        <v>0.4</v>
      </c>
      <c r="O19" s="42">
        <f t="shared" si="6"/>
        <v>3.8000000000000003</v>
      </c>
      <c r="P19" s="42">
        <f t="shared" si="7"/>
        <v>2.8</v>
      </c>
      <c r="Q19" s="43">
        <f t="shared" si="8"/>
        <v>7.839999999999999</v>
      </c>
      <c r="T19" s="53">
        <f t="shared" si="0"/>
        <v>3.5</v>
      </c>
      <c r="U19" s="42">
        <f t="shared" si="1"/>
        <v>2.6</v>
      </c>
      <c r="V19" s="42">
        <f t="shared" si="9"/>
        <v>3.8000000000000003</v>
      </c>
      <c r="W19" s="42">
        <f t="shared" si="10"/>
        <v>2.8</v>
      </c>
      <c r="X19" s="43">
        <f t="shared" si="11"/>
        <v>7.2799999999999994</v>
      </c>
      <c r="AD19" s="32">
        <f t="shared" si="12"/>
        <v>3.8000000000000003</v>
      </c>
      <c r="AE19" s="38">
        <f t="shared" si="13"/>
        <v>0.96249999999999947</v>
      </c>
      <c r="AF19" s="38">
        <f t="shared" si="14"/>
        <v>0.92640624999999899</v>
      </c>
      <c r="AG19" s="33" t="str">
        <f t="shared" si="15"/>
        <v/>
      </c>
      <c r="AH19" s="38" t="str">
        <f t="shared" si="16"/>
        <v/>
      </c>
      <c r="AI19" s="43" t="str">
        <f t="shared" si="17"/>
        <v/>
      </c>
      <c r="AK19" s="32">
        <f t="shared" si="18"/>
        <v>10</v>
      </c>
      <c r="AL19" s="33">
        <f t="shared" si="19"/>
        <v>3.5</v>
      </c>
      <c r="AM19" s="38">
        <f t="shared" si="20"/>
        <v>0.82083333333333286</v>
      </c>
      <c r="AN19" s="33">
        <f t="shared" si="21"/>
        <v>3.8000000000000003</v>
      </c>
      <c r="AO19" s="38">
        <f t="shared" si="22"/>
        <v>0.96249999999999947</v>
      </c>
      <c r="AP19" s="43">
        <f t="shared" si="23"/>
        <v>0.79005208333333243</v>
      </c>
      <c r="AR19" s="32">
        <f t="shared" si="24"/>
        <v>10</v>
      </c>
      <c r="AS19" s="33" t="str">
        <f t="shared" si="25"/>
        <v/>
      </c>
      <c r="AT19" s="38" t="str">
        <f t="shared" si="26"/>
        <v/>
      </c>
      <c r="AU19" s="33" t="str">
        <f t="shared" si="27"/>
        <v/>
      </c>
      <c r="AV19" s="38" t="str">
        <f t="shared" si="28"/>
        <v/>
      </c>
      <c r="AW19" s="43" t="str">
        <f t="shared" si="29"/>
        <v/>
      </c>
      <c r="BC19" s="66"/>
      <c r="BD19" s="67"/>
      <c r="BE19" s="86" t="s">
        <v>0</v>
      </c>
      <c r="BG19" s="53">
        <v>3.9</v>
      </c>
      <c r="BH19" s="38">
        <f t="shared" si="2"/>
        <v>-0.14433795340607602</v>
      </c>
      <c r="BI19" s="43">
        <f t="shared" si="30"/>
        <v>2.0833444793454572E-2</v>
      </c>
    </row>
    <row r="20" spans="2:65" ht="15.75" thickBot="1" x14ac:dyDescent="0.3">
      <c r="B20" s="66"/>
      <c r="C20" s="67"/>
      <c r="D20" s="86" t="s">
        <v>0</v>
      </c>
      <c r="G20" s="53">
        <v>-0.5</v>
      </c>
      <c r="H20" s="42">
        <v>0.4</v>
      </c>
      <c r="I20" s="42">
        <f t="shared" si="3"/>
        <v>-0.9</v>
      </c>
      <c r="J20" s="42">
        <f t="shared" si="4"/>
        <v>-1.7999999999999998</v>
      </c>
      <c r="K20" s="43">
        <f t="shared" si="5"/>
        <v>3.2399999999999993</v>
      </c>
      <c r="M20" s="53">
        <v>-0.3</v>
      </c>
      <c r="N20" s="33">
        <v>0.4</v>
      </c>
      <c r="O20" s="42">
        <f t="shared" si="6"/>
        <v>-0.7</v>
      </c>
      <c r="P20" s="42">
        <f t="shared" si="7"/>
        <v>-1.7000000000000004</v>
      </c>
      <c r="Q20" s="43">
        <f t="shared" si="8"/>
        <v>2.8900000000000015</v>
      </c>
      <c r="T20" s="53">
        <f t="shared" si="0"/>
        <v>-0.9</v>
      </c>
      <c r="U20" s="42">
        <f t="shared" si="1"/>
        <v>-1.7999999999999998</v>
      </c>
      <c r="V20" s="42">
        <f t="shared" si="9"/>
        <v>-0.7</v>
      </c>
      <c r="W20" s="42">
        <f t="shared" si="10"/>
        <v>-1.7000000000000004</v>
      </c>
      <c r="X20" s="43">
        <f t="shared" si="11"/>
        <v>3.0600000000000005</v>
      </c>
      <c r="AD20" s="32" t="str">
        <f t="shared" si="12"/>
        <v/>
      </c>
      <c r="AE20" s="38" t="str">
        <f t="shared" si="13"/>
        <v/>
      </c>
      <c r="AF20" s="38" t="str">
        <f t="shared" si="14"/>
        <v/>
      </c>
      <c r="AG20" s="33">
        <f t="shared" si="15"/>
        <v>-0.7</v>
      </c>
      <c r="AH20" s="38">
        <f t="shared" si="16"/>
        <v>1.9749999999999994</v>
      </c>
      <c r="AI20" s="43">
        <f t="shared" si="17"/>
        <v>3.9006249999999976</v>
      </c>
      <c r="AK20" s="32">
        <f t="shared" si="18"/>
        <v>11</v>
      </c>
      <c r="AL20" s="33" t="str">
        <f t="shared" si="19"/>
        <v/>
      </c>
      <c r="AM20" s="38" t="str">
        <f t="shared" si="20"/>
        <v/>
      </c>
      <c r="AN20" s="33" t="str">
        <f t="shared" si="21"/>
        <v/>
      </c>
      <c r="AO20" s="38" t="str">
        <f t="shared" si="22"/>
        <v/>
      </c>
      <c r="AP20" s="43" t="str">
        <f t="shared" si="23"/>
        <v/>
      </c>
      <c r="AR20" s="32">
        <f t="shared" si="24"/>
        <v>11</v>
      </c>
      <c r="AS20" s="33">
        <f t="shared" si="25"/>
        <v>-0.9</v>
      </c>
      <c r="AT20" s="38">
        <f t="shared" si="26"/>
        <v>1.7583333333333333</v>
      </c>
      <c r="AU20" s="33">
        <f t="shared" si="27"/>
        <v>-0.7</v>
      </c>
      <c r="AV20" s="38">
        <f t="shared" si="28"/>
        <v>1.9749999999999994</v>
      </c>
      <c r="AW20" s="43">
        <f t="shared" si="29"/>
        <v>3.4727083333333324</v>
      </c>
      <c r="BC20" s="155"/>
      <c r="BD20" s="137"/>
      <c r="BE20" s="156" t="s">
        <v>0</v>
      </c>
      <c r="BG20" s="53">
        <v>-0.5</v>
      </c>
      <c r="BH20" s="38">
        <f t="shared" si="2"/>
        <v>-0.12783102329696239</v>
      </c>
      <c r="BI20" s="43">
        <f t="shared" si="30"/>
        <v>1.634077051714854E-2</v>
      </c>
    </row>
    <row r="21" spans="2:65" ht="15.75" thickBot="1" x14ac:dyDescent="0.3">
      <c r="B21" s="155"/>
      <c r="C21" s="137"/>
      <c r="D21" s="156" t="s">
        <v>0</v>
      </c>
      <c r="G21" s="53">
        <v>8.1</v>
      </c>
      <c r="H21" s="42">
        <v>0.3</v>
      </c>
      <c r="I21" s="42">
        <f t="shared" si="3"/>
        <v>7.8</v>
      </c>
      <c r="J21" s="42">
        <f t="shared" si="4"/>
        <v>6.9</v>
      </c>
      <c r="K21" s="43">
        <f t="shared" si="5"/>
        <v>47.610000000000007</v>
      </c>
      <c r="M21" s="53">
        <v>8.3000000000000007</v>
      </c>
      <c r="N21" s="33">
        <v>0.3</v>
      </c>
      <c r="O21" s="42">
        <f t="shared" si="6"/>
        <v>8</v>
      </c>
      <c r="P21" s="42">
        <f t="shared" si="7"/>
        <v>7</v>
      </c>
      <c r="Q21" s="43">
        <f t="shared" si="8"/>
        <v>49</v>
      </c>
      <c r="T21" s="53">
        <f t="shared" si="0"/>
        <v>7.8</v>
      </c>
      <c r="U21" s="42">
        <f t="shared" si="1"/>
        <v>6.9</v>
      </c>
      <c r="V21" s="42">
        <f t="shared" si="9"/>
        <v>8</v>
      </c>
      <c r="W21" s="42">
        <f t="shared" si="10"/>
        <v>7</v>
      </c>
      <c r="X21" s="43">
        <f t="shared" si="11"/>
        <v>48.300000000000004</v>
      </c>
      <c r="AD21" s="32">
        <f t="shared" si="12"/>
        <v>8</v>
      </c>
      <c r="AE21" s="38">
        <f t="shared" si="13"/>
        <v>5.1624999999999996</v>
      </c>
      <c r="AF21" s="38">
        <f t="shared" si="14"/>
        <v>26.651406249999997</v>
      </c>
      <c r="AG21" s="33" t="str">
        <f t="shared" si="15"/>
        <v/>
      </c>
      <c r="AH21" s="38" t="str">
        <f t="shared" si="16"/>
        <v/>
      </c>
      <c r="AI21" s="43" t="str">
        <f t="shared" si="17"/>
        <v/>
      </c>
      <c r="AK21" s="32">
        <f t="shared" si="18"/>
        <v>12</v>
      </c>
      <c r="AL21" s="33">
        <f t="shared" si="19"/>
        <v>7.8</v>
      </c>
      <c r="AM21" s="38">
        <f t="shared" si="20"/>
        <v>5.1208333333333327</v>
      </c>
      <c r="AN21" s="33">
        <f t="shared" si="21"/>
        <v>8</v>
      </c>
      <c r="AO21" s="38">
        <f t="shared" si="22"/>
        <v>5.1624999999999996</v>
      </c>
      <c r="AP21" s="43">
        <f t="shared" si="23"/>
        <v>26.436302083333327</v>
      </c>
      <c r="AR21" s="32">
        <f t="shared" si="24"/>
        <v>12</v>
      </c>
      <c r="AS21" s="33" t="str">
        <f t="shared" si="25"/>
        <v/>
      </c>
      <c r="AT21" s="38" t="str">
        <f t="shared" si="26"/>
        <v/>
      </c>
      <c r="AU21" s="33" t="str">
        <f t="shared" si="27"/>
        <v/>
      </c>
      <c r="AV21" s="38" t="str">
        <f t="shared" si="28"/>
        <v/>
      </c>
      <c r="AW21" s="43" t="str">
        <f t="shared" si="29"/>
        <v/>
      </c>
      <c r="BC21" s="103"/>
      <c r="BD21" s="74" t="s">
        <v>26</v>
      </c>
      <c r="BE21" s="81">
        <f>CORREL(G10:G45,M10:M45)</f>
        <v>0.99465998465587535</v>
      </c>
      <c r="BG21" s="53">
        <v>8.1</v>
      </c>
      <c r="BH21" s="38">
        <f t="shared" si="2"/>
        <v>3.173351027228577E-2</v>
      </c>
      <c r="BI21" s="43">
        <f t="shared" si="30"/>
        <v>1.0070156742012664E-3</v>
      </c>
    </row>
    <row r="22" spans="2:65" x14ac:dyDescent="0.25">
      <c r="B22" s="100"/>
      <c r="C22" s="70" t="s">
        <v>27</v>
      </c>
      <c r="D22" s="71">
        <f>COVAR(G10:G45,M10:M45)</f>
        <v>11.093611111111114</v>
      </c>
      <c r="G22" s="53">
        <v>4</v>
      </c>
      <c r="H22" s="42">
        <v>0.3</v>
      </c>
      <c r="I22" s="42">
        <f t="shared" si="3"/>
        <v>3.7</v>
      </c>
      <c r="J22" s="42">
        <f t="shared" si="4"/>
        <v>2.8000000000000003</v>
      </c>
      <c r="K22" s="43">
        <f t="shared" si="5"/>
        <v>7.8400000000000016</v>
      </c>
      <c r="M22" s="53">
        <v>3.9</v>
      </c>
      <c r="N22" s="33">
        <v>0.3</v>
      </c>
      <c r="O22" s="42">
        <f t="shared" si="6"/>
        <v>3.6</v>
      </c>
      <c r="P22" s="42">
        <f t="shared" si="7"/>
        <v>2.5999999999999996</v>
      </c>
      <c r="Q22" s="43">
        <f t="shared" si="8"/>
        <v>6.759999999999998</v>
      </c>
      <c r="T22" s="53">
        <f t="shared" si="0"/>
        <v>3.7</v>
      </c>
      <c r="U22" s="42">
        <f t="shared" si="1"/>
        <v>2.8000000000000003</v>
      </c>
      <c r="V22" s="42">
        <f t="shared" si="9"/>
        <v>3.6</v>
      </c>
      <c r="W22" s="42">
        <f t="shared" si="10"/>
        <v>2.5999999999999996</v>
      </c>
      <c r="X22" s="43">
        <f t="shared" si="11"/>
        <v>7.2799999999999994</v>
      </c>
      <c r="AD22" s="32">
        <f t="shared" si="12"/>
        <v>3.6</v>
      </c>
      <c r="AE22" s="38">
        <f t="shared" si="13"/>
        <v>0.76249999999999929</v>
      </c>
      <c r="AF22" s="38">
        <f t="shared" si="14"/>
        <v>0.5814062499999989</v>
      </c>
      <c r="AG22" s="33" t="str">
        <f t="shared" si="15"/>
        <v/>
      </c>
      <c r="AH22" s="38" t="str">
        <f t="shared" si="16"/>
        <v/>
      </c>
      <c r="AI22" s="43" t="str">
        <f t="shared" si="17"/>
        <v/>
      </c>
      <c r="AK22" s="32">
        <f t="shared" si="18"/>
        <v>13</v>
      </c>
      <c r="AL22" s="33">
        <f t="shared" si="19"/>
        <v>3.7</v>
      </c>
      <c r="AM22" s="38">
        <f t="shared" si="20"/>
        <v>1.020833333333333</v>
      </c>
      <c r="AN22" s="33">
        <f t="shared" si="21"/>
        <v>3.6</v>
      </c>
      <c r="AO22" s="38">
        <f t="shared" si="22"/>
        <v>0.76249999999999929</v>
      </c>
      <c r="AP22" s="43">
        <f t="shared" si="23"/>
        <v>0.77838541666666572</v>
      </c>
      <c r="AR22" s="32">
        <f t="shared" si="24"/>
        <v>13</v>
      </c>
      <c r="AS22" s="33" t="str">
        <f t="shared" si="25"/>
        <v/>
      </c>
      <c r="AT22" s="38" t="str">
        <f t="shared" si="26"/>
        <v/>
      </c>
      <c r="AU22" s="33" t="str">
        <f t="shared" si="27"/>
        <v/>
      </c>
      <c r="AV22" s="38" t="str">
        <f t="shared" si="28"/>
        <v/>
      </c>
      <c r="AW22" s="43" t="str">
        <f t="shared" si="29"/>
        <v/>
      </c>
      <c r="BG22" s="53">
        <v>4</v>
      </c>
      <c r="BH22" s="38">
        <f t="shared" si="2"/>
        <v>0.25009584193453183</v>
      </c>
      <c r="BI22" s="43">
        <f t="shared" si="30"/>
        <v>6.2547930152942327E-2</v>
      </c>
    </row>
    <row r="23" spans="2:65" x14ac:dyDescent="0.25">
      <c r="B23" s="100"/>
      <c r="C23" s="70"/>
      <c r="D23" s="72"/>
      <c r="G23" s="53">
        <v>-3.7</v>
      </c>
      <c r="H23" s="42">
        <v>0.3</v>
      </c>
      <c r="I23" s="42">
        <f t="shared" si="3"/>
        <v>-4</v>
      </c>
      <c r="J23" s="42">
        <f t="shared" si="4"/>
        <v>-4.9000000000000004</v>
      </c>
      <c r="K23" s="43">
        <f t="shared" si="5"/>
        <v>24.010000000000005</v>
      </c>
      <c r="M23" s="53">
        <v>-3.8</v>
      </c>
      <c r="N23" s="33">
        <v>0.3</v>
      </c>
      <c r="O23" s="42">
        <f t="shared" si="6"/>
        <v>-4.0999999999999996</v>
      </c>
      <c r="P23" s="42">
        <f t="shared" si="7"/>
        <v>-5.0999999999999996</v>
      </c>
      <c r="Q23" s="43">
        <f t="shared" si="8"/>
        <v>26.009999999999998</v>
      </c>
      <c r="T23" s="53">
        <f t="shared" si="0"/>
        <v>-4</v>
      </c>
      <c r="U23" s="42">
        <f t="shared" si="1"/>
        <v>-4.9000000000000004</v>
      </c>
      <c r="V23" s="42">
        <f t="shared" si="9"/>
        <v>-4.0999999999999996</v>
      </c>
      <c r="W23" s="42">
        <f t="shared" si="10"/>
        <v>-5.0999999999999996</v>
      </c>
      <c r="X23" s="43">
        <f t="shared" si="11"/>
        <v>24.99</v>
      </c>
      <c r="AD23" s="32" t="str">
        <f t="shared" si="12"/>
        <v/>
      </c>
      <c r="AE23" s="38" t="str">
        <f t="shared" si="13"/>
        <v/>
      </c>
      <c r="AF23" s="38" t="str">
        <f t="shared" si="14"/>
        <v/>
      </c>
      <c r="AG23" s="33">
        <f t="shared" si="15"/>
        <v>-4.0999999999999996</v>
      </c>
      <c r="AH23" s="38">
        <f t="shared" si="16"/>
        <v>-1.4250000000000003</v>
      </c>
      <c r="AI23" s="43">
        <f t="shared" si="17"/>
        <v>2.0306250000000006</v>
      </c>
      <c r="AK23" s="32">
        <f t="shared" si="18"/>
        <v>14</v>
      </c>
      <c r="AL23" s="33" t="str">
        <f t="shared" si="19"/>
        <v/>
      </c>
      <c r="AM23" s="38" t="str">
        <f t="shared" si="20"/>
        <v/>
      </c>
      <c r="AN23" s="33" t="str">
        <f t="shared" si="21"/>
        <v/>
      </c>
      <c r="AO23" s="38" t="str">
        <f t="shared" si="22"/>
        <v/>
      </c>
      <c r="AP23" s="43" t="str">
        <f t="shared" si="23"/>
        <v/>
      </c>
      <c r="AR23" s="32">
        <f t="shared" si="24"/>
        <v>14</v>
      </c>
      <c r="AS23" s="33">
        <f t="shared" si="25"/>
        <v>-4</v>
      </c>
      <c r="AT23" s="38">
        <f t="shared" si="26"/>
        <v>-1.3416666666666668</v>
      </c>
      <c r="AU23" s="33">
        <f t="shared" si="27"/>
        <v>-4.0999999999999996</v>
      </c>
      <c r="AV23" s="38">
        <f t="shared" si="28"/>
        <v>-1.4250000000000003</v>
      </c>
      <c r="AW23" s="43">
        <f t="shared" si="29"/>
        <v>1.9118750000000004</v>
      </c>
      <c r="BG23" s="53">
        <v>-3.7</v>
      </c>
      <c r="BH23" s="38">
        <f t="shared" si="2"/>
        <v>0.10722992234345874</v>
      </c>
      <c r="BI23" s="43">
        <f t="shared" si="30"/>
        <v>1.1498256245784192E-2</v>
      </c>
    </row>
    <row r="24" spans="2:65" x14ac:dyDescent="0.25">
      <c r="B24" s="100"/>
      <c r="C24" s="70" t="s">
        <v>31</v>
      </c>
      <c r="D24" s="85">
        <f>SLOPE(G10:G45,M10:M45)</f>
        <v>0.9814459844686918</v>
      </c>
      <c r="G24" s="53">
        <v>-6.1</v>
      </c>
      <c r="H24" s="42">
        <v>0.3</v>
      </c>
      <c r="I24" s="42">
        <f t="shared" si="3"/>
        <v>-6.3999999999999995</v>
      </c>
      <c r="J24" s="42">
        <f t="shared" si="4"/>
        <v>-7.2999999999999989</v>
      </c>
      <c r="K24" s="43">
        <f t="shared" si="5"/>
        <v>53.289999999999985</v>
      </c>
      <c r="M24" s="53">
        <v>-6.2</v>
      </c>
      <c r="N24" s="33">
        <v>0.3</v>
      </c>
      <c r="O24" s="42">
        <f t="shared" si="6"/>
        <v>-6.5</v>
      </c>
      <c r="P24" s="42">
        <f t="shared" si="7"/>
        <v>-7.5</v>
      </c>
      <c r="Q24" s="43">
        <f t="shared" si="8"/>
        <v>56.25</v>
      </c>
      <c r="T24" s="53">
        <f t="shared" si="0"/>
        <v>-6.3999999999999995</v>
      </c>
      <c r="U24" s="42">
        <f t="shared" si="1"/>
        <v>-7.2999999999999989</v>
      </c>
      <c r="V24" s="42">
        <f t="shared" si="9"/>
        <v>-6.5</v>
      </c>
      <c r="W24" s="42">
        <f t="shared" si="10"/>
        <v>-7.5</v>
      </c>
      <c r="X24" s="43">
        <f t="shared" si="11"/>
        <v>54.749999999999993</v>
      </c>
      <c r="AD24" s="32" t="str">
        <f t="shared" si="12"/>
        <v/>
      </c>
      <c r="AE24" s="38" t="str">
        <f t="shared" si="13"/>
        <v/>
      </c>
      <c r="AF24" s="38" t="str">
        <f t="shared" si="14"/>
        <v/>
      </c>
      <c r="AG24" s="33">
        <f t="shared" si="15"/>
        <v>-6.5</v>
      </c>
      <c r="AH24" s="38">
        <f t="shared" si="16"/>
        <v>-3.8250000000000006</v>
      </c>
      <c r="AI24" s="43">
        <f t="shared" si="17"/>
        <v>14.630625000000006</v>
      </c>
      <c r="AK24" s="32">
        <f t="shared" si="18"/>
        <v>15</v>
      </c>
      <c r="AL24" s="33" t="str">
        <f t="shared" si="19"/>
        <v/>
      </c>
      <c r="AM24" s="38" t="str">
        <f t="shared" si="20"/>
        <v/>
      </c>
      <c r="AN24" s="33" t="str">
        <f t="shared" si="21"/>
        <v/>
      </c>
      <c r="AO24" s="38" t="str">
        <f t="shared" si="22"/>
        <v/>
      </c>
      <c r="AP24" s="43" t="str">
        <f t="shared" si="23"/>
        <v/>
      </c>
      <c r="AR24" s="32">
        <f t="shared" si="24"/>
        <v>15</v>
      </c>
      <c r="AS24" s="33">
        <f t="shared" si="25"/>
        <v>-6.3999999999999995</v>
      </c>
      <c r="AT24" s="38">
        <f t="shared" si="26"/>
        <v>-3.7416666666666663</v>
      </c>
      <c r="AU24" s="33">
        <f t="shared" si="27"/>
        <v>-6.5</v>
      </c>
      <c r="AV24" s="38">
        <f t="shared" si="28"/>
        <v>-3.8250000000000006</v>
      </c>
      <c r="AW24" s="43">
        <f t="shared" si="29"/>
        <v>14.311875000000001</v>
      </c>
      <c r="BG24" s="53">
        <v>-6.1</v>
      </c>
      <c r="BH24" s="38">
        <f t="shared" si="2"/>
        <v>6.2700285068319594E-2</v>
      </c>
      <c r="BI24" s="43">
        <f t="shared" si="30"/>
        <v>3.9313257476485414E-3</v>
      </c>
    </row>
    <row r="25" spans="2:65" x14ac:dyDescent="0.25">
      <c r="B25" s="100"/>
      <c r="C25" s="70"/>
      <c r="D25" s="72"/>
      <c r="G25" s="53">
        <v>1.4</v>
      </c>
      <c r="H25" s="42">
        <v>0.4</v>
      </c>
      <c r="I25" s="42">
        <f t="shared" si="3"/>
        <v>0.99999999999999989</v>
      </c>
      <c r="J25" s="42">
        <f t="shared" si="4"/>
        <v>9.9999999999999978E-2</v>
      </c>
      <c r="K25" s="43">
        <f t="shared" si="5"/>
        <v>9.999999999999995E-3</v>
      </c>
      <c r="M25" s="53">
        <v>1.5</v>
      </c>
      <c r="N25" s="33">
        <v>0.4</v>
      </c>
      <c r="O25" s="42">
        <f t="shared" si="6"/>
        <v>1.1000000000000001</v>
      </c>
      <c r="P25" s="42">
        <f t="shared" si="7"/>
        <v>9.9999999999999645E-2</v>
      </c>
      <c r="Q25" s="43">
        <f t="shared" si="8"/>
        <v>9.9999999999999291E-3</v>
      </c>
      <c r="T25" s="53">
        <f t="shared" si="0"/>
        <v>0.99999999999999989</v>
      </c>
      <c r="U25" s="42">
        <f t="shared" si="1"/>
        <v>9.9999999999999978E-2</v>
      </c>
      <c r="V25" s="42">
        <f t="shared" si="9"/>
        <v>1.1000000000000001</v>
      </c>
      <c r="W25" s="42">
        <f t="shared" si="10"/>
        <v>9.9999999999999645E-2</v>
      </c>
      <c r="X25" s="43">
        <f t="shared" si="11"/>
        <v>9.999999999999962E-3</v>
      </c>
      <c r="AD25" s="32">
        <f t="shared" si="12"/>
        <v>1.1000000000000001</v>
      </c>
      <c r="AE25" s="38">
        <f t="shared" si="13"/>
        <v>-1.7375000000000007</v>
      </c>
      <c r="AF25" s="38">
        <f t="shared" si="14"/>
        <v>3.0189062500000023</v>
      </c>
      <c r="AG25" s="33" t="str">
        <f t="shared" si="15"/>
        <v/>
      </c>
      <c r="AH25" s="38" t="str">
        <f t="shared" si="16"/>
        <v/>
      </c>
      <c r="AI25" s="43" t="str">
        <f t="shared" si="17"/>
        <v/>
      </c>
      <c r="AK25" s="32">
        <f t="shared" si="18"/>
        <v>16</v>
      </c>
      <c r="AL25" s="33">
        <f t="shared" si="19"/>
        <v>0.99999999999999989</v>
      </c>
      <c r="AM25" s="38">
        <f t="shared" si="20"/>
        <v>-1.6791666666666671</v>
      </c>
      <c r="AN25" s="33">
        <f t="shared" si="21"/>
        <v>1.1000000000000001</v>
      </c>
      <c r="AO25" s="38">
        <f t="shared" si="22"/>
        <v>-1.7375000000000007</v>
      </c>
      <c r="AP25" s="43">
        <f t="shared" si="23"/>
        <v>2.9175520833333355</v>
      </c>
      <c r="AR25" s="32">
        <f t="shared" si="24"/>
        <v>16</v>
      </c>
      <c r="AS25" s="33" t="str">
        <f t="shared" si="25"/>
        <v/>
      </c>
      <c r="AT25" s="38" t="str">
        <f t="shared" si="26"/>
        <v/>
      </c>
      <c r="AU25" s="33" t="str">
        <f t="shared" si="27"/>
        <v/>
      </c>
      <c r="AV25" s="38" t="str">
        <f t="shared" si="28"/>
        <v/>
      </c>
      <c r="AW25" s="43" t="str">
        <f t="shared" si="29"/>
        <v/>
      </c>
      <c r="BG25" s="53">
        <v>1.4</v>
      </c>
      <c r="BH25" s="38">
        <f t="shared" si="2"/>
        <v>5.566204659392282E-3</v>
      </c>
      <c r="BI25" s="43">
        <f t="shared" si="30"/>
        <v>3.0982634310240349E-5</v>
      </c>
    </row>
    <row r="26" spans="2:65" ht="15.75" thickBot="1" x14ac:dyDescent="0.3">
      <c r="B26" s="103"/>
      <c r="C26" s="74" t="s">
        <v>32</v>
      </c>
      <c r="D26" s="81">
        <f>INTERCEPT(G10:G45,M10:M45)</f>
        <v>-7.7735181362430072E-2</v>
      </c>
      <c r="G26" s="53">
        <v>-4.9000000000000004</v>
      </c>
      <c r="H26" s="42">
        <v>0.2</v>
      </c>
      <c r="I26" s="42">
        <f t="shared" si="3"/>
        <v>-5.1000000000000005</v>
      </c>
      <c r="J26" s="42">
        <f t="shared" si="4"/>
        <v>-6</v>
      </c>
      <c r="K26" s="43">
        <f t="shared" si="5"/>
        <v>36</v>
      </c>
      <c r="M26" s="53">
        <v>-4.8</v>
      </c>
      <c r="N26" s="33">
        <v>0.2</v>
      </c>
      <c r="O26" s="42">
        <f t="shared" si="6"/>
        <v>-5</v>
      </c>
      <c r="P26" s="42">
        <f t="shared" si="7"/>
        <v>-6</v>
      </c>
      <c r="Q26" s="43">
        <f t="shared" si="8"/>
        <v>36</v>
      </c>
      <c r="T26" s="53">
        <f t="shared" si="0"/>
        <v>-5.1000000000000005</v>
      </c>
      <c r="U26" s="42">
        <f t="shared" si="1"/>
        <v>-6</v>
      </c>
      <c r="V26" s="42">
        <f t="shared" si="9"/>
        <v>-5</v>
      </c>
      <c r="W26" s="42">
        <f t="shared" si="10"/>
        <v>-6</v>
      </c>
      <c r="X26" s="43">
        <f t="shared" si="11"/>
        <v>36</v>
      </c>
      <c r="AD26" s="32" t="str">
        <f t="shared" si="12"/>
        <v/>
      </c>
      <c r="AE26" s="38" t="str">
        <f t="shared" si="13"/>
        <v/>
      </c>
      <c r="AF26" s="38" t="str">
        <f t="shared" si="14"/>
        <v/>
      </c>
      <c r="AG26" s="33">
        <f t="shared" si="15"/>
        <v>-5</v>
      </c>
      <c r="AH26" s="38">
        <f t="shared" si="16"/>
        <v>-2.3250000000000006</v>
      </c>
      <c r="AI26" s="43">
        <f t="shared" si="17"/>
        <v>5.4056250000000032</v>
      </c>
      <c r="AK26" s="32">
        <f t="shared" si="18"/>
        <v>17</v>
      </c>
      <c r="AL26" s="33" t="str">
        <f t="shared" si="19"/>
        <v/>
      </c>
      <c r="AM26" s="38" t="str">
        <f t="shared" si="20"/>
        <v/>
      </c>
      <c r="AN26" s="33" t="str">
        <f t="shared" si="21"/>
        <v/>
      </c>
      <c r="AO26" s="38" t="str">
        <f t="shared" si="22"/>
        <v/>
      </c>
      <c r="AP26" s="43" t="str">
        <f t="shared" si="23"/>
        <v/>
      </c>
      <c r="AR26" s="32">
        <f t="shared" si="24"/>
        <v>17</v>
      </c>
      <c r="AS26" s="33">
        <f t="shared" si="25"/>
        <v>-5.1000000000000005</v>
      </c>
      <c r="AT26" s="38">
        <f t="shared" si="26"/>
        <v>-2.4416666666666673</v>
      </c>
      <c r="AU26" s="33">
        <f t="shared" si="27"/>
        <v>-5</v>
      </c>
      <c r="AV26" s="38">
        <f t="shared" si="28"/>
        <v>-2.3250000000000006</v>
      </c>
      <c r="AW26" s="43">
        <f t="shared" si="29"/>
        <v>5.6768750000000034</v>
      </c>
      <c r="BG26" s="53">
        <v>-4.9000000000000004</v>
      </c>
      <c r="BH26" s="38">
        <f t="shared" si="2"/>
        <v>-0.11132409318785008</v>
      </c>
      <c r="BI26" s="43">
        <f t="shared" si="30"/>
        <v>1.2393053724097129E-2</v>
      </c>
    </row>
    <row r="27" spans="2:65" x14ac:dyDescent="0.25">
      <c r="G27" s="53">
        <v>-2.1</v>
      </c>
      <c r="H27" s="42">
        <v>0.2</v>
      </c>
      <c r="I27" s="42">
        <f t="shared" si="3"/>
        <v>-2.3000000000000003</v>
      </c>
      <c r="J27" s="42">
        <f t="shared" si="4"/>
        <v>-3.2</v>
      </c>
      <c r="K27" s="43">
        <f t="shared" si="5"/>
        <v>10.240000000000002</v>
      </c>
      <c r="M27" s="53">
        <v>-2</v>
      </c>
      <c r="N27" s="33">
        <v>0.2</v>
      </c>
      <c r="O27" s="42">
        <f t="shared" si="6"/>
        <v>-2.2000000000000002</v>
      </c>
      <c r="P27" s="42">
        <f t="shared" si="7"/>
        <v>-3.2000000000000006</v>
      </c>
      <c r="Q27" s="43">
        <f t="shared" si="8"/>
        <v>10.240000000000004</v>
      </c>
      <c r="T27" s="53">
        <f t="shared" si="0"/>
        <v>-2.3000000000000003</v>
      </c>
      <c r="U27" s="42">
        <f t="shared" si="1"/>
        <v>-3.2</v>
      </c>
      <c r="V27" s="42">
        <f t="shared" si="9"/>
        <v>-2.2000000000000002</v>
      </c>
      <c r="W27" s="42">
        <f t="shared" si="10"/>
        <v>-3.2000000000000006</v>
      </c>
      <c r="X27" s="43">
        <f t="shared" si="11"/>
        <v>10.240000000000002</v>
      </c>
      <c r="AD27" s="32" t="str">
        <f t="shared" si="12"/>
        <v/>
      </c>
      <c r="AE27" s="38" t="str">
        <f t="shared" si="13"/>
        <v/>
      </c>
      <c r="AF27" s="38" t="str">
        <f t="shared" si="14"/>
        <v/>
      </c>
      <c r="AG27" s="33">
        <f t="shared" si="15"/>
        <v>-2.2000000000000002</v>
      </c>
      <c r="AH27" s="38">
        <f t="shared" si="16"/>
        <v>0.4749999999999992</v>
      </c>
      <c r="AI27" s="43">
        <f t="shared" si="17"/>
        <v>0.22562499999999924</v>
      </c>
      <c r="AK27" s="32">
        <f t="shared" si="18"/>
        <v>18</v>
      </c>
      <c r="AL27" s="33" t="str">
        <f t="shared" si="19"/>
        <v/>
      </c>
      <c r="AM27" s="38" t="str">
        <f t="shared" si="20"/>
        <v/>
      </c>
      <c r="AN27" s="33" t="str">
        <f t="shared" si="21"/>
        <v/>
      </c>
      <c r="AO27" s="38" t="str">
        <f t="shared" si="22"/>
        <v/>
      </c>
      <c r="AP27" s="43" t="str">
        <f t="shared" si="23"/>
        <v/>
      </c>
      <c r="AR27" s="32">
        <f t="shared" si="24"/>
        <v>18</v>
      </c>
      <c r="AS27" s="33">
        <f t="shared" si="25"/>
        <v>-2.3000000000000003</v>
      </c>
      <c r="AT27" s="38">
        <f t="shared" si="26"/>
        <v>0.35833333333333295</v>
      </c>
      <c r="AU27" s="33">
        <f t="shared" si="27"/>
        <v>-2.2000000000000002</v>
      </c>
      <c r="AV27" s="38">
        <f t="shared" si="28"/>
        <v>0.4749999999999992</v>
      </c>
      <c r="AW27" s="43">
        <f t="shared" si="29"/>
        <v>0.17020833333333285</v>
      </c>
      <c r="BG27" s="53">
        <v>-2.1</v>
      </c>
      <c r="BH27" s="38">
        <f t="shared" si="2"/>
        <v>-5.9372849700186414E-2</v>
      </c>
      <c r="BI27" s="43">
        <f t="shared" si="30"/>
        <v>3.5251352815209259E-3</v>
      </c>
    </row>
    <row r="28" spans="2:65" x14ac:dyDescent="0.25">
      <c r="G28" s="53">
        <v>6.2</v>
      </c>
      <c r="H28" s="42">
        <v>0.2</v>
      </c>
      <c r="I28" s="42">
        <f t="shared" si="3"/>
        <v>6</v>
      </c>
      <c r="J28" s="42">
        <f t="shared" si="4"/>
        <v>5.0999999999999996</v>
      </c>
      <c r="K28" s="43">
        <f t="shared" si="5"/>
        <v>26.009999999999998</v>
      </c>
      <c r="M28" s="53">
        <v>6.0000000000000053</v>
      </c>
      <c r="N28" s="33">
        <v>0.2</v>
      </c>
      <c r="O28" s="42">
        <f t="shared" si="6"/>
        <v>5.8000000000000052</v>
      </c>
      <c r="P28" s="42">
        <f t="shared" si="7"/>
        <v>4.8000000000000043</v>
      </c>
      <c r="Q28" s="43">
        <f t="shared" si="8"/>
        <v>23.040000000000042</v>
      </c>
      <c r="T28" s="53">
        <f t="shared" si="0"/>
        <v>6</v>
      </c>
      <c r="U28" s="42">
        <f t="shared" si="1"/>
        <v>5.0999999999999996</v>
      </c>
      <c r="V28" s="42">
        <f t="shared" si="9"/>
        <v>5.8000000000000052</v>
      </c>
      <c r="W28" s="42">
        <f t="shared" si="10"/>
        <v>4.8000000000000043</v>
      </c>
      <c r="X28" s="43">
        <f t="shared" si="11"/>
        <v>24.480000000000022</v>
      </c>
      <c r="AD28" s="32">
        <f t="shared" si="12"/>
        <v>5.8000000000000052</v>
      </c>
      <c r="AE28" s="38">
        <f t="shared" si="13"/>
        <v>2.9625000000000044</v>
      </c>
      <c r="AF28" s="38">
        <f t="shared" si="14"/>
        <v>8.7764062500000257</v>
      </c>
      <c r="AG28" s="33" t="str">
        <f t="shared" si="15"/>
        <v/>
      </c>
      <c r="AH28" s="38" t="str">
        <f t="shared" si="16"/>
        <v/>
      </c>
      <c r="AI28" s="43" t="str">
        <f t="shared" si="17"/>
        <v/>
      </c>
      <c r="AK28" s="32">
        <f t="shared" si="18"/>
        <v>19</v>
      </c>
      <c r="AL28" s="33">
        <f t="shared" si="19"/>
        <v>6</v>
      </c>
      <c r="AM28" s="38">
        <f t="shared" si="20"/>
        <v>3.3208333333333329</v>
      </c>
      <c r="AN28" s="33">
        <f t="shared" si="21"/>
        <v>5.8000000000000052</v>
      </c>
      <c r="AO28" s="38">
        <f t="shared" si="22"/>
        <v>2.9625000000000044</v>
      </c>
      <c r="AP28" s="43">
        <f t="shared" si="23"/>
        <v>9.8379687500000124</v>
      </c>
      <c r="AR28" s="32">
        <f t="shared" si="24"/>
        <v>19</v>
      </c>
      <c r="AS28" s="33" t="str">
        <f t="shared" si="25"/>
        <v/>
      </c>
      <c r="AT28" s="38" t="str">
        <f t="shared" si="26"/>
        <v/>
      </c>
      <c r="AU28" s="33" t="str">
        <f t="shared" si="27"/>
        <v/>
      </c>
      <c r="AV28" s="38" t="str">
        <f t="shared" si="28"/>
        <v/>
      </c>
      <c r="AW28" s="43" t="str">
        <f t="shared" si="29"/>
        <v/>
      </c>
      <c r="BG28" s="53">
        <v>6.2</v>
      </c>
      <c r="BH28" s="38">
        <f t="shared" si="2"/>
        <v>0.38905927455027456</v>
      </c>
      <c r="BI28" s="43">
        <f t="shared" si="30"/>
        <v>0.15136711911358591</v>
      </c>
    </row>
    <row r="29" spans="2:65" x14ac:dyDescent="0.25">
      <c r="G29" s="53">
        <v>5.8</v>
      </c>
      <c r="H29" s="42">
        <v>0.1</v>
      </c>
      <c r="I29" s="42">
        <f t="shared" si="3"/>
        <v>5.7</v>
      </c>
      <c r="J29" s="42">
        <f t="shared" si="4"/>
        <v>4.8000000000000007</v>
      </c>
      <c r="K29" s="43">
        <f t="shared" si="5"/>
        <v>23.040000000000006</v>
      </c>
      <c r="M29" s="53">
        <v>5.6</v>
      </c>
      <c r="N29" s="33">
        <v>0.1</v>
      </c>
      <c r="O29" s="42">
        <f t="shared" si="6"/>
        <v>5.5</v>
      </c>
      <c r="P29" s="42">
        <f t="shared" si="7"/>
        <v>4.5</v>
      </c>
      <c r="Q29" s="43">
        <f t="shared" si="8"/>
        <v>20.25</v>
      </c>
      <c r="T29" s="53">
        <f t="shared" si="0"/>
        <v>5.7</v>
      </c>
      <c r="U29" s="42">
        <f t="shared" si="1"/>
        <v>4.8000000000000007</v>
      </c>
      <c r="V29" s="42">
        <f t="shared" si="9"/>
        <v>5.5</v>
      </c>
      <c r="W29" s="42">
        <f t="shared" si="10"/>
        <v>4.5</v>
      </c>
      <c r="X29" s="43">
        <f t="shared" si="11"/>
        <v>21.6</v>
      </c>
      <c r="AD29" s="32">
        <f t="shared" si="12"/>
        <v>5.5</v>
      </c>
      <c r="AE29" s="38">
        <f t="shared" si="13"/>
        <v>2.6624999999999992</v>
      </c>
      <c r="AF29" s="38">
        <f t="shared" si="14"/>
        <v>7.0889062499999955</v>
      </c>
      <c r="AG29" s="33" t="str">
        <f t="shared" si="15"/>
        <v/>
      </c>
      <c r="AH29" s="38" t="str">
        <f t="shared" si="16"/>
        <v/>
      </c>
      <c r="AI29" s="43" t="str">
        <f t="shared" si="17"/>
        <v/>
      </c>
      <c r="AK29" s="32">
        <f t="shared" si="18"/>
        <v>20</v>
      </c>
      <c r="AL29" s="33">
        <f t="shared" si="19"/>
        <v>5.7</v>
      </c>
      <c r="AM29" s="38">
        <f t="shared" si="20"/>
        <v>3.020833333333333</v>
      </c>
      <c r="AN29" s="33">
        <f t="shared" si="21"/>
        <v>5.5</v>
      </c>
      <c r="AO29" s="38">
        <f t="shared" si="22"/>
        <v>2.6624999999999992</v>
      </c>
      <c r="AP29" s="43">
        <f t="shared" si="23"/>
        <v>8.0429687499999964</v>
      </c>
      <c r="AR29" s="32">
        <f t="shared" si="24"/>
        <v>20</v>
      </c>
      <c r="AS29" s="33" t="str">
        <f t="shared" si="25"/>
        <v/>
      </c>
      <c r="AT29" s="38" t="str">
        <f t="shared" si="26"/>
        <v/>
      </c>
      <c r="AU29" s="33" t="str">
        <f t="shared" si="27"/>
        <v/>
      </c>
      <c r="AV29" s="38" t="str">
        <f t="shared" si="28"/>
        <v/>
      </c>
      <c r="AW29" s="43" t="str">
        <f t="shared" si="29"/>
        <v/>
      </c>
      <c r="BG29" s="53">
        <v>5.8</v>
      </c>
      <c r="BH29" s="38">
        <f t="shared" si="2"/>
        <v>0.38163766833775625</v>
      </c>
      <c r="BI29" s="43">
        <f t="shared" si="30"/>
        <v>0.14564730989427924</v>
      </c>
    </row>
    <row r="30" spans="2:65" x14ac:dyDescent="0.25">
      <c r="G30" s="53">
        <v>-6.4</v>
      </c>
      <c r="H30" s="42">
        <v>0.1</v>
      </c>
      <c r="I30" s="42">
        <f t="shared" si="3"/>
        <v>-6.5</v>
      </c>
      <c r="J30" s="42">
        <f t="shared" si="4"/>
        <v>-7.4</v>
      </c>
      <c r="K30" s="43">
        <f t="shared" si="5"/>
        <v>54.760000000000005</v>
      </c>
      <c r="M30" s="53">
        <v>-6.7</v>
      </c>
      <c r="N30" s="33">
        <v>0.1</v>
      </c>
      <c r="O30" s="42">
        <f t="shared" si="6"/>
        <v>-6.8</v>
      </c>
      <c r="P30" s="42">
        <f t="shared" si="7"/>
        <v>-7.8000000000000007</v>
      </c>
      <c r="Q30" s="43">
        <f t="shared" si="8"/>
        <v>60.840000000000011</v>
      </c>
      <c r="T30" s="53">
        <f t="shared" si="0"/>
        <v>-6.5</v>
      </c>
      <c r="U30" s="42">
        <f t="shared" si="1"/>
        <v>-7.4</v>
      </c>
      <c r="V30" s="42">
        <f t="shared" si="9"/>
        <v>-6.8</v>
      </c>
      <c r="W30" s="42">
        <f t="shared" si="10"/>
        <v>-7.8000000000000007</v>
      </c>
      <c r="X30" s="43">
        <f t="shared" si="11"/>
        <v>57.720000000000006</v>
      </c>
      <c r="AD30" s="32" t="str">
        <f t="shared" si="12"/>
        <v/>
      </c>
      <c r="AE30" s="38" t="str">
        <f t="shared" si="13"/>
        <v/>
      </c>
      <c r="AF30" s="38" t="str">
        <f t="shared" si="14"/>
        <v/>
      </c>
      <c r="AG30" s="33">
        <f t="shared" si="15"/>
        <v>-6.8</v>
      </c>
      <c r="AH30" s="38">
        <f t="shared" si="16"/>
        <v>-4.125</v>
      </c>
      <c r="AI30" s="43">
        <f t="shared" si="17"/>
        <v>17.015625</v>
      </c>
      <c r="AK30" s="32">
        <f t="shared" si="18"/>
        <v>21</v>
      </c>
      <c r="AL30" s="33" t="str">
        <f t="shared" si="19"/>
        <v/>
      </c>
      <c r="AM30" s="38" t="str">
        <f t="shared" si="20"/>
        <v/>
      </c>
      <c r="AN30" s="33" t="str">
        <f t="shared" si="21"/>
        <v/>
      </c>
      <c r="AO30" s="38" t="str">
        <f t="shared" si="22"/>
        <v/>
      </c>
      <c r="AP30" s="43" t="str">
        <f t="shared" si="23"/>
        <v/>
      </c>
      <c r="AR30" s="32">
        <f t="shared" si="24"/>
        <v>21</v>
      </c>
      <c r="AS30" s="33">
        <f t="shared" si="25"/>
        <v>-6.5</v>
      </c>
      <c r="AT30" s="38">
        <f t="shared" si="26"/>
        <v>-3.8416666666666668</v>
      </c>
      <c r="AU30" s="33">
        <f t="shared" si="27"/>
        <v>-6.8</v>
      </c>
      <c r="AV30" s="38">
        <f t="shared" si="28"/>
        <v>-4.125</v>
      </c>
      <c r="AW30" s="43">
        <f t="shared" si="29"/>
        <v>15.846875000000001</v>
      </c>
      <c r="BG30" s="53">
        <v>-6.4</v>
      </c>
      <c r="BH30" s="38">
        <f t="shared" si="2"/>
        <v>0.25342327730266412</v>
      </c>
      <c r="BI30" s="43">
        <f t="shared" si="30"/>
        <v>6.422335747882299E-2</v>
      </c>
    </row>
    <row r="31" spans="2:65" x14ac:dyDescent="0.25">
      <c r="G31" s="53">
        <v>1.7</v>
      </c>
      <c r="H31" s="42">
        <v>0.1</v>
      </c>
      <c r="I31" s="42">
        <f t="shared" si="3"/>
        <v>1.5999999999999999</v>
      </c>
      <c r="J31" s="42">
        <f t="shared" si="4"/>
        <v>0.7</v>
      </c>
      <c r="K31" s="43">
        <f t="shared" si="5"/>
        <v>0.48999999999999994</v>
      </c>
      <c r="M31" s="53">
        <v>1.9</v>
      </c>
      <c r="N31" s="33">
        <v>0.1</v>
      </c>
      <c r="O31" s="42">
        <f t="shared" si="6"/>
        <v>1.7999999999999998</v>
      </c>
      <c r="P31" s="42">
        <f t="shared" si="7"/>
        <v>0.79999999999999938</v>
      </c>
      <c r="Q31" s="43">
        <f t="shared" si="8"/>
        <v>0.63999999999999901</v>
      </c>
      <c r="T31" s="53">
        <f t="shared" si="0"/>
        <v>1.5999999999999999</v>
      </c>
      <c r="U31" s="42">
        <f t="shared" si="1"/>
        <v>0.7</v>
      </c>
      <c r="V31" s="42">
        <f t="shared" si="9"/>
        <v>1.7999999999999998</v>
      </c>
      <c r="W31" s="42">
        <f t="shared" si="10"/>
        <v>0.79999999999999938</v>
      </c>
      <c r="X31" s="43">
        <f t="shared" si="11"/>
        <v>0.5599999999999995</v>
      </c>
      <c r="AD31" s="32">
        <f t="shared" si="12"/>
        <v>1.7999999999999998</v>
      </c>
      <c r="AE31" s="38">
        <f t="shared" si="13"/>
        <v>-1.037500000000001</v>
      </c>
      <c r="AF31" s="38">
        <f t="shared" si="14"/>
        <v>1.076406250000002</v>
      </c>
      <c r="AG31" s="33" t="str">
        <f t="shared" si="15"/>
        <v/>
      </c>
      <c r="AH31" s="38" t="str">
        <f t="shared" si="16"/>
        <v/>
      </c>
      <c r="AI31" s="43" t="str">
        <f t="shared" si="17"/>
        <v/>
      </c>
      <c r="AK31" s="32">
        <f t="shared" si="18"/>
        <v>22</v>
      </c>
      <c r="AL31" s="33">
        <f t="shared" si="19"/>
        <v>1.5999999999999999</v>
      </c>
      <c r="AM31" s="38">
        <f t="shared" si="20"/>
        <v>-1.0791666666666673</v>
      </c>
      <c r="AN31" s="33">
        <f t="shared" si="21"/>
        <v>1.7999999999999998</v>
      </c>
      <c r="AO31" s="38">
        <f t="shared" si="22"/>
        <v>-1.037500000000001</v>
      </c>
      <c r="AP31" s="43">
        <f t="shared" si="23"/>
        <v>1.1196354166666684</v>
      </c>
      <c r="AR31" s="32">
        <f t="shared" si="24"/>
        <v>22</v>
      </c>
      <c r="AS31" s="33" t="str">
        <f t="shared" si="25"/>
        <v/>
      </c>
      <c r="AT31" s="38" t="str">
        <f t="shared" si="26"/>
        <v/>
      </c>
      <c r="AU31" s="33" t="str">
        <f t="shared" si="27"/>
        <v/>
      </c>
      <c r="AV31" s="38" t="str">
        <f t="shared" si="28"/>
        <v/>
      </c>
      <c r="AW31" s="43" t="str">
        <f t="shared" si="29"/>
        <v/>
      </c>
      <c r="BG31" s="53">
        <v>1.7</v>
      </c>
      <c r="BH31" s="38">
        <f t="shared" si="2"/>
        <v>-8.7012189128084394E-2</v>
      </c>
      <c r="BI31" s="43">
        <f t="shared" si="30"/>
        <v>7.5711210568615277E-3</v>
      </c>
    </row>
    <row r="32" spans="2:65" x14ac:dyDescent="0.25">
      <c r="G32" s="53">
        <v>-0.4</v>
      </c>
      <c r="H32" s="42">
        <v>0.1</v>
      </c>
      <c r="I32" s="42">
        <f t="shared" si="3"/>
        <v>-0.5</v>
      </c>
      <c r="J32" s="42">
        <f t="shared" si="4"/>
        <v>-1.4</v>
      </c>
      <c r="K32" s="43">
        <f t="shared" si="5"/>
        <v>1.9599999999999997</v>
      </c>
      <c r="M32" s="53">
        <v>-0.3</v>
      </c>
      <c r="N32" s="33">
        <v>0.1</v>
      </c>
      <c r="O32" s="42">
        <f t="shared" si="6"/>
        <v>-0.4</v>
      </c>
      <c r="P32" s="42">
        <f t="shared" si="7"/>
        <v>-1.4000000000000004</v>
      </c>
      <c r="Q32" s="43">
        <f t="shared" si="8"/>
        <v>1.9600000000000011</v>
      </c>
      <c r="T32" s="53">
        <f t="shared" si="0"/>
        <v>-0.5</v>
      </c>
      <c r="U32" s="42">
        <f t="shared" si="1"/>
        <v>-1.4</v>
      </c>
      <c r="V32" s="42">
        <f t="shared" si="9"/>
        <v>-0.4</v>
      </c>
      <c r="W32" s="42">
        <f t="shared" si="10"/>
        <v>-1.4000000000000004</v>
      </c>
      <c r="X32" s="43">
        <f t="shared" si="11"/>
        <v>1.9600000000000004</v>
      </c>
      <c r="AD32" s="32" t="str">
        <f t="shared" si="12"/>
        <v/>
      </c>
      <c r="AE32" s="38" t="str">
        <f t="shared" si="13"/>
        <v/>
      </c>
      <c r="AF32" s="38" t="str">
        <f t="shared" si="14"/>
        <v/>
      </c>
      <c r="AG32" s="33">
        <f t="shared" si="15"/>
        <v>-0.4</v>
      </c>
      <c r="AH32" s="38">
        <f t="shared" si="16"/>
        <v>2.2749999999999995</v>
      </c>
      <c r="AI32" s="43">
        <f t="shared" si="17"/>
        <v>5.1756249999999975</v>
      </c>
      <c r="AK32" s="32">
        <f t="shared" si="18"/>
        <v>23</v>
      </c>
      <c r="AL32" s="33" t="str">
        <f t="shared" si="19"/>
        <v/>
      </c>
      <c r="AM32" s="38" t="str">
        <f t="shared" si="20"/>
        <v/>
      </c>
      <c r="AN32" s="33" t="str">
        <f t="shared" si="21"/>
        <v/>
      </c>
      <c r="AO32" s="38" t="str">
        <f t="shared" si="22"/>
        <v/>
      </c>
      <c r="AP32" s="43" t="str">
        <f t="shared" si="23"/>
        <v/>
      </c>
      <c r="AR32" s="32">
        <f t="shared" si="24"/>
        <v>23</v>
      </c>
      <c r="AS32" s="33">
        <f t="shared" si="25"/>
        <v>-0.5</v>
      </c>
      <c r="AT32" s="38">
        <f t="shared" si="26"/>
        <v>2.1583333333333332</v>
      </c>
      <c r="AU32" s="33">
        <f t="shared" si="27"/>
        <v>-0.4</v>
      </c>
      <c r="AV32" s="38">
        <f t="shared" si="28"/>
        <v>2.2749999999999995</v>
      </c>
      <c r="AW32" s="43">
        <f t="shared" si="29"/>
        <v>4.9102083333333315</v>
      </c>
      <c r="BG32" s="53">
        <v>-0.4</v>
      </c>
      <c r="BH32" s="38">
        <f t="shared" si="2"/>
        <v>-2.7831023296962409E-2</v>
      </c>
      <c r="BI32" s="43">
        <f t="shared" si="30"/>
        <v>7.7456585775606437E-4</v>
      </c>
    </row>
    <row r="33" spans="7:61" x14ac:dyDescent="0.25">
      <c r="G33" s="53">
        <v>-0.2</v>
      </c>
      <c r="H33" s="42">
        <v>0.1</v>
      </c>
      <c r="I33" s="42">
        <f t="shared" si="3"/>
        <v>-0.30000000000000004</v>
      </c>
      <c r="J33" s="42">
        <f t="shared" si="4"/>
        <v>-1.2</v>
      </c>
      <c r="K33" s="43">
        <f t="shared" si="5"/>
        <v>1.44</v>
      </c>
      <c r="M33" s="53">
        <v>-0.1</v>
      </c>
      <c r="N33" s="33">
        <v>0.1</v>
      </c>
      <c r="O33" s="42">
        <f t="shared" si="6"/>
        <v>-0.2</v>
      </c>
      <c r="P33" s="42">
        <f t="shared" si="7"/>
        <v>-1.2000000000000004</v>
      </c>
      <c r="Q33" s="43">
        <f t="shared" si="8"/>
        <v>1.4400000000000011</v>
      </c>
      <c r="T33" s="53">
        <f t="shared" si="0"/>
        <v>-0.30000000000000004</v>
      </c>
      <c r="U33" s="42">
        <f t="shared" si="1"/>
        <v>-1.2</v>
      </c>
      <c r="V33" s="42">
        <f t="shared" si="9"/>
        <v>-0.2</v>
      </c>
      <c r="W33" s="42">
        <f t="shared" si="10"/>
        <v>-1.2000000000000004</v>
      </c>
      <c r="X33" s="43">
        <f t="shared" si="11"/>
        <v>1.4400000000000004</v>
      </c>
      <c r="AD33" s="32" t="str">
        <f t="shared" si="12"/>
        <v/>
      </c>
      <c r="AE33" s="38" t="str">
        <f t="shared" si="13"/>
        <v/>
      </c>
      <c r="AF33" s="38" t="str">
        <f t="shared" si="14"/>
        <v/>
      </c>
      <c r="AG33" s="33">
        <f t="shared" si="15"/>
        <v>-0.2</v>
      </c>
      <c r="AH33" s="38">
        <f t="shared" si="16"/>
        <v>2.4749999999999992</v>
      </c>
      <c r="AI33" s="43">
        <f t="shared" si="17"/>
        <v>6.1256249999999959</v>
      </c>
      <c r="AK33" s="32">
        <f t="shared" si="18"/>
        <v>24</v>
      </c>
      <c r="AL33" s="33" t="str">
        <f t="shared" si="19"/>
        <v/>
      </c>
      <c r="AM33" s="38" t="str">
        <f t="shared" si="20"/>
        <v/>
      </c>
      <c r="AN33" s="33" t="str">
        <f t="shared" si="21"/>
        <v/>
      </c>
      <c r="AO33" s="38" t="str">
        <f t="shared" si="22"/>
        <v/>
      </c>
      <c r="AP33" s="43" t="str">
        <f t="shared" si="23"/>
        <v/>
      </c>
      <c r="AR33" s="32">
        <f t="shared" si="24"/>
        <v>24</v>
      </c>
      <c r="AS33" s="33">
        <f t="shared" si="25"/>
        <v>-0.30000000000000004</v>
      </c>
      <c r="AT33" s="38">
        <f t="shared" si="26"/>
        <v>2.3583333333333334</v>
      </c>
      <c r="AU33" s="33">
        <f t="shared" si="27"/>
        <v>-0.2</v>
      </c>
      <c r="AV33" s="38">
        <f t="shared" si="28"/>
        <v>2.4749999999999992</v>
      </c>
      <c r="AW33" s="43">
        <f t="shared" si="29"/>
        <v>5.8368749999999983</v>
      </c>
      <c r="BG33" s="53">
        <v>-0.2</v>
      </c>
      <c r="BH33" s="38">
        <f t="shared" si="2"/>
        <v>-2.4120220190700759E-2</v>
      </c>
      <c r="BI33" s="43">
        <f t="shared" si="30"/>
        <v>5.817850220478885E-4</v>
      </c>
    </row>
    <row r="34" spans="7:61" x14ac:dyDescent="0.25">
      <c r="G34" s="53">
        <v>-2.1</v>
      </c>
      <c r="H34" s="42">
        <v>0.1</v>
      </c>
      <c r="I34" s="42">
        <f t="shared" si="3"/>
        <v>-2.2000000000000002</v>
      </c>
      <c r="J34" s="42">
        <f t="shared" si="4"/>
        <v>-3.1</v>
      </c>
      <c r="K34" s="43">
        <f t="shared" si="5"/>
        <v>9.6100000000000012</v>
      </c>
      <c r="M34" s="53">
        <v>-2.6</v>
      </c>
      <c r="N34" s="33">
        <v>0.1</v>
      </c>
      <c r="O34" s="42">
        <f t="shared" si="6"/>
        <v>-2.7</v>
      </c>
      <c r="P34" s="42">
        <f t="shared" si="7"/>
        <v>-3.7000000000000006</v>
      </c>
      <c r="Q34" s="43">
        <f t="shared" si="8"/>
        <v>13.690000000000005</v>
      </c>
      <c r="T34" s="53">
        <f t="shared" si="0"/>
        <v>-2.2000000000000002</v>
      </c>
      <c r="U34" s="42">
        <f t="shared" si="1"/>
        <v>-3.1</v>
      </c>
      <c r="V34" s="42">
        <f t="shared" si="9"/>
        <v>-2.7</v>
      </c>
      <c r="W34" s="42">
        <f t="shared" si="10"/>
        <v>-3.7000000000000006</v>
      </c>
      <c r="X34" s="43">
        <f t="shared" si="11"/>
        <v>11.470000000000002</v>
      </c>
      <c r="AD34" s="32" t="str">
        <f t="shared" si="12"/>
        <v/>
      </c>
      <c r="AE34" s="38" t="str">
        <f t="shared" si="13"/>
        <v/>
      </c>
      <c r="AF34" s="38" t="str">
        <f t="shared" si="14"/>
        <v/>
      </c>
      <c r="AG34" s="33">
        <f t="shared" si="15"/>
        <v>-2.7</v>
      </c>
      <c r="AH34" s="38">
        <f t="shared" si="16"/>
        <v>-2.5000000000000799E-2</v>
      </c>
      <c r="AI34" s="43">
        <f t="shared" si="17"/>
        <v>6.2500000000004002E-4</v>
      </c>
      <c r="AK34" s="32">
        <f t="shared" si="18"/>
        <v>25</v>
      </c>
      <c r="AL34" s="33" t="str">
        <f t="shared" si="19"/>
        <v/>
      </c>
      <c r="AM34" s="38" t="str">
        <f t="shared" si="20"/>
        <v/>
      </c>
      <c r="AN34" s="33" t="str">
        <f t="shared" si="21"/>
        <v/>
      </c>
      <c r="AO34" s="38" t="str">
        <f t="shared" si="22"/>
        <v/>
      </c>
      <c r="AP34" s="43" t="str">
        <f t="shared" si="23"/>
        <v/>
      </c>
      <c r="AR34" s="32">
        <f t="shared" si="24"/>
        <v>25</v>
      </c>
      <c r="AS34" s="33">
        <f t="shared" si="25"/>
        <v>-2.2000000000000002</v>
      </c>
      <c r="AT34" s="38">
        <f t="shared" si="26"/>
        <v>0.45833333333333304</v>
      </c>
      <c r="AU34" s="33">
        <f t="shared" si="27"/>
        <v>-2.7</v>
      </c>
      <c r="AV34" s="38">
        <f t="shared" si="28"/>
        <v>-2.5000000000000799E-2</v>
      </c>
      <c r="AW34" s="43">
        <f t="shared" si="29"/>
        <v>-1.1458333333333692E-2</v>
      </c>
      <c r="BG34" s="53">
        <v>-2.1</v>
      </c>
      <c r="BH34" s="38">
        <f t="shared" si="2"/>
        <v>0.52949474098102867</v>
      </c>
      <c r="BI34" s="43">
        <f t="shared" si="30"/>
        <v>0.28036468072656662</v>
      </c>
    </row>
    <row r="35" spans="7:61" x14ac:dyDescent="0.25">
      <c r="G35" s="53">
        <v>1.1000000000000001</v>
      </c>
      <c r="H35" s="42">
        <v>0.1</v>
      </c>
      <c r="I35" s="42">
        <f t="shared" si="3"/>
        <v>1</v>
      </c>
      <c r="J35" s="42">
        <f t="shared" si="4"/>
        <v>0.10000000000000009</v>
      </c>
      <c r="K35" s="43">
        <f t="shared" si="5"/>
        <v>1.0000000000000018E-2</v>
      </c>
      <c r="M35" s="53">
        <v>0.7</v>
      </c>
      <c r="N35" s="33">
        <v>0.1</v>
      </c>
      <c r="O35" s="42">
        <f t="shared" si="6"/>
        <v>0.6</v>
      </c>
      <c r="P35" s="42">
        <f t="shared" si="7"/>
        <v>-0.40000000000000047</v>
      </c>
      <c r="Q35" s="43">
        <f t="shared" si="8"/>
        <v>0.16000000000000036</v>
      </c>
      <c r="T35" s="53">
        <f t="shared" si="0"/>
        <v>1</v>
      </c>
      <c r="U35" s="42">
        <f t="shared" si="1"/>
        <v>0.10000000000000009</v>
      </c>
      <c r="V35" s="42">
        <f t="shared" si="9"/>
        <v>0.6</v>
      </c>
      <c r="W35" s="42">
        <f t="shared" si="10"/>
        <v>-0.40000000000000047</v>
      </c>
      <c r="X35" s="43">
        <f t="shared" si="11"/>
        <v>-4.0000000000000084E-2</v>
      </c>
      <c r="AD35" s="32">
        <f t="shared" si="12"/>
        <v>0.6</v>
      </c>
      <c r="AE35" s="38">
        <f t="shared" si="13"/>
        <v>-2.2375000000000007</v>
      </c>
      <c r="AF35" s="38">
        <f t="shared" si="14"/>
        <v>5.0064062500000031</v>
      </c>
      <c r="AG35" s="33" t="str">
        <f t="shared" si="15"/>
        <v/>
      </c>
      <c r="AH35" s="38" t="str">
        <f t="shared" si="16"/>
        <v/>
      </c>
      <c r="AI35" s="43" t="str">
        <f t="shared" si="17"/>
        <v/>
      </c>
      <c r="AK35" s="32">
        <f t="shared" si="18"/>
        <v>26</v>
      </c>
      <c r="AL35" s="33">
        <f t="shared" si="19"/>
        <v>1</v>
      </c>
      <c r="AM35" s="38">
        <f t="shared" si="20"/>
        <v>-1.6791666666666671</v>
      </c>
      <c r="AN35" s="33">
        <f t="shared" si="21"/>
        <v>0.6</v>
      </c>
      <c r="AO35" s="38">
        <f t="shared" si="22"/>
        <v>-2.2375000000000007</v>
      </c>
      <c r="AP35" s="43">
        <f t="shared" si="23"/>
        <v>3.7571354166666691</v>
      </c>
      <c r="AR35" s="32">
        <f t="shared" si="24"/>
        <v>26</v>
      </c>
      <c r="AS35" s="33" t="str">
        <f t="shared" si="25"/>
        <v/>
      </c>
      <c r="AT35" s="38" t="str">
        <f t="shared" si="26"/>
        <v/>
      </c>
      <c r="AU35" s="33" t="str">
        <f t="shared" si="27"/>
        <v/>
      </c>
      <c r="AV35" s="38" t="str">
        <f t="shared" si="28"/>
        <v/>
      </c>
      <c r="AW35" s="43" t="str">
        <f t="shared" si="29"/>
        <v/>
      </c>
      <c r="BG35" s="53">
        <v>1.1000000000000001</v>
      </c>
      <c r="BH35" s="38">
        <f t="shared" si="2"/>
        <v>0.4907229922343459</v>
      </c>
      <c r="BI35" s="43">
        <f t="shared" si="30"/>
        <v>0.24080905510742992</v>
      </c>
    </row>
    <row r="36" spans="7:61" x14ac:dyDescent="0.25">
      <c r="G36" s="53">
        <v>4.7</v>
      </c>
      <c r="H36" s="42">
        <v>0.1</v>
      </c>
      <c r="I36" s="42">
        <f t="shared" si="3"/>
        <v>4.6000000000000005</v>
      </c>
      <c r="J36" s="42">
        <f t="shared" si="4"/>
        <v>3.7000000000000006</v>
      </c>
      <c r="K36" s="43">
        <f t="shared" si="5"/>
        <v>13.690000000000005</v>
      </c>
      <c r="M36" s="53">
        <v>4.3</v>
      </c>
      <c r="N36" s="33">
        <v>0.1</v>
      </c>
      <c r="O36" s="42">
        <f t="shared" si="6"/>
        <v>4.2</v>
      </c>
      <c r="P36" s="42">
        <f t="shared" si="7"/>
        <v>3.1999999999999997</v>
      </c>
      <c r="Q36" s="43">
        <f t="shared" si="8"/>
        <v>10.239999999999998</v>
      </c>
      <c r="T36" s="53">
        <f t="shared" si="0"/>
        <v>4.6000000000000005</v>
      </c>
      <c r="U36" s="42">
        <f t="shared" si="1"/>
        <v>3.7000000000000006</v>
      </c>
      <c r="V36" s="42">
        <f t="shared" si="9"/>
        <v>4.2</v>
      </c>
      <c r="W36" s="42">
        <f t="shared" si="10"/>
        <v>3.1999999999999997</v>
      </c>
      <c r="X36" s="43">
        <f t="shared" si="11"/>
        <v>11.840000000000002</v>
      </c>
      <c r="AD36" s="32">
        <f t="shared" si="12"/>
        <v>4.2</v>
      </c>
      <c r="AE36" s="38">
        <f t="shared" si="13"/>
        <v>1.3624999999999994</v>
      </c>
      <c r="AF36" s="38">
        <f t="shared" si="14"/>
        <v>1.8564062499999983</v>
      </c>
      <c r="AG36" s="33" t="str">
        <f t="shared" si="15"/>
        <v/>
      </c>
      <c r="AH36" s="38" t="str">
        <f t="shared" si="16"/>
        <v/>
      </c>
      <c r="AI36" s="43" t="str">
        <f t="shared" si="17"/>
        <v/>
      </c>
      <c r="AK36" s="32">
        <f t="shared" si="18"/>
        <v>27</v>
      </c>
      <c r="AL36" s="33">
        <f t="shared" si="19"/>
        <v>4.6000000000000005</v>
      </c>
      <c r="AM36" s="38">
        <f t="shared" si="20"/>
        <v>1.9208333333333334</v>
      </c>
      <c r="AN36" s="33">
        <f t="shared" si="21"/>
        <v>4.2</v>
      </c>
      <c r="AO36" s="38">
        <f t="shared" si="22"/>
        <v>1.3624999999999994</v>
      </c>
      <c r="AP36" s="43">
        <f t="shared" si="23"/>
        <v>2.6171354166666654</v>
      </c>
      <c r="AR36" s="32">
        <f t="shared" si="24"/>
        <v>27</v>
      </c>
      <c r="AS36" s="33" t="str">
        <f t="shared" si="25"/>
        <v/>
      </c>
      <c r="AT36" s="38" t="str">
        <f t="shared" si="26"/>
        <v/>
      </c>
      <c r="AU36" s="33" t="str">
        <f t="shared" si="27"/>
        <v/>
      </c>
      <c r="AV36" s="38" t="str">
        <f t="shared" si="28"/>
        <v/>
      </c>
      <c r="AW36" s="43" t="str">
        <f t="shared" si="29"/>
        <v/>
      </c>
      <c r="BG36" s="53">
        <v>4.7</v>
      </c>
      <c r="BH36" s="38">
        <f t="shared" si="2"/>
        <v>0.55751744814705617</v>
      </c>
      <c r="BI36" s="43">
        <f t="shared" si="30"/>
        <v>0.31082570498840545</v>
      </c>
    </row>
    <row r="37" spans="7:61" x14ac:dyDescent="0.25">
      <c r="G37" s="53">
        <v>2.4</v>
      </c>
      <c r="H37" s="42">
        <v>0.1</v>
      </c>
      <c r="I37" s="42">
        <f t="shared" si="3"/>
        <v>2.2999999999999998</v>
      </c>
      <c r="J37" s="42">
        <f t="shared" si="4"/>
        <v>1.4</v>
      </c>
      <c r="K37" s="43">
        <f t="shared" si="5"/>
        <v>1.9599999999999997</v>
      </c>
      <c r="M37" s="53">
        <v>2.9</v>
      </c>
      <c r="N37" s="33">
        <v>0.1</v>
      </c>
      <c r="O37" s="42">
        <f t="shared" si="6"/>
        <v>2.8</v>
      </c>
      <c r="P37" s="42">
        <f t="shared" si="7"/>
        <v>1.7999999999999994</v>
      </c>
      <c r="Q37" s="43">
        <f t="shared" si="8"/>
        <v>3.2399999999999975</v>
      </c>
      <c r="T37" s="53">
        <f t="shared" si="0"/>
        <v>2.2999999999999998</v>
      </c>
      <c r="U37" s="42">
        <f t="shared" si="1"/>
        <v>1.4</v>
      </c>
      <c r="V37" s="42">
        <f t="shared" si="9"/>
        <v>2.8</v>
      </c>
      <c r="W37" s="42">
        <f t="shared" si="10"/>
        <v>1.7999999999999994</v>
      </c>
      <c r="X37" s="43">
        <f t="shared" si="11"/>
        <v>2.5199999999999991</v>
      </c>
      <c r="AD37" s="32">
        <f t="shared" si="12"/>
        <v>2.8</v>
      </c>
      <c r="AE37" s="38">
        <f t="shared" si="13"/>
        <v>-3.7500000000000977E-2</v>
      </c>
      <c r="AF37" s="38">
        <f t="shared" si="14"/>
        <v>1.4062500000000732E-3</v>
      </c>
      <c r="AG37" s="33" t="str">
        <f t="shared" si="15"/>
        <v/>
      </c>
      <c r="AH37" s="38" t="str">
        <f t="shared" si="16"/>
        <v/>
      </c>
      <c r="AI37" s="43" t="str">
        <f t="shared" si="17"/>
        <v/>
      </c>
      <c r="AK37" s="32">
        <f t="shared" si="18"/>
        <v>28</v>
      </c>
      <c r="AL37" s="33">
        <f t="shared" si="19"/>
        <v>2.2999999999999998</v>
      </c>
      <c r="AM37" s="38">
        <f t="shared" si="20"/>
        <v>-0.37916666666666732</v>
      </c>
      <c r="AN37" s="33">
        <f t="shared" si="21"/>
        <v>2.8</v>
      </c>
      <c r="AO37" s="38">
        <f t="shared" si="22"/>
        <v>-3.7500000000000977E-2</v>
      </c>
      <c r="AP37" s="43">
        <f t="shared" si="23"/>
        <v>1.4218750000000394E-2</v>
      </c>
      <c r="AR37" s="32">
        <f t="shared" si="24"/>
        <v>28</v>
      </c>
      <c r="AS37" s="33" t="str">
        <f t="shared" si="25"/>
        <v/>
      </c>
      <c r="AT37" s="38" t="str">
        <f t="shared" si="26"/>
        <v/>
      </c>
      <c r="AU37" s="33" t="str">
        <f t="shared" si="27"/>
        <v/>
      </c>
      <c r="AV37" s="38" t="str">
        <f t="shared" si="28"/>
        <v/>
      </c>
      <c r="AW37" s="43" t="str">
        <f t="shared" si="29"/>
        <v/>
      </c>
      <c r="BG37" s="53">
        <v>2.4</v>
      </c>
      <c r="BH37" s="38">
        <f t="shared" si="2"/>
        <v>-0.36845817359677602</v>
      </c>
      <c r="BI37" s="43">
        <f t="shared" si="30"/>
        <v>0.13576142569027194</v>
      </c>
    </row>
    <row r="38" spans="7:61" x14ac:dyDescent="0.25">
      <c r="G38" s="53">
        <v>3.3</v>
      </c>
      <c r="H38" s="42">
        <v>0.1</v>
      </c>
      <c r="I38" s="42">
        <f t="shared" si="3"/>
        <v>3.1999999999999997</v>
      </c>
      <c r="J38" s="42">
        <f t="shared" si="4"/>
        <v>2.2999999999999998</v>
      </c>
      <c r="K38" s="43">
        <f t="shared" si="5"/>
        <v>5.2899999999999991</v>
      </c>
      <c r="M38" s="53">
        <v>3.8</v>
      </c>
      <c r="N38" s="33">
        <v>0.1</v>
      </c>
      <c r="O38" s="42">
        <f t="shared" si="6"/>
        <v>3.6999999999999997</v>
      </c>
      <c r="P38" s="42">
        <f t="shared" si="7"/>
        <v>2.6999999999999993</v>
      </c>
      <c r="Q38" s="43">
        <f t="shared" si="8"/>
        <v>7.2899999999999965</v>
      </c>
      <c r="T38" s="53">
        <f t="shared" si="0"/>
        <v>3.1999999999999997</v>
      </c>
      <c r="U38" s="42">
        <f t="shared" si="1"/>
        <v>2.2999999999999998</v>
      </c>
      <c r="V38" s="42">
        <f t="shared" si="9"/>
        <v>3.6999999999999997</v>
      </c>
      <c r="W38" s="42">
        <f t="shared" si="10"/>
        <v>2.6999999999999993</v>
      </c>
      <c r="X38" s="43">
        <f t="shared" si="11"/>
        <v>6.2099999999999982</v>
      </c>
      <c r="AD38" s="32">
        <f t="shared" si="12"/>
        <v>3.6999999999999997</v>
      </c>
      <c r="AE38" s="38">
        <f t="shared" si="13"/>
        <v>0.86249999999999893</v>
      </c>
      <c r="AF38" s="38">
        <f t="shared" si="14"/>
        <v>0.74390624999999821</v>
      </c>
      <c r="AG38" s="33" t="str">
        <f t="shared" si="15"/>
        <v/>
      </c>
      <c r="AH38" s="38" t="str">
        <f t="shared" si="16"/>
        <v/>
      </c>
      <c r="AI38" s="43" t="str">
        <f t="shared" si="17"/>
        <v/>
      </c>
      <c r="AK38" s="32">
        <f t="shared" si="18"/>
        <v>29</v>
      </c>
      <c r="AL38" s="33">
        <f t="shared" si="19"/>
        <v>3.1999999999999997</v>
      </c>
      <c r="AM38" s="38">
        <f t="shared" si="20"/>
        <v>0.52083333333333259</v>
      </c>
      <c r="AN38" s="33">
        <f t="shared" si="21"/>
        <v>3.6999999999999997</v>
      </c>
      <c r="AO38" s="38">
        <f t="shared" si="22"/>
        <v>0.86249999999999893</v>
      </c>
      <c r="AP38" s="43">
        <f t="shared" si="23"/>
        <v>0.44921874999999878</v>
      </c>
      <c r="AR38" s="32">
        <f t="shared" si="24"/>
        <v>29</v>
      </c>
      <c r="AS38" s="33" t="str">
        <f t="shared" si="25"/>
        <v/>
      </c>
      <c r="AT38" s="38" t="str">
        <f t="shared" si="26"/>
        <v/>
      </c>
      <c r="AU38" s="33" t="str">
        <f t="shared" si="27"/>
        <v/>
      </c>
      <c r="AV38" s="38" t="str">
        <f t="shared" si="28"/>
        <v/>
      </c>
      <c r="AW38" s="43" t="str">
        <f t="shared" si="29"/>
        <v/>
      </c>
      <c r="BG38" s="53">
        <v>3.3</v>
      </c>
      <c r="BH38" s="38">
        <f t="shared" si="2"/>
        <v>-0.35175955961859895</v>
      </c>
      <c r="BI38" s="43">
        <f t="shared" si="30"/>
        <v>0.12373478778307066</v>
      </c>
    </row>
    <row r="39" spans="7:61" x14ac:dyDescent="0.25">
      <c r="G39" s="53">
        <v>-0.7</v>
      </c>
      <c r="H39" s="42">
        <v>0.2</v>
      </c>
      <c r="I39" s="42">
        <f t="shared" si="3"/>
        <v>-0.89999999999999991</v>
      </c>
      <c r="J39" s="42">
        <f t="shared" si="4"/>
        <v>-1.7999999999999998</v>
      </c>
      <c r="K39" s="43">
        <f t="shared" si="5"/>
        <v>3.2399999999999993</v>
      </c>
      <c r="M39" s="53">
        <v>-0.2</v>
      </c>
      <c r="N39" s="33">
        <v>0.2</v>
      </c>
      <c r="O39" s="42">
        <f t="shared" si="6"/>
        <v>-0.4</v>
      </c>
      <c r="P39" s="42">
        <f t="shared" si="7"/>
        <v>-1.4000000000000004</v>
      </c>
      <c r="Q39" s="43">
        <f t="shared" si="8"/>
        <v>1.9600000000000011</v>
      </c>
      <c r="T39" s="53">
        <f t="shared" si="0"/>
        <v>-0.89999999999999991</v>
      </c>
      <c r="U39" s="42">
        <f t="shared" si="1"/>
        <v>-1.7999999999999998</v>
      </c>
      <c r="V39" s="42">
        <f t="shared" si="9"/>
        <v>-0.4</v>
      </c>
      <c r="W39" s="42">
        <f t="shared" si="10"/>
        <v>-1.4000000000000004</v>
      </c>
      <c r="X39" s="43">
        <f t="shared" si="11"/>
        <v>2.5200000000000005</v>
      </c>
      <c r="AD39" s="32" t="str">
        <f t="shared" si="12"/>
        <v/>
      </c>
      <c r="AE39" s="38" t="str">
        <f t="shared" si="13"/>
        <v/>
      </c>
      <c r="AF39" s="38" t="str">
        <f t="shared" si="14"/>
        <v/>
      </c>
      <c r="AG39" s="33">
        <f t="shared" si="15"/>
        <v>-0.4</v>
      </c>
      <c r="AH39" s="38">
        <f t="shared" si="16"/>
        <v>2.2749999999999995</v>
      </c>
      <c r="AI39" s="43">
        <f t="shared" si="17"/>
        <v>5.1756249999999975</v>
      </c>
      <c r="AK39" s="32">
        <f t="shared" si="18"/>
        <v>30</v>
      </c>
      <c r="AL39" s="33" t="str">
        <f t="shared" si="19"/>
        <v/>
      </c>
      <c r="AM39" s="38" t="str">
        <f t="shared" si="20"/>
        <v/>
      </c>
      <c r="AN39" s="33" t="str">
        <f t="shared" si="21"/>
        <v/>
      </c>
      <c r="AO39" s="38" t="str">
        <f t="shared" si="22"/>
        <v/>
      </c>
      <c r="AP39" s="43" t="str">
        <f t="shared" si="23"/>
        <v/>
      </c>
      <c r="AR39" s="32">
        <f t="shared" si="24"/>
        <v>30</v>
      </c>
      <c r="AS39" s="33">
        <f t="shared" si="25"/>
        <v>-0.89999999999999991</v>
      </c>
      <c r="AT39" s="38">
        <f t="shared" si="26"/>
        <v>1.7583333333333333</v>
      </c>
      <c r="AU39" s="33">
        <f t="shared" si="27"/>
        <v>-0.4</v>
      </c>
      <c r="AV39" s="38">
        <f t="shared" si="28"/>
        <v>2.2749999999999995</v>
      </c>
      <c r="AW39" s="43">
        <f t="shared" si="29"/>
        <v>4.0002083333333323</v>
      </c>
      <c r="BG39" s="53">
        <v>-0.7</v>
      </c>
      <c r="BH39" s="38">
        <f t="shared" si="2"/>
        <v>-0.42597562174383152</v>
      </c>
      <c r="BI39" s="43">
        <f t="shared" si="30"/>
        <v>0.18145523032004382</v>
      </c>
    </row>
    <row r="40" spans="7:61" x14ac:dyDescent="0.25">
      <c r="G40" s="53">
        <v>4.7</v>
      </c>
      <c r="H40" s="42">
        <v>0.2</v>
      </c>
      <c r="I40" s="42">
        <f t="shared" si="3"/>
        <v>4.5</v>
      </c>
      <c r="J40" s="42">
        <f t="shared" si="4"/>
        <v>3.6</v>
      </c>
      <c r="K40" s="43">
        <f t="shared" si="5"/>
        <v>12.96</v>
      </c>
      <c r="M40" s="53">
        <v>5.0999999999999996</v>
      </c>
      <c r="N40" s="33">
        <v>0.2</v>
      </c>
      <c r="O40" s="42">
        <f t="shared" si="6"/>
        <v>4.8999999999999995</v>
      </c>
      <c r="P40" s="42">
        <f t="shared" si="7"/>
        <v>3.899999999999999</v>
      </c>
      <c r="Q40" s="43">
        <f t="shared" si="8"/>
        <v>15.209999999999992</v>
      </c>
      <c r="T40" s="53">
        <f t="shared" si="0"/>
        <v>4.5</v>
      </c>
      <c r="U40" s="42">
        <f t="shared" si="1"/>
        <v>3.6</v>
      </c>
      <c r="V40" s="42">
        <f t="shared" si="9"/>
        <v>4.8999999999999995</v>
      </c>
      <c r="W40" s="42">
        <f t="shared" si="10"/>
        <v>3.899999999999999</v>
      </c>
      <c r="X40" s="43">
        <f t="shared" si="11"/>
        <v>14.039999999999997</v>
      </c>
      <c r="AD40" s="32">
        <f t="shared" si="12"/>
        <v>4.8999999999999995</v>
      </c>
      <c r="AE40" s="38">
        <f t="shared" si="13"/>
        <v>2.0624999999999987</v>
      </c>
      <c r="AF40" s="38">
        <f t="shared" si="14"/>
        <v>4.2539062499999947</v>
      </c>
      <c r="AG40" s="33" t="str">
        <f t="shared" si="15"/>
        <v/>
      </c>
      <c r="AH40" s="38" t="str">
        <f t="shared" si="16"/>
        <v/>
      </c>
      <c r="AI40" s="43" t="str">
        <f t="shared" si="17"/>
        <v/>
      </c>
      <c r="AK40" s="32">
        <f t="shared" si="18"/>
        <v>31</v>
      </c>
      <c r="AL40" s="33">
        <f t="shared" si="19"/>
        <v>4.5</v>
      </c>
      <c r="AM40" s="38">
        <f t="shared" si="20"/>
        <v>1.8208333333333329</v>
      </c>
      <c r="AN40" s="33">
        <f t="shared" si="21"/>
        <v>4.8999999999999995</v>
      </c>
      <c r="AO40" s="38">
        <f t="shared" si="22"/>
        <v>2.0624999999999987</v>
      </c>
      <c r="AP40" s="43">
        <f t="shared" si="23"/>
        <v>3.7554687499999968</v>
      </c>
      <c r="AR40" s="32">
        <f t="shared" si="24"/>
        <v>31</v>
      </c>
      <c r="AS40" s="33" t="str">
        <f t="shared" si="25"/>
        <v/>
      </c>
      <c r="AT40" s="38" t="str">
        <f t="shared" si="26"/>
        <v/>
      </c>
      <c r="AU40" s="33" t="str">
        <f t="shared" si="27"/>
        <v/>
      </c>
      <c r="AV40" s="38" t="str">
        <f t="shared" si="28"/>
        <v/>
      </c>
      <c r="AW40" s="43" t="str">
        <f t="shared" si="29"/>
        <v/>
      </c>
      <c r="BG40" s="53">
        <v>4.7</v>
      </c>
      <c r="BH40" s="38">
        <f t="shared" si="2"/>
        <v>-0.22763933942789727</v>
      </c>
      <c r="BI40" s="43">
        <f t="shared" si="30"/>
        <v>5.1819668855169428E-2</v>
      </c>
    </row>
    <row r="41" spans="7:61" x14ac:dyDescent="0.25">
      <c r="G41" s="53">
        <v>0.6</v>
      </c>
      <c r="H41" s="42">
        <v>0.2</v>
      </c>
      <c r="I41" s="42">
        <f t="shared" si="3"/>
        <v>0.39999999999999997</v>
      </c>
      <c r="J41" s="42">
        <f t="shared" si="4"/>
        <v>-0.49999999999999994</v>
      </c>
      <c r="K41" s="43">
        <f t="shared" si="5"/>
        <v>0.24999999999999994</v>
      </c>
      <c r="M41" s="53">
        <v>1.4</v>
      </c>
      <c r="N41" s="33">
        <v>0.2</v>
      </c>
      <c r="O41" s="42">
        <f t="shared" si="6"/>
        <v>1.2</v>
      </c>
      <c r="P41" s="42">
        <f t="shared" si="7"/>
        <v>0.19999999999999951</v>
      </c>
      <c r="Q41" s="43">
        <f t="shared" si="8"/>
        <v>3.9999999999999807E-2</v>
      </c>
      <c r="T41" s="53">
        <f t="shared" si="0"/>
        <v>0.39999999999999997</v>
      </c>
      <c r="U41" s="42">
        <f t="shared" si="1"/>
        <v>-0.49999999999999994</v>
      </c>
      <c r="V41" s="42">
        <f t="shared" si="9"/>
        <v>1.2</v>
      </c>
      <c r="W41" s="42">
        <f t="shared" si="10"/>
        <v>0.19999999999999951</v>
      </c>
      <c r="X41" s="43">
        <f t="shared" si="11"/>
        <v>-9.9999999999999742E-2</v>
      </c>
      <c r="AD41" s="32">
        <f t="shared" si="12"/>
        <v>1.2</v>
      </c>
      <c r="AE41" s="38">
        <f t="shared" si="13"/>
        <v>-1.6375000000000008</v>
      </c>
      <c r="AF41" s="38">
        <f t="shared" si="14"/>
        <v>2.6814062500000029</v>
      </c>
      <c r="AG41" s="33" t="str">
        <f t="shared" si="15"/>
        <v/>
      </c>
      <c r="AH41" s="38" t="str">
        <f t="shared" si="16"/>
        <v/>
      </c>
      <c r="AI41" s="43" t="str">
        <f t="shared" si="17"/>
        <v/>
      </c>
      <c r="AK41" s="32">
        <f t="shared" si="18"/>
        <v>32</v>
      </c>
      <c r="AL41" s="33">
        <f t="shared" si="19"/>
        <v>0.39999999999999997</v>
      </c>
      <c r="AM41" s="38">
        <f t="shared" si="20"/>
        <v>-2.2791666666666672</v>
      </c>
      <c r="AN41" s="33">
        <f t="shared" si="21"/>
        <v>1.2</v>
      </c>
      <c r="AO41" s="38">
        <f t="shared" si="22"/>
        <v>-1.6375000000000008</v>
      </c>
      <c r="AP41" s="43">
        <f t="shared" si="23"/>
        <v>3.7321354166666696</v>
      </c>
      <c r="AR41" s="32">
        <f t="shared" si="24"/>
        <v>32</v>
      </c>
      <c r="AS41" s="33" t="str">
        <f t="shared" si="25"/>
        <v/>
      </c>
      <c r="AT41" s="38" t="str">
        <f t="shared" si="26"/>
        <v/>
      </c>
      <c r="AU41" s="33" t="str">
        <f t="shared" si="27"/>
        <v/>
      </c>
      <c r="AV41" s="38" t="str">
        <f t="shared" si="28"/>
        <v/>
      </c>
      <c r="AW41" s="43" t="str">
        <f t="shared" si="29"/>
        <v/>
      </c>
      <c r="BG41" s="53">
        <v>0.6</v>
      </c>
      <c r="BH41" s="38">
        <f t="shared" si="2"/>
        <v>-0.69628919689373847</v>
      </c>
      <c r="BI41" s="43">
        <f t="shared" si="30"/>
        <v>0.48481864571092731</v>
      </c>
    </row>
    <row r="42" spans="7:61" x14ac:dyDescent="0.25">
      <c r="G42" s="53">
        <v>1</v>
      </c>
      <c r="H42" s="42">
        <v>0.2</v>
      </c>
      <c r="I42" s="42">
        <f t="shared" si="3"/>
        <v>0.8</v>
      </c>
      <c r="J42" s="42">
        <f t="shared" si="4"/>
        <v>-9.9999999999999867E-2</v>
      </c>
      <c r="K42" s="43">
        <f t="shared" si="5"/>
        <v>9.9999999999999742E-3</v>
      </c>
      <c r="M42" s="53">
        <v>1.3</v>
      </c>
      <c r="N42" s="33">
        <v>0.2</v>
      </c>
      <c r="O42" s="42">
        <f t="shared" si="6"/>
        <v>1.1000000000000001</v>
      </c>
      <c r="P42" s="42">
        <f t="shared" si="7"/>
        <v>9.9999999999999645E-2</v>
      </c>
      <c r="Q42" s="43">
        <f t="shared" si="8"/>
        <v>9.9999999999999291E-3</v>
      </c>
      <c r="T42" s="53">
        <f t="shared" si="0"/>
        <v>0.8</v>
      </c>
      <c r="U42" s="42">
        <f t="shared" si="1"/>
        <v>-9.9999999999999867E-2</v>
      </c>
      <c r="V42" s="42">
        <f t="shared" si="9"/>
        <v>1.1000000000000001</v>
      </c>
      <c r="W42" s="42">
        <f t="shared" si="10"/>
        <v>9.9999999999999645E-2</v>
      </c>
      <c r="X42" s="43">
        <f t="shared" si="11"/>
        <v>-9.9999999999999516E-3</v>
      </c>
      <c r="AD42" s="32">
        <f t="shared" si="12"/>
        <v>1.1000000000000001</v>
      </c>
      <c r="AE42" s="38">
        <f t="shared" si="13"/>
        <v>-1.7375000000000007</v>
      </c>
      <c r="AF42" s="38">
        <f t="shared" si="14"/>
        <v>3.0189062500000023</v>
      </c>
      <c r="AG42" s="33" t="str">
        <f t="shared" si="15"/>
        <v/>
      </c>
      <c r="AH42" s="38" t="str">
        <f t="shared" si="16"/>
        <v/>
      </c>
      <c r="AI42" s="43" t="str">
        <f t="shared" si="17"/>
        <v/>
      </c>
      <c r="AK42" s="32">
        <f t="shared" si="18"/>
        <v>33</v>
      </c>
      <c r="AL42" s="33">
        <f t="shared" si="19"/>
        <v>0.8</v>
      </c>
      <c r="AM42" s="38">
        <f t="shared" si="20"/>
        <v>-1.8791666666666671</v>
      </c>
      <c r="AN42" s="33">
        <f t="shared" si="21"/>
        <v>1.1000000000000001</v>
      </c>
      <c r="AO42" s="38">
        <f t="shared" si="22"/>
        <v>-1.7375000000000007</v>
      </c>
      <c r="AP42" s="43">
        <f t="shared" si="23"/>
        <v>3.2650520833333356</v>
      </c>
      <c r="AR42" s="32">
        <f t="shared" si="24"/>
        <v>33</v>
      </c>
      <c r="AS42" s="33" t="str">
        <f t="shared" si="25"/>
        <v/>
      </c>
      <c r="AT42" s="38" t="str">
        <f t="shared" si="26"/>
        <v/>
      </c>
      <c r="AU42" s="33" t="str">
        <f t="shared" si="27"/>
        <v/>
      </c>
      <c r="AV42" s="38" t="str">
        <f t="shared" si="28"/>
        <v/>
      </c>
      <c r="AW42" s="43" t="str">
        <f t="shared" si="29"/>
        <v/>
      </c>
      <c r="BG42" s="53">
        <v>1</v>
      </c>
      <c r="BH42" s="38">
        <f t="shared" si="2"/>
        <v>-0.19814459844686927</v>
      </c>
      <c r="BI42" s="43">
        <f t="shared" si="30"/>
        <v>3.926128189367107E-2</v>
      </c>
    </row>
    <row r="43" spans="7:61" x14ac:dyDescent="0.25">
      <c r="G43" s="53">
        <v>-0.2</v>
      </c>
      <c r="H43" s="42">
        <v>0.2</v>
      </c>
      <c r="I43" s="42">
        <f t="shared" si="3"/>
        <v>-0.4</v>
      </c>
      <c r="J43" s="42">
        <f t="shared" si="4"/>
        <v>-1.2999999999999998</v>
      </c>
      <c r="K43" s="43">
        <f t="shared" si="5"/>
        <v>1.6899999999999995</v>
      </c>
      <c r="M43" s="53">
        <v>0.3</v>
      </c>
      <c r="N43" s="33">
        <v>0.2</v>
      </c>
      <c r="O43" s="42">
        <f t="shared" si="6"/>
        <v>9.9999999999999978E-2</v>
      </c>
      <c r="P43" s="42">
        <f t="shared" si="7"/>
        <v>-0.90000000000000047</v>
      </c>
      <c r="Q43" s="43">
        <f t="shared" si="8"/>
        <v>0.81000000000000083</v>
      </c>
      <c r="T43" s="53">
        <f t="shared" si="0"/>
        <v>-0.4</v>
      </c>
      <c r="U43" s="42">
        <f t="shared" si="1"/>
        <v>-1.2999999999999998</v>
      </c>
      <c r="V43" s="42">
        <f t="shared" si="9"/>
        <v>9.9999999999999978E-2</v>
      </c>
      <c r="W43" s="42">
        <f t="shared" si="10"/>
        <v>-0.90000000000000047</v>
      </c>
      <c r="X43" s="43">
        <f t="shared" si="11"/>
        <v>1.1700000000000004</v>
      </c>
      <c r="AD43" s="32">
        <f t="shared" si="12"/>
        <v>9.9999999999999978E-2</v>
      </c>
      <c r="AE43" s="38">
        <f t="shared" si="13"/>
        <v>-2.7375000000000007</v>
      </c>
      <c r="AF43" s="38">
        <f t="shared" si="14"/>
        <v>7.4939062500000038</v>
      </c>
      <c r="AG43" s="33" t="str">
        <f t="shared" si="15"/>
        <v/>
      </c>
      <c r="AH43" s="38" t="str">
        <f t="shared" si="16"/>
        <v/>
      </c>
      <c r="AI43" s="43" t="str">
        <f t="shared" si="17"/>
        <v/>
      </c>
      <c r="AK43" s="32">
        <f t="shared" si="18"/>
        <v>34</v>
      </c>
      <c r="AL43" s="33">
        <f t="shared" si="19"/>
        <v>-0.4</v>
      </c>
      <c r="AM43" s="38">
        <f t="shared" si="20"/>
        <v>-3.0791666666666671</v>
      </c>
      <c r="AN43" s="33">
        <f t="shared" si="21"/>
        <v>9.9999999999999978E-2</v>
      </c>
      <c r="AO43" s="38">
        <f t="shared" si="22"/>
        <v>-2.7375000000000007</v>
      </c>
      <c r="AP43" s="43">
        <f t="shared" si="23"/>
        <v>8.429218750000004</v>
      </c>
      <c r="AR43" s="32">
        <f t="shared" si="24"/>
        <v>34</v>
      </c>
      <c r="AS43" s="33" t="str">
        <f t="shared" si="25"/>
        <v/>
      </c>
      <c r="AT43" s="38" t="str">
        <f t="shared" si="26"/>
        <v/>
      </c>
      <c r="AU43" s="33" t="str">
        <f t="shared" si="27"/>
        <v/>
      </c>
      <c r="AV43" s="38" t="str">
        <f t="shared" si="28"/>
        <v/>
      </c>
      <c r="AW43" s="43" t="str">
        <f t="shared" si="29"/>
        <v/>
      </c>
      <c r="BG43" s="53">
        <v>-0.2</v>
      </c>
      <c r="BH43" s="38">
        <f t="shared" si="2"/>
        <v>-0.41669861397817748</v>
      </c>
      <c r="BI43" s="43">
        <f t="shared" si="30"/>
        <v>0.17363773489133416</v>
      </c>
    </row>
    <row r="44" spans="7:61" x14ac:dyDescent="0.25">
      <c r="G44" s="53">
        <v>3.4</v>
      </c>
      <c r="H44" s="42">
        <v>0.2</v>
      </c>
      <c r="I44" s="42">
        <f t="shared" si="3"/>
        <v>3.1999999999999997</v>
      </c>
      <c r="J44" s="42">
        <f t="shared" si="4"/>
        <v>2.2999999999999998</v>
      </c>
      <c r="K44" s="43">
        <f t="shared" si="5"/>
        <v>5.2899999999999991</v>
      </c>
      <c r="M44" s="53">
        <v>3.4</v>
      </c>
      <c r="N44" s="33">
        <v>0.2</v>
      </c>
      <c r="O44" s="42">
        <f t="shared" si="6"/>
        <v>3.1999999999999997</v>
      </c>
      <c r="P44" s="42">
        <f t="shared" si="7"/>
        <v>2.1999999999999993</v>
      </c>
      <c r="Q44" s="43">
        <f t="shared" si="8"/>
        <v>4.8399999999999972</v>
      </c>
      <c r="T44" s="53">
        <f t="shared" si="0"/>
        <v>3.1999999999999997</v>
      </c>
      <c r="U44" s="42">
        <f t="shared" si="1"/>
        <v>2.2999999999999998</v>
      </c>
      <c r="V44" s="42">
        <f t="shared" si="9"/>
        <v>3.1999999999999997</v>
      </c>
      <c r="W44" s="42">
        <f t="shared" si="10"/>
        <v>2.1999999999999993</v>
      </c>
      <c r="X44" s="43">
        <f t="shared" si="11"/>
        <v>5.0599999999999978</v>
      </c>
      <c r="AD44" s="32">
        <f t="shared" si="12"/>
        <v>3.1999999999999997</v>
      </c>
      <c r="AE44" s="38">
        <f t="shared" si="13"/>
        <v>0.36249999999999893</v>
      </c>
      <c r="AF44" s="38">
        <f t="shared" si="14"/>
        <v>0.13140624999999923</v>
      </c>
      <c r="AG44" s="33" t="str">
        <f t="shared" si="15"/>
        <v/>
      </c>
      <c r="AH44" s="38" t="str">
        <f t="shared" si="16"/>
        <v/>
      </c>
      <c r="AI44" s="43" t="str">
        <f t="shared" si="17"/>
        <v/>
      </c>
      <c r="AK44" s="32">
        <f t="shared" si="18"/>
        <v>35</v>
      </c>
      <c r="AL44" s="33">
        <f t="shared" si="19"/>
        <v>3.1999999999999997</v>
      </c>
      <c r="AM44" s="38">
        <f t="shared" si="20"/>
        <v>0.52083333333333259</v>
      </c>
      <c r="AN44" s="33">
        <f t="shared" si="21"/>
        <v>3.1999999999999997</v>
      </c>
      <c r="AO44" s="38">
        <f t="shared" si="22"/>
        <v>0.36249999999999893</v>
      </c>
      <c r="AP44" s="43">
        <f t="shared" si="23"/>
        <v>0.18880208333333251</v>
      </c>
      <c r="AR44" s="32">
        <f t="shared" si="24"/>
        <v>35</v>
      </c>
      <c r="AS44" s="33" t="str">
        <f t="shared" si="25"/>
        <v/>
      </c>
      <c r="AT44" s="38" t="str">
        <f t="shared" si="26"/>
        <v/>
      </c>
      <c r="AU44" s="33" t="str">
        <f t="shared" si="27"/>
        <v/>
      </c>
      <c r="AV44" s="38" t="str">
        <f t="shared" si="28"/>
        <v/>
      </c>
      <c r="AW44" s="43" t="str">
        <f t="shared" si="29"/>
        <v/>
      </c>
      <c r="BG44" s="53">
        <v>3.4</v>
      </c>
      <c r="BH44" s="38">
        <f t="shared" si="2"/>
        <v>0.14081883416887786</v>
      </c>
      <c r="BI44" s="43">
        <f t="shared" si="30"/>
        <v>1.9829944056681922E-2</v>
      </c>
    </row>
    <row r="45" spans="7:61" ht="15.75" thickBot="1" x14ac:dyDescent="0.3">
      <c r="G45" s="53">
        <v>1</v>
      </c>
      <c r="H45" s="42">
        <v>0.2</v>
      </c>
      <c r="I45" s="42">
        <f t="shared" si="3"/>
        <v>0.8</v>
      </c>
      <c r="J45" s="42">
        <f t="shared" si="4"/>
        <v>-9.9999999999999867E-2</v>
      </c>
      <c r="K45" s="43">
        <f t="shared" si="5"/>
        <v>9.9999999999999742E-3</v>
      </c>
      <c r="M45" s="53">
        <v>2.1</v>
      </c>
      <c r="N45" s="33">
        <v>0.2</v>
      </c>
      <c r="O45" s="42">
        <f t="shared" si="6"/>
        <v>1.9000000000000001</v>
      </c>
      <c r="P45" s="42">
        <f t="shared" si="7"/>
        <v>0.89999999999999969</v>
      </c>
      <c r="Q45" s="43">
        <f t="shared" si="8"/>
        <v>0.80999999999999939</v>
      </c>
      <c r="T45" s="53">
        <f t="shared" si="0"/>
        <v>0.8</v>
      </c>
      <c r="U45" s="42">
        <f t="shared" si="1"/>
        <v>-9.9999999999999867E-2</v>
      </c>
      <c r="V45" s="42">
        <f t="shared" si="9"/>
        <v>1.9000000000000001</v>
      </c>
      <c r="W45" s="42">
        <f t="shared" si="10"/>
        <v>0.89999999999999969</v>
      </c>
      <c r="X45" s="43">
        <f t="shared" si="11"/>
        <v>-8.9999999999999844E-2</v>
      </c>
      <c r="AD45" s="32">
        <f t="shared" si="12"/>
        <v>1.9000000000000001</v>
      </c>
      <c r="AE45" s="38">
        <f t="shared" si="13"/>
        <v>-0.93750000000000067</v>
      </c>
      <c r="AF45" s="38">
        <f t="shared" si="14"/>
        <v>0.87890625000000122</v>
      </c>
      <c r="AG45" s="33" t="str">
        <f t="shared" si="15"/>
        <v/>
      </c>
      <c r="AH45" s="38" t="str">
        <f t="shared" si="16"/>
        <v/>
      </c>
      <c r="AI45" s="43" t="str">
        <f t="shared" si="17"/>
        <v/>
      </c>
      <c r="AK45" s="32">
        <f t="shared" si="18"/>
        <v>36</v>
      </c>
      <c r="AL45" s="33">
        <f t="shared" si="19"/>
        <v>0.8</v>
      </c>
      <c r="AM45" s="38">
        <f t="shared" si="20"/>
        <v>-1.8791666666666671</v>
      </c>
      <c r="AN45" s="33">
        <f t="shared" si="21"/>
        <v>1.9000000000000001</v>
      </c>
      <c r="AO45" s="38">
        <f t="shared" si="22"/>
        <v>-0.93750000000000067</v>
      </c>
      <c r="AP45" s="43">
        <f t="shared" si="23"/>
        <v>1.7617187500000016</v>
      </c>
      <c r="AR45" s="35">
        <f t="shared" si="24"/>
        <v>36</v>
      </c>
      <c r="AS45" s="33" t="str">
        <f t="shared" si="25"/>
        <v/>
      </c>
      <c r="AT45" s="38" t="str">
        <f t="shared" si="26"/>
        <v/>
      </c>
      <c r="AU45" s="33" t="str">
        <f t="shared" si="27"/>
        <v/>
      </c>
      <c r="AV45" s="38" t="str">
        <f t="shared" si="28"/>
        <v/>
      </c>
      <c r="AW45" s="43" t="str">
        <f t="shared" si="29"/>
        <v/>
      </c>
      <c r="BG45" s="53">
        <v>1</v>
      </c>
      <c r="BH45" s="38">
        <f t="shared" si="2"/>
        <v>-0.98330138602182293</v>
      </c>
      <c r="BI45" s="43">
        <f t="shared" si="30"/>
        <v>0.96688161575243803</v>
      </c>
    </row>
    <row r="46" spans="7:61" x14ac:dyDescent="0.25">
      <c r="G46" s="18"/>
      <c r="H46" s="19"/>
      <c r="I46" s="19"/>
      <c r="J46" s="19"/>
      <c r="K46" s="20"/>
      <c r="M46" s="29"/>
      <c r="N46" s="30"/>
      <c r="O46" s="30"/>
      <c r="P46" s="30"/>
      <c r="Q46" s="31"/>
      <c r="T46" s="18"/>
      <c r="U46" s="19"/>
      <c r="V46" s="19"/>
      <c r="W46" s="19"/>
      <c r="X46" s="20"/>
      <c r="AD46" s="18"/>
      <c r="AE46" s="19"/>
      <c r="AF46" s="19"/>
      <c r="AG46" s="19"/>
      <c r="AH46" s="19"/>
      <c r="AI46" s="20"/>
      <c r="AK46" s="29"/>
      <c r="AL46" s="30"/>
      <c r="AM46" s="30"/>
      <c r="AN46" s="30"/>
      <c r="AO46" s="30"/>
      <c r="AP46" s="47"/>
      <c r="AR46" s="18"/>
      <c r="AS46" s="19"/>
      <c r="AT46" s="19"/>
      <c r="AU46" s="19"/>
      <c r="AV46" s="19"/>
      <c r="AW46" s="20"/>
      <c r="BG46" s="18"/>
      <c r="BH46" s="19"/>
      <c r="BI46" s="20"/>
    </row>
    <row r="47" spans="7:61" ht="15.75" thickBot="1" x14ac:dyDescent="0.3">
      <c r="G47" s="15" t="s">
        <v>16</v>
      </c>
      <c r="H47" s="16"/>
      <c r="I47" s="16">
        <f>SUM(I10:I45)</f>
        <v>32.4</v>
      </c>
      <c r="J47" s="16"/>
      <c r="K47" s="21">
        <f>SUM(K10:K45)</f>
        <v>395.62</v>
      </c>
      <c r="M47" s="15" t="s">
        <v>16</v>
      </c>
      <c r="N47" s="16"/>
      <c r="O47" s="46">
        <f>SUM(O10:O45)</f>
        <v>36.000000000000014</v>
      </c>
      <c r="P47" s="16"/>
      <c r="Q47" s="82">
        <f>SUM(Q10:Q45)</f>
        <v>406.06</v>
      </c>
      <c r="T47" s="15" t="s">
        <v>16</v>
      </c>
      <c r="U47" s="16"/>
      <c r="V47" s="16"/>
      <c r="W47" s="16"/>
      <c r="X47" s="21">
        <f>SUM(X10:X45)</f>
        <v>398.66</v>
      </c>
      <c r="AC47" s="2" t="s">
        <v>16</v>
      </c>
      <c r="AD47" s="15">
        <f>SUM(AD10:AD45)</f>
        <v>68.100000000000023</v>
      </c>
      <c r="AE47" s="45" t="s">
        <v>0</v>
      </c>
      <c r="AF47" s="45">
        <f>SUM(AF10:AF45)</f>
        <v>100.61625000000004</v>
      </c>
      <c r="AG47" s="16">
        <f>SUM(AG10:AG45)</f>
        <v>-32.099999999999994</v>
      </c>
      <c r="AH47" s="16"/>
      <c r="AI47" s="82">
        <f>SUM(AI10:AI45)</f>
        <v>62.342500000000001</v>
      </c>
      <c r="AK47" s="15" t="s">
        <v>16</v>
      </c>
      <c r="AL47" s="16">
        <f>SUM(AL10:AL45)</f>
        <v>64.300000000000011</v>
      </c>
      <c r="AM47" s="16"/>
      <c r="AN47" s="16"/>
      <c r="AO47" s="16"/>
      <c r="AP47" s="82">
        <f>SUM(AP10:AP45)</f>
        <v>104.16875</v>
      </c>
      <c r="AR47" s="15" t="s">
        <v>16</v>
      </c>
      <c r="AS47" s="16">
        <f>SUM(AS10:AS45)</f>
        <v>-31.9</v>
      </c>
      <c r="AT47" s="16"/>
      <c r="AU47" s="16"/>
      <c r="AV47" s="16"/>
      <c r="AW47" s="82">
        <f>SUM(AW10:AW45)</f>
        <v>59.107499999999995</v>
      </c>
      <c r="BG47" s="15" t="s">
        <v>16</v>
      </c>
      <c r="BH47" s="45">
        <f>SUM(BH10:BH45)</f>
        <v>-1.1768364061026659E-14</v>
      </c>
      <c r="BI47" s="82">
        <f>SUM(BI10:BI45)</f>
        <v>4.2199171827386177</v>
      </c>
    </row>
    <row r="49" spans="7:45" x14ac:dyDescent="0.25">
      <c r="G49" s="2" t="s">
        <v>7</v>
      </c>
      <c r="H49" s="2"/>
      <c r="I49" s="6">
        <f>+I47/36</f>
        <v>0.89999999999999991</v>
      </c>
      <c r="M49" s="2" t="s">
        <v>7</v>
      </c>
      <c r="N49" s="2"/>
      <c r="O49" s="6">
        <f>+O47/36</f>
        <v>1.0000000000000004</v>
      </c>
      <c r="P49" s="2"/>
      <c r="AC49" s="2" t="s">
        <v>29</v>
      </c>
      <c r="AD49" s="2">
        <f>COUNT(AD10:AD45)</f>
        <v>24</v>
      </c>
      <c r="AE49" s="2"/>
      <c r="AF49" s="2"/>
      <c r="AG49" s="2">
        <f>COUNT(AG10:AG45)</f>
        <v>12</v>
      </c>
      <c r="AK49" s="2" t="s">
        <v>29</v>
      </c>
      <c r="AL49" s="2">
        <f>COUNT(AL10:AL45)</f>
        <v>24</v>
      </c>
      <c r="AR49" s="2" t="s">
        <v>29</v>
      </c>
      <c r="AS49" s="2">
        <f>COUNT(AS10:AS45)</f>
        <v>12</v>
      </c>
    </row>
    <row r="50" spans="7:45" x14ac:dyDescent="0.25">
      <c r="AC50" s="2"/>
      <c r="AD50" s="2"/>
      <c r="AE50" s="2"/>
      <c r="AF50" s="2"/>
      <c r="AG50" s="2"/>
      <c r="AK50" s="2"/>
      <c r="AL50" s="2"/>
      <c r="AR50" s="2"/>
      <c r="AS50" s="2"/>
    </row>
    <row r="51" spans="7:45" x14ac:dyDescent="0.25">
      <c r="AC51" s="2" t="s">
        <v>7</v>
      </c>
      <c r="AD51" s="5">
        <f>+AD47/AD49</f>
        <v>2.8375000000000008</v>
      </c>
      <c r="AE51" s="5"/>
      <c r="AF51" s="5"/>
      <c r="AG51" s="5">
        <f>+AG47/AG49</f>
        <v>-2.6749999999999994</v>
      </c>
      <c r="AK51" s="2" t="s">
        <v>7</v>
      </c>
      <c r="AL51" s="5">
        <f>+AL47/AL49</f>
        <v>2.6791666666666671</v>
      </c>
      <c r="AR51" s="2" t="s">
        <v>7</v>
      </c>
      <c r="AS51" s="5">
        <f>+AS47/AS49</f>
        <v>-2.6583333333333332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BR71"/>
  <sheetViews>
    <sheetView workbookViewId="0"/>
  </sheetViews>
  <sheetFormatPr defaultRowHeight="15" x14ac:dyDescent="0.25"/>
  <cols>
    <col min="4" max="4" width="12.7109375" customWidth="1"/>
    <col min="5" max="5" width="12" customWidth="1"/>
    <col min="6" max="6" width="11.28515625" customWidth="1"/>
    <col min="7" max="7" width="11.140625" customWidth="1"/>
    <col min="8" max="8" width="9.5703125" bestFit="1" customWidth="1"/>
    <col min="18" max="18" width="16.140625" customWidth="1"/>
    <col min="25" max="25" width="10.5703125" customWidth="1"/>
    <col min="28" max="28" width="11" customWidth="1"/>
    <col min="29" max="32" width="11.28515625" customWidth="1"/>
    <col min="34" max="34" width="30.28515625" customWidth="1"/>
  </cols>
  <sheetData>
    <row r="1" spans="3:45" ht="15.75" thickBot="1" x14ac:dyDescent="0.3"/>
    <row r="2" spans="3:45" ht="15.75" thickBot="1" x14ac:dyDescent="0.3">
      <c r="C2" s="39" t="s">
        <v>452</v>
      </c>
      <c r="D2" s="40"/>
      <c r="E2" s="40"/>
      <c r="F2" s="40"/>
      <c r="G2" s="41"/>
      <c r="I2" s="18" t="s">
        <v>450</v>
      </c>
      <c r="J2" s="19"/>
      <c r="K2" s="19"/>
      <c r="L2" s="20"/>
      <c r="O2" s="18" t="s">
        <v>451</v>
      </c>
      <c r="P2" s="19"/>
      <c r="Q2" s="19"/>
      <c r="R2" s="20"/>
    </row>
    <row r="3" spans="3:45" ht="15.75" thickBot="1" x14ac:dyDescent="0.3">
      <c r="C3" s="22" t="s">
        <v>1</v>
      </c>
      <c r="D3" s="23" t="s">
        <v>148</v>
      </c>
      <c r="E3" s="23" t="s">
        <v>147</v>
      </c>
      <c r="F3" s="23" t="s">
        <v>147</v>
      </c>
      <c r="G3" s="24" t="s">
        <v>150</v>
      </c>
      <c r="I3" s="15"/>
      <c r="J3" s="16"/>
      <c r="K3" s="16"/>
      <c r="L3" s="21"/>
      <c r="O3" s="15"/>
      <c r="P3" s="16"/>
      <c r="Q3" s="16"/>
      <c r="R3" s="21"/>
      <c r="U3" s="18" t="s">
        <v>1</v>
      </c>
      <c r="V3" s="19" t="s">
        <v>0</v>
      </c>
      <c r="W3" s="19" t="s">
        <v>155</v>
      </c>
      <c r="X3" s="19"/>
      <c r="Y3" s="19" t="s">
        <v>148</v>
      </c>
      <c r="Z3" s="19" t="s">
        <v>147</v>
      </c>
      <c r="AA3" s="19"/>
      <c r="AB3" s="19" t="s">
        <v>147</v>
      </c>
      <c r="AC3" s="20" t="s">
        <v>150</v>
      </c>
      <c r="AE3" s="18" t="s">
        <v>187</v>
      </c>
      <c r="AF3" s="8"/>
      <c r="AG3" s="9"/>
    </row>
    <row r="4" spans="3:45" x14ac:dyDescent="0.25">
      <c r="C4" s="22" t="s">
        <v>49</v>
      </c>
      <c r="D4" s="23" t="s">
        <v>146</v>
      </c>
      <c r="E4" s="23" t="s">
        <v>18</v>
      </c>
      <c r="F4" s="23" t="s">
        <v>61</v>
      </c>
      <c r="G4" s="24" t="s">
        <v>146</v>
      </c>
      <c r="I4" s="32" t="s">
        <v>158</v>
      </c>
      <c r="J4" s="33"/>
      <c r="K4" s="33" t="s">
        <v>0</v>
      </c>
      <c r="L4" s="43">
        <f>(' Descriptive Statistics'!M6-'Appraisal Measures'!P6)/F48</f>
        <v>0.74214408739891691</v>
      </c>
      <c r="O4" s="32" t="s">
        <v>0</v>
      </c>
      <c r="P4" s="33"/>
      <c r="Q4" s="33"/>
      <c r="R4" s="43" t="s">
        <v>0</v>
      </c>
      <c r="U4" s="22" t="s">
        <v>49</v>
      </c>
      <c r="V4" s="23" t="s">
        <v>156</v>
      </c>
      <c r="W4" s="23" t="s">
        <v>156</v>
      </c>
      <c r="X4" s="23"/>
      <c r="Y4" s="23" t="s">
        <v>146</v>
      </c>
      <c r="Z4" s="23" t="s">
        <v>18</v>
      </c>
      <c r="AA4" s="23"/>
      <c r="AB4" s="23" t="s">
        <v>61</v>
      </c>
      <c r="AC4" s="24" t="s">
        <v>146</v>
      </c>
      <c r="AE4" s="84"/>
      <c r="AF4" s="13"/>
      <c r="AG4" s="14"/>
    </row>
    <row r="5" spans="3:45" ht="15.75" thickBot="1" x14ac:dyDescent="0.3">
      <c r="C5" s="15" t="s">
        <v>50</v>
      </c>
      <c r="D5" s="16" t="s">
        <v>0</v>
      </c>
      <c r="E5" s="16"/>
      <c r="F5" s="16" t="s">
        <v>149</v>
      </c>
      <c r="G5" s="21" t="s">
        <v>18</v>
      </c>
      <c r="I5" s="32"/>
      <c r="J5" s="33"/>
      <c r="K5" s="33"/>
      <c r="L5" s="34"/>
      <c r="O5" s="32"/>
      <c r="P5" s="33"/>
      <c r="Q5" s="33"/>
      <c r="R5" s="34"/>
      <c r="U5" s="15" t="s">
        <v>50</v>
      </c>
      <c r="V5" s="16" t="s">
        <v>157</v>
      </c>
      <c r="W5" s="16" t="s">
        <v>157</v>
      </c>
      <c r="X5" s="16"/>
      <c r="Y5" s="16" t="s">
        <v>0</v>
      </c>
      <c r="Z5" s="16"/>
      <c r="AA5" s="16"/>
      <c r="AB5" s="16" t="s">
        <v>149</v>
      </c>
      <c r="AC5" s="21" t="s">
        <v>18</v>
      </c>
      <c r="AE5" s="10"/>
      <c r="AF5" s="11"/>
      <c r="AG5" s="12"/>
    </row>
    <row r="6" spans="3:45" ht="15.75" thickBot="1" x14ac:dyDescent="0.3">
      <c r="C6" s="32"/>
      <c r="D6" s="33"/>
      <c r="E6" s="33"/>
      <c r="F6" s="33"/>
      <c r="G6" s="34"/>
      <c r="I6" s="32" t="s">
        <v>164</v>
      </c>
      <c r="J6" s="33"/>
      <c r="K6" s="33"/>
      <c r="L6" s="43">
        <f>(F58+F60+F62)/3</f>
        <v>5.6433333333333335</v>
      </c>
      <c r="O6" s="32" t="s">
        <v>164</v>
      </c>
      <c r="P6" s="33"/>
      <c r="Q6" s="33"/>
      <c r="R6" s="43">
        <f>(F67+F69+F71)/3</f>
        <v>7.6238000000000028</v>
      </c>
      <c r="U6" s="29"/>
      <c r="V6" s="51">
        <v>100</v>
      </c>
      <c r="W6" s="51">
        <v>100</v>
      </c>
      <c r="X6" s="30"/>
      <c r="Y6" s="30"/>
      <c r="Z6" s="30"/>
      <c r="AA6" s="30">
        <v>100</v>
      </c>
      <c r="AB6" s="33"/>
      <c r="AC6" s="34"/>
      <c r="AE6" s="144">
        <v>100</v>
      </c>
      <c r="AF6" s="38" t="s">
        <v>0</v>
      </c>
      <c r="AG6" s="34"/>
    </row>
    <row r="7" spans="3:45" ht="15.75" thickBot="1" x14ac:dyDescent="0.3">
      <c r="C7" s="53">
        <v>0.3</v>
      </c>
      <c r="D7" s="33" t="s">
        <v>0</v>
      </c>
      <c r="E7" s="38" t="s">
        <v>0</v>
      </c>
      <c r="F7" s="38">
        <v>0</v>
      </c>
      <c r="G7" s="43">
        <f>+F7^2</f>
        <v>0</v>
      </c>
      <c r="I7" s="32"/>
      <c r="J7" s="33"/>
      <c r="K7" s="33"/>
      <c r="L7" s="34"/>
      <c r="O7" s="32"/>
      <c r="P7" s="33"/>
      <c r="Q7" s="33"/>
      <c r="R7" s="34"/>
      <c r="T7" t="s">
        <v>0</v>
      </c>
      <c r="U7" s="53">
        <v>0.3</v>
      </c>
      <c r="V7" s="38">
        <f t="shared" ref="V7:V42" si="0">+V6*(1+U7/100)</f>
        <v>100.29999999999998</v>
      </c>
      <c r="W7" s="38">
        <f t="shared" ref="W7:W42" si="1">IF(U7&lt;0,W6,V7)</f>
        <v>100.29999999999998</v>
      </c>
      <c r="X7" s="38" t="str">
        <f>IF(U7&lt;0,(V7/W6-1)*100,"")</f>
        <v/>
      </c>
      <c r="Y7" s="38" t="str">
        <f t="shared" ref="Y7:Y9" si="2">IF(U8&gt;=0,X7,"")</f>
        <v/>
      </c>
      <c r="Z7" s="38" t="str">
        <f t="shared" ref="Z7:Z9" si="3">IF(X7&lt;0,X7^(2),"")</f>
        <v/>
      </c>
      <c r="AA7" s="38">
        <f>IF(V7&gt;AA6,V7,AA6)</f>
        <v>100.29999999999998</v>
      </c>
      <c r="AB7" s="38">
        <f>(V7/AA7-1)*100</f>
        <v>0</v>
      </c>
      <c r="AC7" s="43">
        <f>+AB7^2</f>
        <v>0</v>
      </c>
      <c r="AE7" s="144">
        <f>IF(AE6*(1+U7/100)&gt;100,100,AE6*(1+U7/100))</f>
        <v>100</v>
      </c>
      <c r="AF7" s="33" t="s">
        <v>0</v>
      </c>
      <c r="AG7" s="145">
        <f>+AE7/AE$6-1</f>
        <v>0</v>
      </c>
      <c r="AI7" s="117">
        <f>(V7/V$6-1)*100</f>
        <v>0.29999999999998916</v>
      </c>
    </row>
    <row r="8" spans="3:45" ht="15.75" thickBot="1" x14ac:dyDescent="0.3">
      <c r="C8" s="53">
        <v>2.6</v>
      </c>
      <c r="D8" s="38" t="s">
        <v>0</v>
      </c>
      <c r="E8" s="38" t="s">
        <v>0</v>
      </c>
      <c r="F8" s="38">
        <v>0</v>
      </c>
      <c r="G8" s="43">
        <f t="shared" ref="G8:G42" si="4">+F8^2</f>
        <v>0</v>
      </c>
      <c r="I8" s="32" t="s">
        <v>162</v>
      </c>
      <c r="J8" s="33"/>
      <c r="K8" s="33"/>
      <c r="L8" s="43">
        <f>(' Descriptive Statistics'!M6-'Appraisal Measures'!P6)/L6</f>
        <v>1.9242799794998398</v>
      </c>
      <c r="O8" s="32" t="s">
        <v>162</v>
      </c>
      <c r="P8" s="33"/>
      <c r="Q8" s="33"/>
      <c r="R8" s="43">
        <f>(' Descriptive Statistics'!M6-'Appraisal Measures'!P6)/R6</f>
        <v>1.424401656782369</v>
      </c>
      <c r="T8" t="s">
        <v>0</v>
      </c>
      <c r="U8" s="53">
        <v>2.6</v>
      </c>
      <c r="V8" s="38">
        <f t="shared" si="0"/>
        <v>102.90779999999998</v>
      </c>
      <c r="W8" s="38">
        <f t="shared" si="1"/>
        <v>102.90779999999998</v>
      </c>
      <c r="X8" s="38" t="str">
        <f t="shared" ref="X8:X42" si="5">IF(U8&lt;0,(V8/W7-1)*100,"")</f>
        <v/>
      </c>
      <c r="Y8" s="38" t="str">
        <f t="shared" si="2"/>
        <v/>
      </c>
      <c r="Z8" s="38" t="str">
        <f t="shared" si="3"/>
        <v/>
      </c>
      <c r="AA8" s="38">
        <f t="shared" ref="AA8:AA42" si="6">IF(V8&gt;AA7,V8,AA7)</f>
        <v>102.90779999999998</v>
      </c>
      <c r="AB8" s="38">
        <f t="shared" ref="AB8:AB42" si="7">(V8/AA8-1)*100</f>
        <v>0</v>
      </c>
      <c r="AC8" s="43">
        <f t="shared" ref="AC8:AC42" si="8">+AB8^2</f>
        <v>0</v>
      </c>
      <c r="AE8" s="144">
        <f t="shared" ref="AE8:AE42" si="9">IF(AE7*(1+U8/100)&gt;100,100,AE7*(1+U8/100))</f>
        <v>100</v>
      </c>
      <c r="AF8" s="33"/>
      <c r="AG8" s="145">
        <f t="shared" ref="AG8:AG42" si="10">+AE8/AE$6-1</f>
        <v>0</v>
      </c>
      <c r="AH8" s="138"/>
      <c r="AI8" s="118">
        <f t="shared" ref="AI8:AI18" si="11">(V8/V$6-1)*100</f>
        <v>2.9077999999999715</v>
      </c>
      <c r="AJ8" s="119">
        <f>+(V8/V$7-1)*100</f>
        <v>2.6000000000000023</v>
      </c>
      <c r="AK8" s="110"/>
    </row>
    <row r="9" spans="3:45" ht="15.75" thickBot="1" x14ac:dyDescent="0.3">
      <c r="C9" s="53">
        <v>1.1000000000000001</v>
      </c>
      <c r="D9" s="33" t="s">
        <v>0</v>
      </c>
      <c r="E9" s="38" t="s">
        <v>0</v>
      </c>
      <c r="F9" s="38">
        <v>0</v>
      </c>
      <c r="G9" s="43">
        <f t="shared" si="4"/>
        <v>0</v>
      </c>
      <c r="I9" s="32"/>
      <c r="J9" s="33"/>
      <c r="K9" s="33"/>
      <c r="L9" s="34"/>
      <c r="O9" s="32"/>
      <c r="P9" s="33"/>
      <c r="Q9" s="33"/>
      <c r="R9" s="34"/>
      <c r="T9" t="s">
        <v>0</v>
      </c>
      <c r="U9" s="53">
        <v>1.1000000000000001</v>
      </c>
      <c r="V9" s="38">
        <f t="shared" si="0"/>
        <v>104.03978579999998</v>
      </c>
      <c r="W9" s="38">
        <f t="shared" si="1"/>
        <v>104.03978579999998</v>
      </c>
      <c r="X9" s="38" t="str">
        <f t="shared" si="5"/>
        <v/>
      </c>
      <c r="Y9" s="38" t="str">
        <f t="shared" si="2"/>
        <v/>
      </c>
      <c r="Z9" s="38" t="str">
        <f t="shared" si="3"/>
        <v/>
      </c>
      <c r="AA9" s="38">
        <f t="shared" si="6"/>
        <v>104.03978579999998</v>
      </c>
      <c r="AB9" s="38">
        <f t="shared" si="7"/>
        <v>0</v>
      </c>
      <c r="AC9" s="43">
        <f t="shared" si="8"/>
        <v>0</v>
      </c>
      <c r="AE9" s="144">
        <f t="shared" si="9"/>
        <v>100</v>
      </c>
      <c r="AF9" s="33"/>
      <c r="AG9" s="145">
        <f t="shared" si="10"/>
        <v>0</v>
      </c>
      <c r="AH9" s="138"/>
      <c r="AI9" s="118">
        <f t="shared" si="11"/>
        <v>4.0397857999999731</v>
      </c>
      <c r="AJ9" s="118">
        <f t="shared" ref="AJ9:AJ18" si="12">+(V9/V$7-1)*100</f>
        <v>3.728599999999993</v>
      </c>
      <c r="AK9" s="119">
        <f>+(V9/V$8-1)*100</f>
        <v>1.0999999999999899</v>
      </c>
      <c r="AL9" s="110"/>
    </row>
    <row r="10" spans="3:45" ht="15.75" thickBot="1" x14ac:dyDescent="0.3">
      <c r="C10" s="53">
        <v>-0.9</v>
      </c>
      <c r="D10" s="38">
        <v>-0.8999999999999897</v>
      </c>
      <c r="E10" s="38">
        <f>+D10^2</f>
        <v>0.8099999999999814</v>
      </c>
      <c r="F10" s="38">
        <v>-0.8999999999999897</v>
      </c>
      <c r="G10" s="43">
        <f t="shared" si="4"/>
        <v>0.8099999999999814</v>
      </c>
      <c r="I10" s="32" t="s">
        <v>163</v>
      </c>
      <c r="J10" s="33"/>
      <c r="K10" s="33"/>
      <c r="L10" s="43">
        <f>((H58+H60+H62)/36)^0.5</f>
        <v>2.4540606938070808</v>
      </c>
      <c r="O10" s="32" t="s">
        <v>163</v>
      </c>
      <c r="P10" s="33"/>
      <c r="Q10" s="33"/>
      <c r="R10" s="43">
        <f>((E21+E24+E27)/36)^0.5</f>
        <v>2.2372925658035876</v>
      </c>
      <c r="T10" t="s">
        <v>0</v>
      </c>
      <c r="U10" s="53">
        <v>-0.9</v>
      </c>
      <c r="V10" s="38">
        <f t="shared" si="0"/>
        <v>103.10342772779998</v>
      </c>
      <c r="W10" s="38">
        <f t="shared" si="1"/>
        <v>104.03978579999998</v>
      </c>
      <c r="X10" s="38">
        <f t="shared" si="5"/>
        <v>-0.8999999999999897</v>
      </c>
      <c r="Y10" s="38">
        <f>IF(U11&gt;=0,X10,"")</f>
        <v>-0.8999999999999897</v>
      </c>
      <c r="Z10" s="38">
        <f t="shared" ref="Z10:Z42" si="13">IF(X10&lt;0,X10^(2),"")</f>
        <v>0.8099999999999814</v>
      </c>
      <c r="AA10" s="38">
        <f t="shared" si="6"/>
        <v>104.03978579999998</v>
      </c>
      <c r="AB10" s="38">
        <f t="shared" si="7"/>
        <v>-0.8999999999999897</v>
      </c>
      <c r="AC10" s="43">
        <f t="shared" si="8"/>
        <v>0.8099999999999814</v>
      </c>
      <c r="AE10" s="144">
        <f t="shared" si="9"/>
        <v>99.1</v>
      </c>
      <c r="AF10" s="33"/>
      <c r="AG10" s="145">
        <f t="shared" si="10"/>
        <v>-9.000000000000008E-3</v>
      </c>
      <c r="AH10" s="138"/>
      <c r="AI10" s="118">
        <f t="shared" si="11"/>
        <v>3.10342772779999</v>
      </c>
      <c r="AJ10" s="118">
        <f t="shared" si="12"/>
        <v>2.7950426000000084</v>
      </c>
      <c r="AK10" s="118">
        <f t="shared" ref="AK10:AK18" si="14">+(V10/V$8-1)*100</f>
        <v>0.19009999999999305</v>
      </c>
      <c r="AL10" s="119">
        <f>+(V10/V$9-1)*100</f>
        <v>-0.8999999999999897</v>
      </c>
      <c r="AM10" s="110"/>
    </row>
    <row r="11" spans="3:45" ht="15.75" thickBot="1" x14ac:dyDescent="0.3">
      <c r="C11" s="53">
        <v>1.4</v>
      </c>
      <c r="D11" s="38" t="s">
        <v>145</v>
      </c>
      <c r="E11" s="38" t="s">
        <v>99</v>
      </c>
      <c r="F11" s="38">
        <v>0</v>
      </c>
      <c r="G11" s="43">
        <f t="shared" si="4"/>
        <v>0</v>
      </c>
      <c r="I11" s="32"/>
      <c r="J11" s="33"/>
      <c r="K11" s="33"/>
      <c r="L11" s="34"/>
      <c r="O11" s="32"/>
      <c r="P11" s="33"/>
      <c r="Q11" s="33"/>
      <c r="R11" s="34"/>
      <c r="T11" t="s">
        <v>0</v>
      </c>
      <c r="U11" s="53">
        <v>1.4</v>
      </c>
      <c r="V11" s="38">
        <f t="shared" si="0"/>
        <v>104.54687571598919</v>
      </c>
      <c r="W11" s="38">
        <f t="shared" si="1"/>
        <v>104.54687571598919</v>
      </c>
      <c r="X11" s="38" t="str">
        <f t="shared" si="5"/>
        <v/>
      </c>
      <c r="Y11" s="38" t="str">
        <f t="shared" ref="Y11:Y42" si="15">IF(U12&gt;=0,X11,"")</f>
        <v/>
      </c>
      <c r="Z11" s="38" t="str">
        <f t="shared" si="13"/>
        <v/>
      </c>
      <c r="AA11" s="38">
        <f t="shared" si="6"/>
        <v>104.54687571598919</v>
      </c>
      <c r="AB11" s="38">
        <f t="shared" si="7"/>
        <v>0</v>
      </c>
      <c r="AC11" s="43">
        <f t="shared" si="8"/>
        <v>0</v>
      </c>
      <c r="AE11" s="144">
        <f t="shared" si="9"/>
        <v>100</v>
      </c>
      <c r="AF11" s="33"/>
      <c r="AG11" s="145">
        <f t="shared" si="10"/>
        <v>0</v>
      </c>
      <c r="AH11" s="138"/>
      <c r="AI11" s="118">
        <f t="shared" si="11"/>
        <v>4.5468757159891959</v>
      </c>
      <c r="AJ11" s="118">
        <f t="shared" si="12"/>
        <v>4.234173196400004</v>
      </c>
      <c r="AK11" s="118">
        <f t="shared" si="14"/>
        <v>1.5927613999999979</v>
      </c>
      <c r="AL11" s="118">
        <f t="shared" ref="AL11:AL18" si="16">+(V11/V$9-1)*100</f>
        <v>0.4874000000000045</v>
      </c>
      <c r="AM11" s="119">
        <f>+($V11/$V$10-1)*100</f>
        <v>1.4000000000000012</v>
      </c>
      <c r="AN11" s="110"/>
    </row>
    <row r="12" spans="3:45" ht="15.75" thickBot="1" x14ac:dyDescent="0.3">
      <c r="C12" s="53">
        <v>2.4</v>
      </c>
      <c r="D12" s="38" t="s">
        <v>145</v>
      </c>
      <c r="E12" s="38" t="s">
        <v>0</v>
      </c>
      <c r="F12" s="38">
        <v>0</v>
      </c>
      <c r="G12" s="43">
        <f t="shared" si="4"/>
        <v>0</v>
      </c>
      <c r="I12" s="32" t="s">
        <v>165</v>
      </c>
      <c r="J12" s="33"/>
      <c r="K12" s="33"/>
      <c r="L12" s="43">
        <f>(' Descriptive Statistics'!M6-'Appraisal Measures'!P6)/L10</f>
        <v>4.4250549215760788</v>
      </c>
      <c r="O12" s="32" t="s">
        <v>165</v>
      </c>
      <c r="P12" s="33"/>
      <c r="Q12" s="33"/>
      <c r="R12" s="43">
        <f>(' Descriptive Statistics'!M6-'Appraisal Measures'!P6)/R10</f>
        <v>4.8537922652404566</v>
      </c>
      <c r="T12" t="s">
        <v>0</v>
      </c>
      <c r="U12" s="53">
        <v>2.4</v>
      </c>
      <c r="V12" s="38">
        <f t="shared" si="0"/>
        <v>107.05600073317294</v>
      </c>
      <c r="W12" s="38">
        <f t="shared" si="1"/>
        <v>107.05600073317294</v>
      </c>
      <c r="X12" s="38" t="str">
        <f t="shared" si="5"/>
        <v/>
      </c>
      <c r="Y12" s="38" t="str">
        <f t="shared" si="15"/>
        <v/>
      </c>
      <c r="Z12" s="38" t="str">
        <f t="shared" si="13"/>
        <v/>
      </c>
      <c r="AA12" s="38">
        <f t="shared" si="6"/>
        <v>107.05600073317294</v>
      </c>
      <c r="AB12" s="38">
        <f t="shared" si="7"/>
        <v>0</v>
      </c>
      <c r="AC12" s="43">
        <f t="shared" si="8"/>
        <v>0</v>
      </c>
      <c r="AE12" s="144">
        <f t="shared" si="9"/>
        <v>100</v>
      </c>
      <c r="AF12" s="33" t="s">
        <v>181</v>
      </c>
      <c r="AG12" s="145">
        <f t="shared" si="10"/>
        <v>0</v>
      </c>
      <c r="AH12" s="138"/>
      <c r="AI12" s="118">
        <f t="shared" si="11"/>
        <v>7.0560007331729402</v>
      </c>
      <c r="AJ12" s="118">
        <f t="shared" si="12"/>
        <v>6.7357933531136061</v>
      </c>
      <c r="AK12" s="118">
        <f t="shared" si="14"/>
        <v>4.0309876736000172</v>
      </c>
      <c r="AL12" s="118">
        <f t="shared" si="16"/>
        <v>2.8990976000000224</v>
      </c>
      <c r="AM12" s="118">
        <f t="shared" ref="AM12:AM18" si="17">+($V12/$V$11-1)*100</f>
        <v>2.4000000000000021</v>
      </c>
      <c r="AN12" s="118">
        <f>+($V11/$V$10-1)*100</f>
        <v>1.4000000000000012</v>
      </c>
      <c r="AO12" s="110"/>
    </row>
    <row r="13" spans="3:45" ht="15.75" thickBot="1" x14ac:dyDescent="0.3">
      <c r="C13" s="53">
        <v>1.5</v>
      </c>
      <c r="D13" s="38" t="s">
        <v>145</v>
      </c>
      <c r="E13" s="38" t="s">
        <v>0</v>
      </c>
      <c r="F13" s="38">
        <v>0</v>
      </c>
      <c r="G13" s="43">
        <f t="shared" si="4"/>
        <v>0</v>
      </c>
      <c r="I13" s="32"/>
      <c r="J13" s="33"/>
      <c r="K13" s="33"/>
      <c r="L13" s="34"/>
      <c r="O13" s="35"/>
      <c r="P13" s="36"/>
      <c r="Q13" s="36"/>
      <c r="R13" s="37"/>
      <c r="T13" t="s">
        <v>0</v>
      </c>
      <c r="U13" s="53">
        <v>1.5</v>
      </c>
      <c r="V13" s="38">
        <f t="shared" si="0"/>
        <v>108.66184074417052</v>
      </c>
      <c r="W13" s="38">
        <f t="shared" si="1"/>
        <v>108.66184074417052</v>
      </c>
      <c r="X13" s="38" t="str">
        <f t="shared" si="5"/>
        <v/>
      </c>
      <c r="Y13" s="38" t="str">
        <f t="shared" si="15"/>
        <v/>
      </c>
      <c r="Z13" s="38" t="str">
        <f t="shared" si="13"/>
        <v/>
      </c>
      <c r="AA13" s="38">
        <f t="shared" si="6"/>
        <v>108.66184074417052</v>
      </c>
      <c r="AB13" s="38">
        <f t="shared" si="7"/>
        <v>0</v>
      </c>
      <c r="AC13" s="43">
        <f t="shared" si="8"/>
        <v>0</v>
      </c>
      <c r="AE13" s="144">
        <f t="shared" si="9"/>
        <v>100</v>
      </c>
      <c r="AF13" s="33"/>
      <c r="AG13" s="145">
        <f t="shared" si="10"/>
        <v>0</v>
      </c>
      <c r="AH13" s="138"/>
      <c r="AI13" s="118">
        <f t="shared" si="11"/>
        <v>8.6618407441705116</v>
      </c>
      <c r="AJ13" s="118">
        <f t="shared" si="12"/>
        <v>8.336830253410298</v>
      </c>
      <c r="AK13" s="118">
        <f t="shared" si="14"/>
        <v>5.5914524887040074</v>
      </c>
      <c r="AL13" s="118">
        <f t="shared" si="16"/>
        <v>4.4425840639999992</v>
      </c>
      <c r="AM13" s="118">
        <f t="shared" si="17"/>
        <v>3.9360000000000062</v>
      </c>
      <c r="AN13" s="118">
        <f t="shared" ref="AN13:AN18" si="18">+($V12/$V$10-1)*100</f>
        <v>3.8336000000000148</v>
      </c>
      <c r="AO13" s="119">
        <f>+($V13/$V$12-1)*100</f>
        <v>1.4999999999999902</v>
      </c>
      <c r="AP13" s="110"/>
    </row>
    <row r="14" spans="3:45" ht="15.75" thickBot="1" x14ac:dyDescent="0.3">
      <c r="C14" s="53">
        <v>6.6</v>
      </c>
      <c r="D14" s="38" t="s">
        <v>145</v>
      </c>
      <c r="E14" s="38" t="s">
        <v>0</v>
      </c>
      <c r="F14" s="38">
        <v>0</v>
      </c>
      <c r="G14" s="43">
        <f t="shared" si="4"/>
        <v>0</v>
      </c>
      <c r="I14" s="32" t="s">
        <v>166</v>
      </c>
      <c r="J14" s="33"/>
      <c r="K14" s="33"/>
      <c r="L14" s="43">
        <f>SUM(F50:F54)/3</f>
        <v>6.0441352226885989</v>
      </c>
      <c r="T14" t="s">
        <v>0</v>
      </c>
      <c r="U14" s="53">
        <v>6.6</v>
      </c>
      <c r="V14" s="38">
        <f t="shared" si="0"/>
        <v>115.83352223328578</v>
      </c>
      <c r="W14" s="38">
        <f t="shared" si="1"/>
        <v>115.83352223328578</v>
      </c>
      <c r="X14" s="38" t="str">
        <f t="shared" si="5"/>
        <v/>
      </c>
      <c r="Y14" s="38" t="str">
        <f t="shared" si="15"/>
        <v/>
      </c>
      <c r="Z14" s="38" t="str">
        <f t="shared" si="13"/>
        <v/>
      </c>
      <c r="AA14" s="38">
        <f t="shared" si="6"/>
        <v>115.83352223328578</v>
      </c>
      <c r="AB14" s="38">
        <f t="shared" si="7"/>
        <v>0</v>
      </c>
      <c r="AC14" s="43">
        <f t="shared" si="8"/>
        <v>0</v>
      </c>
      <c r="AE14" s="144">
        <f t="shared" si="9"/>
        <v>100</v>
      </c>
      <c r="AF14" s="33"/>
      <c r="AG14" s="145">
        <f t="shared" si="10"/>
        <v>0</v>
      </c>
      <c r="AH14" s="138"/>
      <c r="AI14" s="118">
        <f t="shared" si="11"/>
        <v>15.83352223328578</v>
      </c>
      <c r="AJ14" s="118">
        <f t="shared" si="12"/>
        <v>15.487061050135399</v>
      </c>
      <c r="AK14" s="118">
        <f t="shared" si="14"/>
        <v>12.560488352958465</v>
      </c>
      <c r="AL14" s="118">
        <f t="shared" si="16"/>
        <v>11.335794612224003</v>
      </c>
      <c r="AM14" s="118">
        <f t="shared" si="17"/>
        <v>10.795775999999989</v>
      </c>
      <c r="AN14" s="118">
        <f t="shared" si="18"/>
        <v>5.3911040000000021</v>
      </c>
      <c r="AO14" s="118">
        <f t="shared" ref="AO14:AO18" si="19">+($V14/$V$12-1)*100</f>
        <v>8.1990000000000016</v>
      </c>
      <c r="AP14" s="119">
        <f>+($V14/$V$13-1)*100</f>
        <v>6.6000000000000059</v>
      </c>
      <c r="AQ14" s="110"/>
    </row>
    <row r="15" spans="3:45" ht="15.75" thickBot="1" x14ac:dyDescent="0.3">
      <c r="C15" s="53">
        <v>-1.4</v>
      </c>
      <c r="D15" s="38">
        <v>-1.4000000000000012</v>
      </c>
      <c r="E15" s="38">
        <f t="shared" ref="E15:E40" si="20">+D15^2</f>
        <v>1.9600000000000035</v>
      </c>
      <c r="F15" s="38">
        <v>-1.4000000000000012</v>
      </c>
      <c r="G15" s="43">
        <f t="shared" si="4"/>
        <v>1.9600000000000035</v>
      </c>
      <c r="I15" s="32"/>
      <c r="J15" s="33"/>
      <c r="K15" s="33"/>
      <c r="L15" s="34"/>
      <c r="T15" t="s">
        <v>0</v>
      </c>
      <c r="U15" s="53">
        <v>-1.4</v>
      </c>
      <c r="V15" s="38">
        <f t="shared" si="0"/>
        <v>114.21185292201977</v>
      </c>
      <c r="W15" s="38">
        <f t="shared" si="1"/>
        <v>115.83352223328578</v>
      </c>
      <c r="X15" s="38">
        <f t="shared" si="5"/>
        <v>-1.4000000000000012</v>
      </c>
      <c r="Y15" s="38">
        <f t="shared" si="15"/>
        <v>-1.4000000000000012</v>
      </c>
      <c r="Z15" s="38">
        <f t="shared" si="13"/>
        <v>1.9600000000000035</v>
      </c>
      <c r="AA15" s="38">
        <f t="shared" si="6"/>
        <v>115.83352223328578</v>
      </c>
      <c r="AB15" s="38">
        <f t="shared" si="7"/>
        <v>-1.4000000000000012</v>
      </c>
      <c r="AC15" s="43">
        <f t="shared" si="8"/>
        <v>1.9600000000000035</v>
      </c>
      <c r="AE15" s="144">
        <f t="shared" si="9"/>
        <v>98.6</v>
      </c>
      <c r="AF15" s="33"/>
      <c r="AG15" s="145">
        <f t="shared" si="10"/>
        <v>-1.4000000000000012E-2</v>
      </c>
      <c r="AH15" s="138"/>
      <c r="AI15" s="118">
        <f t="shared" si="11"/>
        <v>14.211852922019762</v>
      </c>
      <c r="AJ15" s="118">
        <f t="shared" si="12"/>
        <v>13.870242195433491</v>
      </c>
      <c r="AK15" s="118">
        <f t="shared" si="14"/>
        <v>10.984641516017057</v>
      </c>
      <c r="AL15" s="118">
        <f t="shared" si="16"/>
        <v>9.777093487652877</v>
      </c>
      <c r="AM15" s="118">
        <f t="shared" si="17"/>
        <v>9.2446351360000012</v>
      </c>
      <c r="AN15" s="118">
        <f t="shared" si="18"/>
        <v>12.346916864000001</v>
      </c>
      <c r="AO15" s="118">
        <f t="shared" si="19"/>
        <v>6.6842139999999883</v>
      </c>
      <c r="AP15" s="118">
        <f t="shared" ref="AP15:AP18" si="21">+($V15/$V$13-1)*100</f>
        <v>5.1075999999999899</v>
      </c>
      <c r="AQ15" s="119">
        <f>+($V15/$V$14-1)*100</f>
        <v>-1.4000000000000012</v>
      </c>
      <c r="AR15" s="110"/>
    </row>
    <row r="16" spans="3:45" ht="15.75" thickBot="1" x14ac:dyDescent="0.3">
      <c r="C16" s="53">
        <v>3.9</v>
      </c>
      <c r="D16" s="38" t="s">
        <v>145</v>
      </c>
      <c r="E16" s="38" t="s">
        <v>0</v>
      </c>
      <c r="F16" s="38">
        <v>0</v>
      </c>
      <c r="G16" s="43">
        <f t="shared" si="4"/>
        <v>0</v>
      </c>
      <c r="I16" s="32" t="s">
        <v>167</v>
      </c>
      <c r="J16" s="33"/>
      <c r="K16" s="33"/>
      <c r="L16" s="43">
        <f>(' Descriptive Statistics'!M6-'Appraisal Measures'!P6)/L14</f>
        <v>1.7966761084717902</v>
      </c>
      <c r="T16" t="s">
        <v>0</v>
      </c>
      <c r="U16" s="53">
        <v>3.9</v>
      </c>
      <c r="V16" s="38">
        <f t="shared" si="0"/>
        <v>118.66611518597854</v>
      </c>
      <c r="W16" s="38">
        <f t="shared" si="1"/>
        <v>118.66611518597854</v>
      </c>
      <c r="X16" s="38" t="str">
        <f t="shared" si="5"/>
        <v/>
      </c>
      <c r="Y16" s="38" t="str">
        <f t="shared" si="15"/>
        <v/>
      </c>
      <c r="Z16" s="38" t="str">
        <f t="shared" si="13"/>
        <v/>
      </c>
      <c r="AA16" s="38">
        <f t="shared" si="6"/>
        <v>118.66611518597854</v>
      </c>
      <c r="AB16" s="38">
        <f t="shared" si="7"/>
        <v>0</v>
      </c>
      <c r="AC16" s="43">
        <f t="shared" si="8"/>
        <v>0</v>
      </c>
      <c r="AE16" s="144">
        <f t="shared" si="9"/>
        <v>100</v>
      </c>
      <c r="AF16" s="33"/>
      <c r="AG16" s="145">
        <f t="shared" si="10"/>
        <v>0</v>
      </c>
      <c r="AH16" s="138"/>
      <c r="AI16" s="118">
        <f t="shared" si="11"/>
        <v>18.666115185978537</v>
      </c>
      <c r="AJ16" s="118">
        <f t="shared" si="12"/>
        <v>18.311181641055384</v>
      </c>
      <c r="AK16" s="118">
        <f t="shared" si="14"/>
        <v>15.313042535141719</v>
      </c>
      <c r="AL16" s="118">
        <f t="shared" si="16"/>
        <v>14.058400133671324</v>
      </c>
      <c r="AM16" s="118">
        <f t="shared" si="17"/>
        <v>13.505175906304</v>
      </c>
      <c r="AN16" s="118">
        <f t="shared" si="18"/>
        <v>10.774060027903998</v>
      </c>
      <c r="AO16" s="118">
        <f t="shared" si="19"/>
        <v>10.844898345999976</v>
      </c>
      <c r="AP16" s="118">
        <f t="shared" si="21"/>
        <v>9.2067963999999947</v>
      </c>
      <c r="AQ16" s="118">
        <f t="shared" ref="AQ16:AQ18" si="22">+($V16/$V$14-1)*100</f>
        <v>2.4453999999999976</v>
      </c>
      <c r="AR16" s="119">
        <f>+($V16/$V$15-1)*100</f>
        <v>3.8999999999999924</v>
      </c>
      <c r="AS16" s="110"/>
    </row>
    <row r="17" spans="3:61" ht="15.75" thickBot="1" x14ac:dyDescent="0.3">
      <c r="C17" s="53">
        <v>-0.5</v>
      </c>
      <c r="D17" s="38">
        <v>-0.50000000000000044</v>
      </c>
      <c r="E17" s="38">
        <f t="shared" si="20"/>
        <v>0.25000000000000044</v>
      </c>
      <c r="F17" s="38">
        <v>-0.50000000000000044</v>
      </c>
      <c r="G17" s="43">
        <f t="shared" si="4"/>
        <v>0.25000000000000044</v>
      </c>
      <c r="I17" s="32"/>
      <c r="J17" s="33"/>
      <c r="K17" s="33"/>
      <c r="L17" s="34"/>
      <c r="T17" t="s">
        <v>0</v>
      </c>
      <c r="U17" s="53">
        <v>-0.5</v>
      </c>
      <c r="V17" s="38">
        <f t="shared" si="0"/>
        <v>118.07278461004864</v>
      </c>
      <c r="W17" s="38">
        <f t="shared" si="1"/>
        <v>118.66611518597854</v>
      </c>
      <c r="X17" s="38">
        <f t="shared" si="5"/>
        <v>-0.50000000000000044</v>
      </c>
      <c r="Y17" s="38">
        <f t="shared" si="15"/>
        <v>-0.50000000000000044</v>
      </c>
      <c r="Z17" s="38">
        <f t="shared" si="13"/>
        <v>0.25000000000000044</v>
      </c>
      <c r="AA17" s="38">
        <f t="shared" si="6"/>
        <v>118.66611518597854</v>
      </c>
      <c r="AB17" s="38">
        <f t="shared" si="7"/>
        <v>-0.50000000000000044</v>
      </c>
      <c r="AC17" s="43">
        <f t="shared" si="8"/>
        <v>0.25000000000000044</v>
      </c>
      <c r="AE17" s="144">
        <f t="shared" si="9"/>
        <v>99.5</v>
      </c>
      <c r="AF17" s="33"/>
      <c r="AG17" s="145">
        <f t="shared" si="10"/>
        <v>-5.0000000000000044E-3</v>
      </c>
      <c r="AH17" s="138"/>
      <c r="AI17" s="118">
        <f t="shared" si="11"/>
        <v>18.072784610048643</v>
      </c>
      <c r="AJ17" s="118">
        <f t="shared" si="12"/>
        <v>17.719625732850108</v>
      </c>
      <c r="AK17" s="118">
        <f t="shared" si="14"/>
        <v>14.736477322465991</v>
      </c>
      <c r="AL17" s="118">
        <f t="shared" si="16"/>
        <v>13.488108133002964</v>
      </c>
      <c r="AM17" s="118">
        <f t="shared" si="17"/>
        <v>12.937650026772474</v>
      </c>
      <c r="AN17" s="118">
        <f t="shared" si="18"/>
        <v>15.094248368992247</v>
      </c>
      <c r="AO17" s="118">
        <f t="shared" si="19"/>
        <v>10.290673854269983</v>
      </c>
      <c r="AP17" s="118">
        <f t="shared" si="21"/>
        <v>8.6607624180000009</v>
      </c>
      <c r="AQ17" s="118">
        <f t="shared" si="22"/>
        <v>1.9331729999999991</v>
      </c>
      <c r="AR17" s="118">
        <f>+($V17/$V$15-1)*100</f>
        <v>3.3804999999999863</v>
      </c>
      <c r="AS17" s="119">
        <f>+($V17/$V$16-1)*100</f>
        <v>-0.50000000000000044</v>
      </c>
      <c r="AT17" s="110"/>
    </row>
    <row r="18" spans="3:61" ht="15.75" thickBot="1" x14ac:dyDescent="0.3">
      <c r="C18" s="53">
        <v>8.1</v>
      </c>
      <c r="D18" s="38" t="s">
        <v>145</v>
      </c>
      <c r="E18" s="38" t="s">
        <v>0</v>
      </c>
      <c r="F18" s="38">
        <v>0</v>
      </c>
      <c r="G18" s="43">
        <f t="shared" si="4"/>
        <v>0</v>
      </c>
      <c r="I18" s="32" t="s">
        <v>168</v>
      </c>
      <c r="J18" s="33"/>
      <c r="K18" s="33"/>
      <c r="L18" s="43">
        <f>ABS(F44)/36</f>
        <v>3.7590475550992841</v>
      </c>
      <c r="T18" t="s">
        <v>0</v>
      </c>
      <c r="U18" s="53">
        <v>8.1</v>
      </c>
      <c r="V18" s="38">
        <f t="shared" si="0"/>
        <v>127.63668016346257</v>
      </c>
      <c r="W18" s="38">
        <f t="shared" si="1"/>
        <v>127.63668016346257</v>
      </c>
      <c r="X18" s="38" t="str">
        <f t="shared" si="5"/>
        <v/>
      </c>
      <c r="Y18" s="38" t="str">
        <f t="shared" si="15"/>
        <v/>
      </c>
      <c r="Z18" s="38" t="str">
        <f t="shared" si="13"/>
        <v/>
      </c>
      <c r="AA18" s="38">
        <f t="shared" si="6"/>
        <v>127.63668016346257</v>
      </c>
      <c r="AB18" s="38">
        <f t="shared" si="7"/>
        <v>0</v>
      </c>
      <c r="AC18" s="43">
        <f t="shared" si="8"/>
        <v>0</v>
      </c>
      <c r="AE18" s="144">
        <f t="shared" si="9"/>
        <v>100</v>
      </c>
      <c r="AF18" s="33" t="s">
        <v>182</v>
      </c>
      <c r="AG18" s="145">
        <f t="shared" si="10"/>
        <v>0</v>
      </c>
      <c r="AH18" s="138"/>
      <c r="AI18" s="118">
        <f t="shared" si="11"/>
        <v>27.636680163462568</v>
      </c>
      <c r="AJ18" s="118">
        <f t="shared" si="12"/>
        <v>27.254915417210967</v>
      </c>
      <c r="AK18" s="118">
        <f t="shared" si="14"/>
        <v>24.030131985585722</v>
      </c>
      <c r="AL18" s="118">
        <f t="shared" si="16"/>
        <v>22.68064489177619</v>
      </c>
      <c r="AM18" s="118">
        <f t="shared" si="17"/>
        <v>22.085599678941037</v>
      </c>
      <c r="AN18" s="118">
        <f t="shared" si="18"/>
        <v>14.518777127147287</v>
      </c>
      <c r="AO18" s="118">
        <f t="shared" si="19"/>
        <v>19.224218436465847</v>
      </c>
      <c r="AP18" s="118">
        <f t="shared" si="21"/>
        <v>17.462284173857977</v>
      </c>
      <c r="AQ18" s="118">
        <f t="shared" si="22"/>
        <v>10.189760012999983</v>
      </c>
      <c r="AR18" s="118">
        <f>+($V18/$V$15-1)*100</f>
        <v>11.754320499999981</v>
      </c>
      <c r="AS18" s="118">
        <f>+($V18/$V$16-1)*100</f>
        <v>7.5594999999999857</v>
      </c>
      <c r="AT18" s="119">
        <f>+($V18/$V$17-1)*100</f>
        <v>8.0999999999999961</v>
      </c>
      <c r="AU18" s="110"/>
    </row>
    <row r="19" spans="3:61" ht="15.75" thickBot="1" x14ac:dyDescent="0.3">
      <c r="C19" s="53">
        <v>4</v>
      </c>
      <c r="D19" s="38" t="s">
        <v>145</v>
      </c>
      <c r="E19" s="38" t="s">
        <v>0</v>
      </c>
      <c r="F19" s="38">
        <v>0</v>
      </c>
      <c r="G19" s="43">
        <f t="shared" si="4"/>
        <v>0</v>
      </c>
      <c r="I19" s="32"/>
      <c r="J19" s="33"/>
      <c r="K19" s="33"/>
      <c r="L19" s="34"/>
      <c r="T19" t="s">
        <v>0</v>
      </c>
      <c r="U19" s="53">
        <v>4</v>
      </c>
      <c r="V19" s="38">
        <f t="shared" si="0"/>
        <v>132.74214737000108</v>
      </c>
      <c r="W19" s="38">
        <f t="shared" si="1"/>
        <v>132.74214737000108</v>
      </c>
      <c r="X19" s="38" t="str">
        <f t="shared" si="5"/>
        <v/>
      </c>
      <c r="Y19" s="38" t="str">
        <f t="shared" si="15"/>
        <v/>
      </c>
      <c r="Z19" s="38" t="str">
        <f t="shared" si="13"/>
        <v/>
      </c>
      <c r="AA19" s="38">
        <f t="shared" si="6"/>
        <v>132.74214737000108</v>
      </c>
      <c r="AB19" s="38">
        <f t="shared" si="7"/>
        <v>0</v>
      </c>
      <c r="AC19" s="43">
        <f t="shared" si="8"/>
        <v>0</v>
      </c>
      <c r="AE19" s="144">
        <f t="shared" si="9"/>
        <v>100</v>
      </c>
      <c r="AF19" s="33"/>
      <c r="AG19" s="145">
        <f t="shared" si="10"/>
        <v>0</v>
      </c>
      <c r="AI19" s="120">
        <f>(V19/V$6-1)*100</f>
        <v>32.742147370001071</v>
      </c>
      <c r="AJ19" s="121">
        <f>+(V19/V$7-1)*100</f>
        <v>32.345112033899404</v>
      </c>
      <c r="AK19" s="121">
        <f>+(V19/V$8-1)*100</f>
        <v>28.991337265009175</v>
      </c>
      <c r="AL19" s="121">
        <f>+(V19/V$9-1)*100</f>
        <v>27.587870687447257</v>
      </c>
      <c r="AM19" s="121">
        <f>+($V19/$V$10-1)*100</f>
        <v>28.746589997424053</v>
      </c>
      <c r="AN19" s="121">
        <f>+($V18/$V$11-1)*100</f>
        <v>22.085599678941037</v>
      </c>
      <c r="AO19" s="121">
        <f>+($V19/$V$12-1)*100</f>
        <v>23.993187173924468</v>
      </c>
      <c r="AP19" s="121">
        <f>+($V19/$V$13-1)*100</f>
        <v>22.160775540812306</v>
      </c>
      <c r="AQ19" s="121">
        <f>+($V19/$V$14-1)*100</f>
        <v>14.597350413519973</v>
      </c>
      <c r="AR19" s="121">
        <f>+($V19/$V$15-1)*100</f>
        <v>16.224493319999979</v>
      </c>
      <c r="AS19" s="121">
        <f>+($V19/$V$16-1)*100</f>
        <v>11.861879999999992</v>
      </c>
      <c r="AT19" s="121">
        <f>+($V19/$V$17-1)*100</f>
        <v>12.423999999999991</v>
      </c>
      <c r="AU19" s="122">
        <f>+($V19/$V$18-1)*100</f>
        <v>4.0000000000000036</v>
      </c>
      <c r="AV19" s="107"/>
    </row>
    <row r="20" spans="3:61" ht="15.75" thickBot="1" x14ac:dyDescent="0.3">
      <c r="C20" s="53">
        <v>-3.7</v>
      </c>
      <c r="D20" s="38" t="s">
        <v>145</v>
      </c>
      <c r="E20" s="38" t="s">
        <v>0</v>
      </c>
      <c r="F20" s="38">
        <v>-3.7000000000000033</v>
      </c>
      <c r="G20" s="43">
        <f t="shared" si="4"/>
        <v>13.690000000000024</v>
      </c>
      <c r="I20" s="32" t="s">
        <v>169</v>
      </c>
      <c r="J20" s="33"/>
      <c r="K20" s="33"/>
      <c r="L20" s="43">
        <f>(' Descriptive Statistics'!M6-'Appraisal Measures'!P6)/L18</f>
        <v>2.8888576672158144</v>
      </c>
      <c r="U20" s="53">
        <v>-3.7</v>
      </c>
      <c r="V20" s="38">
        <f t="shared" si="0"/>
        <v>127.83068791731104</v>
      </c>
      <c r="W20" s="38">
        <f t="shared" si="1"/>
        <v>132.74214737000108</v>
      </c>
      <c r="X20" s="38">
        <f t="shared" si="5"/>
        <v>-3.7000000000000033</v>
      </c>
      <c r="Y20" s="38" t="str">
        <f t="shared" si="15"/>
        <v/>
      </c>
      <c r="Z20" s="38">
        <f t="shared" si="13"/>
        <v>13.690000000000024</v>
      </c>
      <c r="AA20" s="38">
        <f t="shared" si="6"/>
        <v>132.74214737000108</v>
      </c>
      <c r="AB20" s="38">
        <f t="shared" si="7"/>
        <v>-3.7000000000000033</v>
      </c>
      <c r="AC20" s="43">
        <f t="shared" si="8"/>
        <v>13.690000000000024</v>
      </c>
      <c r="AE20" s="144">
        <f t="shared" si="9"/>
        <v>96.3</v>
      </c>
      <c r="AF20" s="33"/>
      <c r="AG20" s="145">
        <f t="shared" si="10"/>
        <v>-3.7000000000000033E-2</v>
      </c>
      <c r="AI20" s="120">
        <f t="shared" ref="AI20:AI42" si="23">(V20/V$7-1)*100</f>
        <v>27.448342888645129</v>
      </c>
      <c r="AJ20" s="121">
        <f t="shared" ref="AJ20:AJ42" si="24">+(V20/V$8-1)*100</f>
        <v>24.218657786203824</v>
      </c>
      <c r="AK20" s="121">
        <f t="shared" ref="AK20:AK42" si="25">+(V20/V$9-1)*100</f>
        <v>22.867119472011698</v>
      </c>
      <c r="AL20" s="121">
        <f t="shared" ref="AL20:AL42" si="26">+(V20/V$10-1)*100</f>
        <v>23.982966167519383</v>
      </c>
      <c r="AM20" s="121">
        <f t="shared" ref="AM20:AM42" si="27">+($V20/$V$11-1)*100</f>
        <v>22.271169790453026</v>
      </c>
      <c r="AN20" s="121">
        <f t="shared" ref="AN20:AN42" si="28">+($V19/$V$11-1)*100</f>
        <v>26.969023666098678</v>
      </c>
      <c r="AO20" s="121">
        <f t="shared" ref="AO20:AO42" si="29">+($V20/$V$13-1)*100</f>
        <v>17.640826845802259</v>
      </c>
      <c r="AP20" s="121">
        <f t="shared" ref="AP20:AP42" si="30">+($V20/$V$14-1)*100</f>
        <v>10.357248448219746</v>
      </c>
      <c r="AQ20" s="121">
        <f t="shared" ref="AQ20:AQ42" si="31">+($V20/$V$15-1)*100</f>
        <v>11.924187067159986</v>
      </c>
      <c r="AR20" s="121">
        <f t="shared" ref="AR20:AR42" si="32">+($V20/$V$16-1)*100</f>
        <v>7.7229904399999993</v>
      </c>
      <c r="AS20" s="121">
        <f t="shared" ref="AS20:AS42" si="33">+($V20/$V$17-1)*100</f>
        <v>8.2643119999999968</v>
      </c>
      <c r="AT20" s="121">
        <f t="shared" ref="AT20:AU42" si="34">+($V20/$V$18-1)*100</f>
        <v>0.15199999999999658</v>
      </c>
      <c r="AU20" s="123">
        <f t="shared" si="34"/>
        <v>0.15199999999999658</v>
      </c>
      <c r="AV20" s="122">
        <f>+($V20/$V$19-1)*100</f>
        <v>-3.7000000000000033</v>
      </c>
      <c r="AW20" s="107"/>
    </row>
    <row r="21" spans="3:61" ht="15.75" thickBot="1" x14ac:dyDescent="0.3">
      <c r="C21" s="53">
        <v>-6.1</v>
      </c>
      <c r="D21" s="38">
        <v>-9.5742999999999903</v>
      </c>
      <c r="E21" s="38">
        <f t="shared" si="20"/>
        <v>91.667220489999821</v>
      </c>
      <c r="F21" s="38">
        <v>-9.5742999999999903</v>
      </c>
      <c r="G21" s="43">
        <f t="shared" si="4"/>
        <v>91.667220489999821</v>
      </c>
      <c r="I21" s="32"/>
      <c r="J21" s="33"/>
      <c r="K21" s="33"/>
      <c r="L21" s="34"/>
      <c r="U21" s="53">
        <v>-6.1</v>
      </c>
      <c r="V21" s="38">
        <f t="shared" si="0"/>
        <v>120.03301595435508</v>
      </c>
      <c r="W21" s="38">
        <f t="shared" si="1"/>
        <v>132.74214737000108</v>
      </c>
      <c r="X21" s="38">
        <f t="shared" si="5"/>
        <v>-9.5742999999999903</v>
      </c>
      <c r="Y21" s="38">
        <f t="shared" si="15"/>
        <v>-9.5742999999999903</v>
      </c>
      <c r="Z21" s="38">
        <f t="shared" si="13"/>
        <v>91.667220489999821</v>
      </c>
      <c r="AA21" s="38">
        <f t="shared" si="6"/>
        <v>132.74214737000108</v>
      </c>
      <c r="AB21" s="38">
        <f t="shared" si="7"/>
        <v>-9.5742999999999903</v>
      </c>
      <c r="AC21" s="43">
        <f t="shared" si="8"/>
        <v>91.667220489999821</v>
      </c>
      <c r="AE21" s="144">
        <f t="shared" si="9"/>
        <v>90.425700000000006</v>
      </c>
      <c r="AF21" s="33"/>
      <c r="AG21" s="145">
        <f t="shared" si="10"/>
        <v>-9.5742999999999912E-2</v>
      </c>
      <c r="AI21" s="120">
        <f t="shared" si="23"/>
        <v>19.673993972437785</v>
      </c>
      <c r="AJ21" s="121">
        <f t="shared" si="24"/>
        <v>16.641319661245401</v>
      </c>
      <c r="AK21" s="121">
        <f t="shared" si="25"/>
        <v>15.372225184219012</v>
      </c>
      <c r="AL21" s="121">
        <f t="shared" si="26"/>
        <v>16.420005231300692</v>
      </c>
      <c r="AM21" s="121">
        <f t="shared" si="27"/>
        <v>14.812628433235409</v>
      </c>
      <c r="AN21" s="121">
        <f t="shared" si="28"/>
        <v>22.271169790453026</v>
      </c>
      <c r="AO21" s="121">
        <f t="shared" si="29"/>
        <v>10.464736408208331</v>
      </c>
      <c r="AP21" s="121">
        <f t="shared" si="30"/>
        <v>3.6254562928783596</v>
      </c>
      <c r="AQ21" s="121">
        <f t="shared" si="31"/>
        <v>5.0968116560632382</v>
      </c>
      <c r="AR21" s="121">
        <f t="shared" si="32"/>
        <v>1.1518880231599971</v>
      </c>
      <c r="AS21" s="121">
        <f t="shared" si="33"/>
        <v>1.6601889679999982</v>
      </c>
      <c r="AT21" s="121">
        <f t="shared" si="34"/>
        <v>-5.9572719999999908</v>
      </c>
      <c r="AU21" s="123">
        <f t="shared" si="34"/>
        <v>-5.9572719999999908</v>
      </c>
      <c r="AV21" s="123">
        <f t="shared" ref="AV21:AV30" si="35">+($V21/$V$19-1)*100</f>
        <v>-9.5742999999999903</v>
      </c>
      <c r="AW21" s="122">
        <f>+($V21/$V$20-1)*100</f>
        <v>-6.0999999999999943</v>
      </c>
      <c r="AX21" s="110"/>
    </row>
    <row r="22" spans="3:61" ht="15.75" thickBot="1" x14ac:dyDescent="0.3">
      <c r="C22" s="53">
        <v>1.4</v>
      </c>
      <c r="D22" s="38" t="s">
        <v>145</v>
      </c>
      <c r="E22" s="38" t="s">
        <v>0</v>
      </c>
      <c r="F22" s="38">
        <v>-8.3083401999999857</v>
      </c>
      <c r="G22" s="43">
        <f t="shared" si="4"/>
        <v>69.028516878935804</v>
      </c>
      <c r="I22" s="32" t="s">
        <v>170</v>
      </c>
      <c r="J22" s="33"/>
      <c r="K22" s="33"/>
      <c r="L22" s="43">
        <f>(G44/36)^0.5</f>
        <v>5.974926249592607</v>
      </c>
      <c r="U22" s="53">
        <v>1.4</v>
      </c>
      <c r="V22" s="38">
        <f t="shared" si="0"/>
        <v>121.71347817771606</v>
      </c>
      <c r="W22" s="38">
        <f t="shared" si="1"/>
        <v>121.71347817771606</v>
      </c>
      <c r="X22" s="38" t="str">
        <f t="shared" si="5"/>
        <v/>
      </c>
      <c r="Y22" s="38" t="str">
        <f t="shared" si="15"/>
        <v/>
      </c>
      <c r="Z22" s="38" t="str">
        <f t="shared" si="13"/>
        <v/>
      </c>
      <c r="AA22" s="38">
        <f t="shared" si="6"/>
        <v>132.74214737000108</v>
      </c>
      <c r="AB22" s="38">
        <f t="shared" si="7"/>
        <v>-8.3083401999999857</v>
      </c>
      <c r="AC22" s="43">
        <f t="shared" si="8"/>
        <v>69.028516878935804</v>
      </c>
      <c r="AE22" s="144">
        <f t="shared" si="9"/>
        <v>91.691659800000011</v>
      </c>
      <c r="AF22" s="33"/>
      <c r="AG22" s="145">
        <f t="shared" si="10"/>
        <v>-8.3083401999999862E-2</v>
      </c>
      <c r="AI22" s="120">
        <f t="shared" si="23"/>
        <v>21.34942988805193</v>
      </c>
      <c r="AJ22" s="121">
        <f t="shared" si="24"/>
        <v>18.274298136502853</v>
      </c>
      <c r="AK22" s="121">
        <f t="shared" si="25"/>
        <v>16.987436336798069</v>
      </c>
      <c r="AL22" s="121">
        <f t="shared" si="26"/>
        <v>18.049885304538925</v>
      </c>
      <c r="AM22" s="121">
        <f t="shared" si="27"/>
        <v>16.420005231300692</v>
      </c>
      <c r="AN22" s="121">
        <f t="shared" si="28"/>
        <v>14.812628433235409</v>
      </c>
      <c r="AO22" s="121">
        <f t="shared" si="29"/>
        <v>12.011242717923242</v>
      </c>
      <c r="AP22" s="121">
        <f t="shared" si="30"/>
        <v>5.0762126809786423</v>
      </c>
      <c r="AQ22" s="121">
        <f t="shared" si="31"/>
        <v>6.5681670192481389</v>
      </c>
      <c r="AR22" s="121">
        <f t="shared" si="32"/>
        <v>2.5680144554842466</v>
      </c>
      <c r="AS22" s="121">
        <f t="shared" si="33"/>
        <v>3.0834316135520012</v>
      </c>
      <c r="AT22" s="121">
        <f t="shared" si="34"/>
        <v>-4.6406738079999847</v>
      </c>
      <c r="AU22" s="123">
        <f t="shared" si="34"/>
        <v>-4.6406738079999847</v>
      </c>
      <c r="AV22" s="123">
        <f t="shared" si="35"/>
        <v>-8.3083401999999857</v>
      </c>
      <c r="AW22" s="123">
        <f t="shared" ref="AW22:AW30" si="36">+($V22/$V$20-1)*100</f>
        <v>-4.7853999999999841</v>
      </c>
      <c r="AX22" s="122">
        <f>+($V22/$V$21-1)*100</f>
        <v>1.4000000000000012</v>
      </c>
      <c r="AY22" s="110"/>
    </row>
    <row r="23" spans="3:61" ht="15.75" thickBot="1" x14ac:dyDescent="0.3">
      <c r="C23" s="53">
        <v>-4.9000000000000004</v>
      </c>
      <c r="D23" s="38" t="s">
        <v>145</v>
      </c>
      <c r="E23" s="38" t="s">
        <v>0</v>
      </c>
      <c r="F23" s="38">
        <v>-12.801231530199997</v>
      </c>
      <c r="G23" s="43">
        <f t="shared" si="4"/>
        <v>163.87152868978657</v>
      </c>
      <c r="I23" s="32"/>
      <c r="J23" s="33"/>
      <c r="K23" s="33"/>
      <c r="L23" s="34"/>
      <c r="U23" s="53">
        <v>-4.9000000000000004</v>
      </c>
      <c r="V23" s="38">
        <f t="shared" si="0"/>
        <v>115.74951774700796</v>
      </c>
      <c r="W23" s="38">
        <f t="shared" si="1"/>
        <v>121.71347817771606</v>
      </c>
      <c r="X23" s="38">
        <f t="shared" si="5"/>
        <v>-4.9000000000000039</v>
      </c>
      <c r="Y23" s="38" t="str">
        <f t="shared" si="15"/>
        <v/>
      </c>
      <c r="Z23" s="38">
        <f t="shared" si="13"/>
        <v>24.010000000000037</v>
      </c>
      <c r="AA23" s="38">
        <f t="shared" si="6"/>
        <v>132.74214737000108</v>
      </c>
      <c r="AB23" s="38">
        <f t="shared" si="7"/>
        <v>-12.801231530199997</v>
      </c>
      <c r="AC23" s="43">
        <f t="shared" si="8"/>
        <v>163.87152868978657</v>
      </c>
      <c r="AE23" s="144">
        <f t="shared" si="9"/>
        <v>87.198768469800001</v>
      </c>
      <c r="AF23" s="33"/>
      <c r="AG23" s="145">
        <f t="shared" si="10"/>
        <v>-0.12801231530199997</v>
      </c>
      <c r="AI23" s="120">
        <f t="shared" si="23"/>
        <v>15.403307823537361</v>
      </c>
      <c r="AJ23" s="121">
        <f t="shared" si="24"/>
        <v>12.478857527814192</v>
      </c>
      <c r="AK23" s="121">
        <f t="shared" si="25"/>
        <v>11.255051956294949</v>
      </c>
      <c r="AL23" s="121">
        <f t="shared" si="26"/>
        <v>12.265440924616499</v>
      </c>
      <c r="AM23" s="121">
        <f t="shared" si="27"/>
        <v>10.715424974966957</v>
      </c>
      <c r="AN23" s="121">
        <f t="shared" si="28"/>
        <v>16.420005231300692</v>
      </c>
      <c r="AO23" s="121">
        <f t="shared" si="29"/>
        <v>6.5226918247449861</v>
      </c>
      <c r="AP23" s="121">
        <f t="shared" si="30"/>
        <v>-7.2521740389308587E-2</v>
      </c>
      <c r="AQ23" s="121">
        <f t="shared" si="31"/>
        <v>1.3463268353049562</v>
      </c>
      <c r="AR23" s="121">
        <f t="shared" si="32"/>
        <v>-2.4578182528344872</v>
      </c>
      <c r="AS23" s="121">
        <f t="shared" si="33"/>
        <v>-1.9676565355120523</v>
      </c>
      <c r="AT23" s="121">
        <f t="shared" si="34"/>
        <v>-9.3132807914079958</v>
      </c>
      <c r="AU23" s="123">
        <f t="shared" si="34"/>
        <v>-9.3132807914079958</v>
      </c>
      <c r="AV23" s="123">
        <f t="shared" si="35"/>
        <v>-12.801231530199997</v>
      </c>
      <c r="AW23" s="123">
        <f t="shared" si="36"/>
        <v>-9.4509153999999924</v>
      </c>
      <c r="AX23" s="123">
        <f t="shared" ref="AX23:AX30" si="37">+($V23/$V$21-1)*100</f>
        <v>-3.5686000000000107</v>
      </c>
      <c r="AY23" s="122">
        <f>+($V23/$V$22-1)*100</f>
        <v>-4.9000000000000039</v>
      </c>
      <c r="AZ23" s="107"/>
    </row>
    <row r="24" spans="3:61" ht="15.75" thickBot="1" x14ac:dyDescent="0.3">
      <c r="C24" s="53">
        <v>-2.1</v>
      </c>
      <c r="D24" s="38">
        <v>-6.8971000000000116</v>
      </c>
      <c r="E24" s="38">
        <f t="shared" si="20"/>
        <v>47.569988410000157</v>
      </c>
      <c r="F24" s="38">
        <v>-14.632405668065795</v>
      </c>
      <c r="G24" s="43">
        <f t="shared" si="4"/>
        <v>214.10729563484401</v>
      </c>
      <c r="I24" s="35" t="s">
        <v>171</v>
      </c>
      <c r="J24" s="36"/>
      <c r="K24" s="36"/>
      <c r="L24" s="76">
        <f>(' Descriptive Statistics'!M6-'Appraisal Measures'!P6)/L22</f>
        <v>1.8174874295256549</v>
      </c>
      <c r="U24" s="53">
        <v>-2.1</v>
      </c>
      <c r="V24" s="38">
        <f t="shared" si="0"/>
        <v>113.31877787432079</v>
      </c>
      <c r="W24" s="38">
        <f t="shared" si="1"/>
        <v>121.71347817771606</v>
      </c>
      <c r="X24" s="38">
        <f t="shared" si="5"/>
        <v>-6.8971000000000116</v>
      </c>
      <c r="Y24" s="38">
        <f t="shared" si="15"/>
        <v>-6.8971000000000116</v>
      </c>
      <c r="Z24" s="38">
        <f t="shared" si="13"/>
        <v>47.569988410000157</v>
      </c>
      <c r="AA24" s="38">
        <f t="shared" si="6"/>
        <v>132.74214737000108</v>
      </c>
      <c r="AB24" s="38">
        <f t="shared" si="7"/>
        <v>-14.632405668065795</v>
      </c>
      <c r="AC24" s="43">
        <f t="shared" si="8"/>
        <v>214.10729563484401</v>
      </c>
      <c r="AE24" s="144">
        <f t="shared" si="9"/>
        <v>85.3675943319342</v>
      </c>
      <c r="AF24" s="33" t="s">
        <v>183</v>
      </c>
      <c r="AG24" s="145">
        <f t="shared" si="10"/>
        <v>-0.14632405668065795</v>
      </c>
      <c r="AI24" s="120">
        <f t="shared" si="23"/>
        <v>12.979838359243079</v>
      </c>
      <c r="AJ24" s="121">
        <f t="shared" si="24"/>
        <v>10.116801519730089</v>
      </c>
      <c r="AK24" s="121">
        <f t="shared" si="25"/>
        <v>8.9186958652127668</v>
      </c>
      <c r="AL24" s="121">
        <f t="shared" si="26"/>
        <v>9.9078666651995597</v>
      </c>
      <c r="AM24" s="121">
        <f t="shared" si="27"/>
        <v>8.3904010504926454</v>
      </c>
      <c r="AN24" s="121">
        <f t="shared" si="28"/>
        <v>10.715424974966957</v>
      </c>
      <c r="AO24" s="121">
        <f t="shared" si="29"/>
        <v>4.2857152964253409</v>
      </c>
      <c r="AP24" s="121">
        <f t="shared" si="30"/>
        <v>-2.1709987838411382</v>
      </c>
      <c r="AQ24" s="121">
        <f t="shared" si="31"/>
        <v>-0.78194602823644654</v>
      </c>
      <c r="AR24" s="121">
        <f t="shared" si="32"/>
        <v>-4.5062040695249657</v>
      </c>
      <c r="AS24" s="121">
        <f t="shared" si="33"/>
        <v>-4.0263357482662965</v>
      </c>
      <c r="AT24" s="121">
        <f t="shared" si="34"/>
        <v>-11.217701894788423</v>
      </c>
      <c r="AU24" s="123">
        <f t="shared" si="34"/>
        <v>-11.217701894788423</v>
      </c>
      <c r="AV24" s="123">
        <f t="shared" si="35"/>
        <v>-14.632405668065795</v>
      </c>
      <c r="AW24" s="123">
        <f t="shared" si="36"/>
        <v>-11.352446176599996</v>
      </c>
      <c r="AX24" s="123">
        <f t="shared" si="37"/>
        <v>-5.5936594000000062</v>
      </c>
      <c r="AY24" s="123">
        <f t="shared" ref="AY24:AY30" si="38">+($V24/$V$22-1)*100</f>
        <v>-6.8971000000000116</v>
      </c>
      <c r="AZ24" s="124">
        <f>+($V24/$V$23-1)*100</f>
        <v>-2.1000000000000019</v>
      </c>
      <c r="BA24" s="110"/>
    </row>
    <row r="25" spans="3:61" ht="15.75" thickBot="1" x14ac:dyDescent="0.3">
      <c r="C25" s="53">
        <v>6.2</v>
      </c>
      <c r="D25" s="38" t="s">
        <v>145</v>
      </c>
      <c r="E25" s="38" t="s">
        <v>0</v>
      </c>
      <c r="F25" s="38">
        <v>-9.3396148194858757</v>
      </c>
      <c r="G25" s="43">
        <f t="shared" si="4"/>
        <v>87.228404976360181</v>
      </c>
      <c r="U25" s="53">
        <v>6.2</v>
      </c>
      <c r="V25" s="38">
        <f t="shared" si="0"/>
        <v>120.34454210252868</v>
      </c>
      <c r="W25" s="38">
        <f t="shared" si="1"/>
        <v>120.34454210252868</v>
      </c>
      <c r="X25" s="38" t="str">
        <f t="shared" si="5"/>
        <v/>
      </c>
      <c r="Y25" s="38" t="str">
        <f t="shared" si="15"/>
        <v/>
      </c>
      <c r="Z25" s="38" t="str">
        <f t="shared" si="13"/>
        <v/>
      </c>
      <c r="AA25" s="38">
        <f t="shared" si="6"/>
        <v>132.74214737000108</v>
      </c>
      <c r="AB25" s="38">
        <f t="shared" si="7"/>
        <v>-9.3396148194858757</v>
      </c>
      <c r="AC25" s="43">
        <f t="shared" si="8"/>
        <v>87.228404976360181</v>
      </c>
      <c r="AE25" s="144">
        <f t="shared" si="9"/>
        <v>90.660385180514126</v>
      </c>
      <c r="AF25" s="33"/>
      <c r="AG25" s="145">
        <f t="shared" si="10"/>
        <v>-9.3396148194858752E-2</v>
      </c>
      <c r="AI25" s="120">
        <f t="shared" si="23"/>
        <v>19.984588337516151</v>
      </c>
      <c r="AJ25" s="121">
        <f t="shared" si="24"/>
        <v>16.944043213953375</v>
      </c>
      <c r="AK25" s="121">
        <f t="shared" si="25"/>
        <v>15.671655008855945</v>
      </c>
      <c r="AL25" s="121">
        <f t="shared" si="26"/>
        <v>16.722154398441937</v>
      </c>
      <c r="AM25" s="121">
        <f t="shared" si="27"/>
        <v>15.110605915623188</v>
      </c>
      <c r="AN25" s="121">
        <f t="shared" si="28"/>
        <v>8.3904010504926454</v>
      </c>
      <c r="AO25" s="121">
        <f t="shared" si="29"/>
        <v>10.751429644803711</v>
      </c>
      <c r="AP25" s="121">
        <f t="shared" si="30"/>
        <v>3.8943992915607017</v>
      </c>
      <c r="AQ25" s="121">
        <f t="shared" si="31"/>
        <v>5.369573318012888</v>
      </c>
      <c r="AR25" s="121">
        <f t="shared" si="32"/>
        <v>1.4144112781644846</v>
      </c>
      <c r="AS25" s="121">
        <f t="shared" si="33"/>
        <v>1.9240314353411891</v>
      </c>
      <c r="AT25" s="121">
        <f t="shared" si="34"/>
        <v>-5.7131994122653129</v>
      </c>
      <c r="AU25" s="123">
        <f t="shared" si="34"/>
        <v>-5.7131994122653129</v>
      </c>
      <c r="AV25" s="123">
        <f t="shared" si="35"/>
        <v>-9.3396148194858757</v>
      </c>
      <c r="AW25" s="123">
        <f t="shared" si="36"/>
        <v>-5.856297839549196</v>
      </c>
      <c r="AX25" s="123">
        <f t="shared" si="37"/>
        <v>0.25953371720000007</v>
      </c>
      <c r="AY25" s="123">
        <f t="shared" si="38"/>
        <v>-1.1247202000000067</v>
      </c>
      <c r="AZ25" s="123">
        <f t="shared" ref="AZ25:AZ30" si="39">+($V25/$V$23-1)*100</f>
        <v>3.9698000000000011</v>
      </c>
      <c r="BA25" s="122">
        <f>+($V25/$V$24-1)*100</f>
        <v>6.2000000000000055</v>
      </c>
      <c r="BB25" s="110"/>
    </row>
    <row r="26" spans="3:61" ht="15.75" thickBot="1" x14ac:dyDescent="0.3">
      <c r="C26" s="53">
        <v>5.8</v>
      </c>
      <c r="D26" s="38" t="s">
        <v>145</v>
      </c>
      <c r="E26" s="38" t="s">
        <v>0</v>
      </c>
      <c r="F26" s="38">
        <v>-4.0813124790160522</v>
      </c>
      <c r="G26" s="43">
        <f t="shared" si="4"/>
        <v>16.657111551372154</v>
      </c>
      <c r="U26" s="53">
        <v>5.8</v>
      </c>
      <c r="V26" s="38">
        <f t="shared" si="0"/>
        <v>127.32452554447535</v>
      </c>
      <c r="W26" s="38">
        <f t="shared" si="1"/>
        <v>127.32452554447535</v>
      </c>
      <c r="X26" s="38" t="str">
        <f t="shared" si="5"/>
        <v/>
      </c>
      <c r="Y26" s="38" t="str">
        <f t="shared" si="15"/>
        <v/>
      </c>
      <c r="Z26" s="38" t="str">
        <f t="shared" si="13"/>
        <v/>
      </c>
      <c r="AA26" s="38">
        <f t="shared" si="6"/>
        <v>132.74214737000108</v>
      </c>
      <c r="AB26" s="38">
        <f t="shared" si="7"/>
        <v>-4.0813124790160522</v>
      </c>
      <c r="AC26" s="43">
        <f t="shared" si="8"/>
        <v>16.657111551372154</v>
      </c>
      <c r="AE26" s="144">
        <f t="shared" si="9"/>
        <v>95.918687520983951</v>
      </c>
      <c r="AF26" s="33"/>
      <c r="AG26" s="145">
        <f t="shared" si="10"/>
        <v>-4.0813124790160527E-2</v>
      </c>
      <c r="AI26" s="120">
        <f t="shared" si="23"/>
        <v>26.943694461092104</v>
      </c>
      <c r="AJ26" s="121">
        <f t="shared" si="24"/>
        <v>23.726797720362658</v>
      </c>
      <c r="AK26" s="121">
        <f t="shared" si="25"/>
        <v>22.380610999369608</v>
      </c>
      <c r="AL26" s="121">
        <f t="shared" si="26"/>
        <v>23.492039353551576</v>
      </c>
      <c r="AM26" s="121">
        <f t="shared" si="27"/>
        <v>21.787021058729337</v>
      </c>
      <c r="AN26" s="121">
        <f t="shared" si="28"/>
        <v>15.110605915623188</v>
      </c>
      <c r="AO26" s="121">
        <f t="shared" si="29"/>
        <v>17.175012564202351</v>
      </c>
      <c r="AP26" s="121">
        <f t="shared" si="30"/>
        <v>9.9202744504712328</v>
      </c>
      <c r="AQ26" s="121">
        <f t="shared" si="31"/>
        <v>11.481008570457639</v>
      </c>
      <c r="AR26" s="121">
        <f t="shared" si="32"/>
        <v>7.2964471322980229</v>
      </c>
      <c r="AS26" s="121">
        <f t="shared" si="33"/>
        <v>7.8356252585909836</v>
      </c>
      <c r="AT26" s="121">
        <f t="shared" si="34"/>
        <v>-0.24456497817668676</v>
      </c>
      <c r="AU26" s="123">
        <f t="shared" si="34"/>
        <v>-0.24456497817668676</v>
      </c>
      <c r="AV26" s="123">
        <f t="shared" si="35"/>
        <v>-4.0813124790160522</v>
      </c>
      <c r="AW26" s="123">
        <f t="shared" si="36"/>
        <v>-0.39596311424304753</v>
      </c>
      <c r="AX26" s="123">
        <f t="shared" si="37"/>
        <v>6.0745866727976106</v>
      </c>
      <c r="AY26" s="123">
        <f t="shared" si="38"/>
        <v>4.6100460284000055</v>
      </c>
      <c r="AZ26" s="123">
        <f t="shared" si="39"/>
        <v>10.000048400000017</v>
      </c>
      <c r="BA26" s="123">
        <f t="shared" ref="BA26:BA30" si="40">+($V26/$V$24-1)*100</f>
        <v>12.359600000000004</v>
      </c>
      <c r="BB26" s="122">
        <f>+($V26/$V$25-1)*100</f>
        <v>5.8000000000000052</v>
      </c>
      <c r="BC26" s="107"/>
    </row>
    <row r="27" spans="3:61" ht="15.75" thickBot="1" x14ac:dyDescent="0.3">
      <c r="C27" s="53">
        <v>-6.4</v>
      </c>
      <c r="D27" s="38">
        <v>-6.4000000000000057</v>
      </c>
      <c r="E27" s="38">
        <f t="shared" si="20"/>
        <v>40.960000000000072</v>
      </c>
      <c r="F27" s="38">
        <v>-10.220108480359025</v>
      </c>
      <c r="G27" s="43">
        <f t="shared" si="4"/>
        <v>104.45061735030646</v>
      </c>
      <c r="U27" s="53">
        <v>-6.4</v>
      </c>
      <c r="V27" s="38">
        <f t="shared" si="0"/>
        <v>119.17575590962892</v>
      </c>
      <c r="W27" s="38">
        <f t="shared" si="1"/>
        <v>127.32452554447535</v>
      </c>
      <c r="X27" s="38">
        <f t="shared" si="5"/>
        <v>-6.4000000000000057</v>
      </c>
      <c r="Y27" s="38">
        <f t="shared" si="15"/>
        <v>-6.4000000000000057</v>
      </c>
      <c r="Z27" s="38">
        <f t="shared" si="13"/>
        <v>40.960000000000072</v>
      </c>
      <c r="AA27" s="38">
        <f t="shared" si="6"/>
        <v>132.74214737000108</v>
      </c>
      <c r="AB27" s="38">
        <f t="shared" si="7"/>
        <v>-10.220108480359025</v>
      </c>
      <c r="AC27" s="43">
        <f t="shared" si="8"/>
        <v>104.45061735030646</v>
      </c>
      <c r="AE27" s="144">
        <f t="shared" si="9"/>
        <v>89.779891519640969</v>
      </c>
      <c r="AF27" s="33"/>
      <c r="AG27" s="145">
        <f t="shared" si="10"/>
        <v>-0.10220108480359036</v>
      </c>
      <c r="AI27" s="120">
        <f t="shared" si="23"/>
        <v>18.819298015582199</v>
      </c>
      <c r="AJ27" s="121">
        <f t="shared" si="24"/>
        <v>15.808282666259444</v>
      </c>
      <c r="AK27" s="121">
        <f t="shared" si="25"/>
        <v>14.548251895409937</v>
      </c>
      <c r="AL27" s="121">
        <f t="shared" si="26"/>
        <v>15.588548834924264</v>
      </c>
      <c r="AM27" s="121">
        <f t="shared" si="27"/>
        <v>13.992651710970661</v>
      </c>
      <c r="AN27" s="121">
        <f t="shared" si="28"/>
        <v>21.787021058729337</v>
      </c>
      <c r="AO27" s="121">
        <f t="shared" si="29"/>
        <v>9.675811760093378</v>
      </c>
      <c r="AP27" s="121">
        <f t="shared" si="30"/>
        <v>2.8853768856410777</v>
      </c>
      <c r="AQ27" s="121">
        <f t="shared" si="31"/>
        <v>4.3462240219483528</v>
      </c>
      <c r="AR27" s="121">
        <f t="shared" si="32"/>
        <v>0.42947451583095209</v>
      </c>
      <c r="AS27" s="121">
        <f t="shared" si="33"/>
        <v>0.93414524204116223</v>
      </c>
      <c r="AT27" s="121">
        <f t="shared" si="34"/>
        <v>-6.6289128195733849</v>
      </c>
      <c r="AU27" s="123">
        <f t="shared" si="34"/>
        <v>-6.6289128195733849</v>
      </c>
      <c r="AV27" s="123">
        <f t="shared" si="35"/>
        <v>-10.220108480359025</v>
      </c>
      <c r="AW27" s="123">
        <f t="shared" si="36"/>
        <v>-6.7706214749314935</v>
      </c>
      <c r="AX27" s="123">
        <f t="shared" si="37"/>
        <v>-0.71418687426145766</v>
      </c>
      <c r="AY27" s="123">
        <f t="shared" si="38"/>
        <v>-2.0849969174176142</v>
      </c>
      <c r="AZ27" s="123">
        <f t="shared" si="39"/>
        <v>2.960045302399994</v>
      </c>
      <c r="BA27" s="123">
        <f t="shared" si="40"/>
        <v>5.1685855999999974</v>
      </c>
      <c r="BB27" s="123">
        <f t="shared" ref="BB27:BB30" si="41">+($V27/$V$25-1)*100</f>
        <v>-0.97120000000000539</v>
      </c>
      <c r="BC27" s="124">
        <f>+($V27/$V$26-1)*100</f>
        <v>-6.4000000000000057</v>
      </c>
      <c r="BD27" s="107"/>
    </row>
    <row r="28" spans="3:61" ht="15.75" thickBot="1" x14ac:dyDescent="0.3">
      <c r="C28" s="53">
        <v>1.7</v>
      </c>
      <c r="D28" s="38" t="s">
        <v>145</v>
      </c>
      <c r="E28" s="38" t="s">
        <v>0</v>
      </c>
      <c r="F28" s="38">
        <v>-8.6938503245251439</v>
      </c>
      <c r="G28" s="43">
        <f t="shared" si="4"/>
        <v>75.583033465245947</v>
      </c>
      <c r="U28" s="53">
        <v>1.7</v>
      </c>
      <c r="V28" s="38">
        <f t="shared" si="0"/>
        <v>121.2017437600926</v>
      </c>
      <c r="W28" s="38">
        <f t="shared" si="1"/>
        <v>121.2017437600926</v>
      </c>
      <c r="X28" s="38" t="str">
        <f t="shared" si="5"/>
        <v/>
      </c>
      <c r="Y28" s="38" t="str">
        <f t="shared" si="15"/>
        <v/>
      </c>
      <c r="Z28" s="38" t="str">
        <f t="shared" si="13"/>
        <v/>
      </c>
      <c r="AA28" s="38">
        <f t="shared" si="6"/>
        <v>132.74214737000108</v>
      </c>
      <c r="AB28" s="38">
        <f t="shared" si="7"/>
        <v>-8.6938503245251439</v>
      </c>
      <c r="AC28" s="43">
        <f t="shared" si="8"/>
        <v>75.583033465245947</v>
      </c>
      <c r="AE28" s="144">
        <f t="shared" si="9"/>
        <v>91.306149675474856</v>
      </c>
      <c r="AF28" s="33"/>
      <c r="AG28" s="145">
        <f t="shared" si="10"/>
        <v>-8.6938503245251431E-2</v>
      </c>
      <c r="AI28" s="120">
        <f t="shared" si="23"/>
        <v>20.839226081847073</v>
      </c>
      <c r="AJ28" s="121">
        <f t="shared" si="24"/>
        <v>17.777023471585849</v>
      </c>
      <c r="AK28" s="121">
        <f t="shared" si="25"/>
        <v>16.495572177631914</v>
      </c>
      <c r="AL28" s="121">
        <f t="shared" si="26"/>
        <v>17.553554165117944</v>
      </c>
      <c r="AM28" s="121">
        <f t="shared" si="27"/>
        <v>15.930526790057154</v>
      </c>
      <c r="AN28" s="121">
        <f t="shared" si="28"/>
        <v>13.992651710970661</v>
      </c>
      <c r="AO28" s="121">
        <f t="shared" si="29"/>
        <v>11.540300560014959</v>
      </c>
      <c r="AP28" s="121">
        <f t="shared" si="30"/>
        <v>4.6344282926969571</v>
      </c>
      <c r="AQ28" s="121">
        <f t="shared" si="31"/>
        <v>6.120109830321474</v>
      </c>
      <c r="AR28" s="121">
        <f t="shared" si="32"/>
        <v>2.136775582600059</v>
      </c>
      <c r="AS28" s="121">
        <f t="shared" si="33"/>
        <v>2.6500257111558456</v>
      </c>
      <c r="AT28" s="121">
        <f t="shared" si="34"/>
        <v>-5.0416043375061452</v>
      </c>
      <c r="AU28" s="123">
        <f t="shared" si="34"/>
        <v>-5.0416043375061452</v>
      </c>
      <c r="AV28" s="123">
        <f t="shared" si="35"/>
        <v>-8.6938503245251439</v>
      </c>
      <c r="AW28" s="123">
        <f t="shared" si="36"/>
        <v>-5.1857220400053361</v>
      </c>
      <c r="AX28" s="123">
        <f t="shared" si="37"/>
        <v>0.97367194887609809</v>
      </c>
      <c r="AY28" s="123">
        <f t="shared" si="38"/>
        <v>-0.42044186501372094</v>
      </c>
      <c r="AZ28" s="123">
        <f t="shared" si="39"/>
        <v>4.7103660725407837</v>
      </c>
      <c r="BA28" s="123">
        <f t="shared" si="40"/>
        <v>6.9564515551999939</v>
      </c>
      <c r="BB28" s="123">
        <f t="shared" si="41"/>
        <v>0.71228959999998231</v>
      </c>
      <c r="BC28" s="123">
        <f t="shared" ref="BC28:BC30" si="42">+($V28/$V$26-1)*100</f>
        <v>-4.8088000000000131</v>
      </c>
      <c r="BD28" s="124">
        <f>+($V28/$V$27-1)*100</f>
        <v>1.6999999999999904</v>
      </c>
      <c r="BE28" s="107"/>
    </row>
    <row r="29" spans="3:61" ht="15.75" thickBot="1" x14ac:dyDescent="0.3">
      <c r="C29" s="53">
        <v>-0.4</v>
      </c>
      <c r="D29" s="38" t="s">
        <v>145</v>
      </c>
      <c r="E29" s="38" t="s">
        <v>0</v>
      </c>
      <c r="F29" s="38">
        <v>-9.0590749232270404</v>
      </c>
      <c r="G29" s="43">
        <f t="shared" si="4"/>
        <v>82.066838464641009</v>
      </c>
      <c r="U29" s="53">
        <v>-0.4</v>
      </c>
      <c r="V29" s="38">
        <f t="shared" si="0"/>
        <v>120.71693678505223</v>
      </c>
      <c r="W29" s="38">
        <f t="shared" si="1"/>
        <v>121.2017437600926</v>
      </c>
      <c r="X29" s="38">
        <f t="shared" si="5"/>
        <v>-0.40000000000000036</v>
      </c>
      <c r="Y29" s="38" t="str">
        <f t="shared" si="15"/>
        <v/>
      </c>
      <c r="Z29" s="38">
        <f t="shared" si="13"/>
        <v>0.16000000000000028</v>
      </c>
      <c r="AA29" s="38">
        <f t="shared" si="6"/>
        <v>132.74214737000108</v>
      </c>
      <c r="AB29" s="38">
        <f t="shared" si="7"/>
        <v>-9.0590749232270404</v>
      </c>
      <c r="AC29" s="43">
        <f t="shared" si="8"/>
        <v>82.066838464641009</v>
      </c>
      <c r="AE29" s="144">
        <f t="shared" si="9"/>
        <v>90.940925076772956</v>
      </c>
      <c r="AF29" s="33"/>
      <c r="AG29" s="145">
        <f t="shared" si="10"/>
        <v>-9.0590749232270396E-2</v>
      </c>
      <c r="AI29" s="120">
        <f t="shared" si="23"/>
        <v>20.355869177519679</v>
      </c>
      <c r="AJ29" s="121">
        <f t="shared" si="24"/>
        <v>17.305915377699499</v>
      </c>
      <c r="AK29" s="121">
        <f t="shared" si="25"/>
        <v>16.029589888921379</v>
      </c>
      <c r="AL29" s="121">
        <f t="shared" si="26"/>
        <v>17.083339948457478</v>
      </c>
      <c r="AM29" s="121">
        <f t="shared" si="27"/>
        <v>15.466804682896917</v>
      </c>
      <c r="AN29" s="121">
        <f t="shared" si="28"/>
        <v>15.930526790057154</v>
      </c>
      <c r="AO29" s="121">
        <f t="shared" si="29"/>
        <v>11.094139357774901</v>
      </c>
      <c r="AP29" s="121">
        <f t="shared" si="30"/>
        <v>4.2158905795261825</v>
      </c>
      <c r="AQ29" s="121">
        <f t="shared" si="31"/>
        <v>5.6956293910001676</v>
      </c>
      <c r="AR29" s="121">
        <f t="shared" si="32"/>
        <v>1.7282284802696557</v>
      </c>
      <c r="AS29" s="121">
        <f t="shared" si="33"/>
        <v>2.2394256083112296</v>
      </c>
      <c r="AT29" s="121">
        <f t="shared" si="34"/>
        <v>-5.4214379201561247</v>
      </c>
      <c r="AU29" s="123">
        <f t="shared" si="34"/>
        <v>-5.4214379201561247</v>
      </c>
      <c r="AV29" s="123">
        <f t="shared" si="35"/>
        <v>-9.0590749232270404</v>
      </c>
      <c r="AW29" s="123">
        <f t="shared" si="36"/>
        <v>-5.5649791518453178</v>
      </c>
      <c r="AX29" s="123">
        <f t="shared" si="37"/>
        <v>0.56977726108058402</v>
      </c>
      <c r="AY29" s="123">
        <f t="shared" si="38"/>
        <v>-0.81876009755367241</v>
      </c>
      <c r="AZ29" s="123">
        <f t="shared" si="39"/>
        <v>4.2915246082506187</v>
      </c>
      <c r="BA29" s="123">
        <f t="shared" si="40"/>
        <v>6.5286257489791888</v>
      </c>
      <c r="BB29" s="123">
        <f t="shared" si="41"/>
        <v>0.30944044159999518</v>
      </c>
      <c r="BC29" s="123">
        <f t="shared" si="42"/>
        <v>-5.1895648000000127</v>
      </c>
      <c r="BD29" s="123">
        <f>+($V29/$V$27-1)*100</f>
        <v>1.2931999999999944</v>
      </c>
      <c r="BE29" s="124">
        <f>+($V29/$V$28-1)*100</f>
        <v>-0.40000000000000036</v>
      </c>
      <c r="BF29" s="107"/>
    </row>
    <row r="30" spans="3:61" ht="15.75" thickBot="1" x14ac:dyDescent="0.3">
      <c r="C30" s="53">
        <v>-0.2</v>
      </c>
      <c r="D30" s="38" t="s">
        <v>145</v>
      </c>
      <c r="E30" s="38" t="s">
        <v>0</v>
      </c>
      <c r="F30" s="38">
        <v>-9.2409567733805815</v>
      </c>
      <c r="G30" s="43">
        <f t="shared" si="4"/>
        <v>85.395282087488454</v>
      </c>
      <c r="U30" s="53">
        <v>-0.2</v>
      </c>
      <c r="V30" s="38">
        <f t="shared" si="0"/>
        <v>120.47550291148212</v>
      </c>
      <c r="W30" s="38">
        <f t="shared" si="1"/>
        <v>121.2017437600926</v>
      </c>
      <c r="X30" s="38">
        <f t="shared" si="5"/>
        <v>-0.59919999999999973</v>
      </c>
      <c r="Y30" s="38" t="str">
        <f t="shared" si="15"/>
        <v/>
      </c>
      <c r="Z30" s="38">
        <f t="shared" si="13"/>
        <v>0.35904063999999969</v>
      </c>
      <c r="AA30" s="38">
        <f t="shared" si="6"/>
        <v>132.74214737000108</v>
      </c>
      <c r="AB30" s="38">
        <f t="shared" si="7"/>
        <v>-9.2409567733805815</v>
      </c>
      <c r="AC30" s="43">
        <f t="shared" si="8"/>
        <v>85.395282087488454</v>
      </c>
      <c r="AE30" s="144">
        <f t="shared" si="9"/>
        <v>90.759043226619411</v>
      </c>
      <c r="AF30" s="33" t="s">
        <v>186</v>
      </c>
      <c r="AG30" s="145">
        <f t="shared" si="10"/>
        <v>-9.2409567733805931E-2</v>
      </c>
      <c r="AI30" s="120">
        <f t="shared" si="23"/>
        <v>20.115157439164655</v>
      </c>
      <c r="AJ30" s="121">
        <f t="shared" si="24"/>
        <v>17.071303546944105</v>
      </c>
      <c r="AK30" s="121">
        <f t="shared" si="25"/>
        <v>15.797530709143537</v>
      </c>
      <c r="AL30" s="121">
        <f t="shared" si="26"/>
        <v>16.84917326856057</v>
      </c>
      <c r="AM30" s="121">
        <f t="shared" si="27"/>
        <v>15.235871073531126</v>
      </c>
      <c r="AN30" s="121">
        <f t="shared" si="28"/>
        <v>15.466804682896917</v>
      </c>
      <c r="AO30" s="121">
        <f t="shared" si="29"/>
        <v>10.871951079059361</v>
      </c>
      <c r="AP30" s="121">
        <f t="shared" si="30"/>
        <v>4.007458798367125</v>
      </c>
      <c r="AQ30" s="121">
        <f t="shared" si="31"/>
        <v>5.4842381322181888</v>
      </c>
      <c r="AR30" s="121">
        <f t="shared" si="32"/>
        <v>1.5247720233091178</v>
      </c>
      <c r="AS30" s="121">
        <f t="shared" si="33"/>
        <v>2.0349467570946134</v>
      </c>
      <c r="AT30" s="121">
        <f t="shared" si="34"/>
        <v>-5.6105950443158026</v>
      </c>
      <c r="AU30" s="123">
        <f t="shared" si="34"/>
        <v>-5.6105950443158026</v>
      </c>
      <c r="AV30" s="123">
        <f t="shared" si="35"/>
        <v>-9.2409567733805815</v>
      </c>
      <c r="AW30" s="123">
        <f t="shared" si="36"/>
        <v>-5.7538491935416269</v>
      </c>
      <c r="AX30" s="123">
        <f t="shared" si="37"/>
        <v>0.36863770655841677</v>
      </c>
      <c r="AY30" s="123">
        <f t="shared" si="38"/>
        <v>-1.0171225773585535</v>
      </c>
      <c r="AZ30" s="123">
        <f t="shared" si="39"/>
        <v>4.0829415590341256</v>
      </c>
      <c r="BA30" s="123">
        <f t="shared" si="40"/>
        <v>6.3155684974812276</v>
      </c>
      <c r="BB30" s="123">
        <f t="shared" si="41"/>
        <v>0.1088215607167875</v>
      </c>
      <c r="BC30" s="123">
        <f t="shared" si="42"/>
        <v>-5.3791856704000107</v>
      </c>
      <c r="BD30" s="123">
        <f>+($V30/$V$27-1)*100</f>
        <v>1.0906136000000011</v>
      </c>
      <c r="BE30" s="123">
        <f>+($V30/$V$28-1)*100</f>
        <v>-0.59919999999999973</v>
      </c>
      <c r="BF30" s="122">
        <f>+($V30/$V$29-1)*100</f>
        <v>-0.20000000000000018</v>
      </c>
      <c r="BG30" s="107"/>
    </row>
    <row r="31" spans="3:61" ht="15.75" thickBot="1" x14ac:dyDescent="0.3">
      <c r="C31" s="53">
        <v>-2.1</v>
      </c>
      <c r="D31" s="38">
        <v>-2.6866168000000079</v>
      </c>
      <c r="E31" s="38">
        <f t="shared" si="20"/>
        <v>7.2179098300422826</v>
      </c>
      <c r="F31" s="38">
        <v>-11.146896681139594</v>
      </c>
      <c r="G31" s="43">
        <f t="shared" si="4"/>
        <v>124.2533056200009</v>
      </c>
      <c r="U31" s="53">
        <v>-2.1</v>
      </c>
      <c r="V31" s="38">
        <f t="shared" si="0"/>
        <v>117.94551735034099</v>
      </c>
      <c r="W31" s="38">
        <f t="shared" si="1"/>
        <v>121.2017437600926</v>
      </c>
      <c r="X31" s="38">
        <f t="shared" si="5"/>
        <v>-2.6866168000000079</v>
      </c>
      <c r="Y31" s="38">
        <f t="shared" si="15"/>
        <v>-2.6866168000000079</v>
      </c>
      <c r="Z31" s="38">
        <f t="shared" si="13"/>
        <v>7.2179098300422826</v>
      </c>
      <c r="AA31" s="38">
        <f t="shared" si="6"/>
        <v>132.74214737000108</v>
      </c>
      <c r="AB31" s="38">
        <f t="shared" si="7"/>
        <v>-11.146896681139594</v>
      </c>
      <c r="AC31" s="43">
        <f t="shared" si="8"/>
        <v>124.2533056200009</v>
      </c>
      <c r="AE31" s="144">
        <f t="shared" si="9"/>
        <v>88.853103318860406</v>
      </c>
      <c r="AF31" s="33"/>
      <c r="AG31" s="145">
        <f t="shared" si="10"/>
        <v>-0.11146896681139595</v>
      </c>
      <c r="AI31" s="120">
        <f t="shared" si="23"/>
        <v>17.592739132942192</v>
      </c>
      <c r="AJ31" s="121">
        <f t="shared" si="24"/>
        <v>14.612806172458281</v>
      </c>
      <c r="AK31" s="121">
        <f t="shared" si="25"/>
        <v>13.365782564251516</v>
      </c>
      <c r="AL31" s="121">
        <f t="shared" si="26"/>
        <v>14.395340629920783</v>
      </c>
      <c r="AM31" s="121">
        <f t="shared" si="27"/>
        <v>12.815917780986963</v>
      </c>
      <c r="AN31" s="121">
        <f t="shared" si="28"/>
        <v>15.235871073531126</v>
      </c>
      <c r="AO31" s="121">
        <f t="shared" si="29"/>
        <v>8.5436401063990974</v>
      </c>
      <c r="AP31" s="121">
        <f t="shared" si="30"/>
        <v>1.8233021636014035</v>
      </c>
      <c r="AQ31" s="121">
        <f t="shared" si="31"/>
        <v>3.2690691314415821</v>
      </c>
      <c r="AR31" s="121">
        <f t="shared" si="32"/>
        <v>-0.60724818918037604</v>
      </c>
      <c r="AS31" s="121">
        <f t="shared" si="33"/>
        <v>-0.10778712480439268</v>
      </c>
      <c r="AT31" s="121">
        <f t="shared" si="34"/>
        <v>-7.5927725483851845</v>
      </c>
      <c r="AU31" s="121">
        <f>+($V31/$V$18-1)*100</f>
        <v>-7.5927725483851845</v>
      </c>
      <c r="AV31" s="121">
        <f>+($V31/$V$19-1)*100</f>
        <v>-11.146896681139594</v>
      </c>
      <c r="AW31" s="121">
        <f>+($V31/$V$20-1)*100</f>
        <v>-7.7330183604772618</v>
      </c>
      <c r="AX31" s="121">
        <f>+($V31/$V$21-1)*100</f>
        <v>-1.7391036852793085</v>
      </c>
      <c r="AY31" s="121">
        <f>+($V31/$V$22-1)*100</f>
        <v>-3.0957630032340311</v>
      </c>
      <c r="AZ31" s="121">
        <f>+($V31/$V$23-1)*100</f>
        <v>1.8971997862944123</v>
      </c>
      <c r="BA31" s="121">
        <f>+($V31/$V$24-1)*100</f>
        <v>4.0829415590341256</v>
      </c>
      <c r="BB31" s="121">
        <f>+($V31/$V$25-1)*100</f>
        <v>-1.9934636920582727</v>
      </c>
      <c r="BC31" s="121">
        <f>+($V31/$V$26-1)*100</f>
        <v>-7.3662227713216177</v>
      </c>
      <c r="BD31" s="121">
        <f>+($V31/$V$27-1)*100</f>
        <v>-1.0322892856000188</v>
      </c>
      <c r="BE31" s="121">
        <f>+($V31/$V$28-1)*100</f>
        <v>-2.6866168000000079</v>
      </c>
      <c r="BF31" s="121">
        <f>+($V31/$V$29-1)*100</f>
        <v>-2.2958000000000034</v>
      </c>
      <c r="BG31" s="125">
        <f>+($V31/$V$30-1)*100</f>
        <v>-2.1000000000000019</v>
      </c>
      <c r="BH31" s="107"/>
    </row>
    <row r="32" spans="3:61" ht="15.75" thickBot="1" x14ac:dyDescent="0.3">
      <c r="C32" s="53">
        <v>1.1000000000000001</v>
      </c>
      <c r="D32" s="38" t="s">
        <v>145</v>
      </c>
      <c r="E32" s="38" t="s">
        <v>0</v>
      </c>
      <c r="F32" s="38">
        <v>-10.169512544632141</v>
      </c>
      <c r="G32" s="43">
        <f t="shared" si="4"/>
        <v>103.41898539543048</v>
      </c>
      <c r="U32" s="53">
        <v>1.1000000000000001</v>
      </c>
      <c r="V32" s="38">
        <f t="shared" si="0"/>
        <v>119.24291804119473</v>
      </c>
      <c r="W32" s="38">
        <f t="shared" si="1"/>
        <v>119.24291804119473</v>
      </c>
      <c r="X32" s="38" t="str">
        <f t="shared" si="5"/>
        <v/>
      </c>
      <c r="Y32" s="38" t="str">
        <f t="shared" si="15"/>
        <v/>
      </c>
      <c r="Z32" s="38" t="str">
        <f t="shared" si="13"/>
        <v/>
      </c>
      <c r="AA32" s="38">
        <f t="shared" si="6"/>
        <v>132.74214737000108</v>
      </c>
      <c r="AB32" s="38">
        <f t="shared" si="7"/>
        <v>-10.169512544632141</v>
      </c>
      <c r="AC32" s="43">
        <f t="shared" si="8"/>
        <v>103.41898539543048</v>
      </c>
      <c r="AE32" s="144">
        <f t="shared" si="9"/>
        <v>89.830487455367859</v>
      </c>
      <c r="AF32" s="33"/>
      <c r="AG32" s="145">
        <f t="shared" si="10"/>
        <v>-0.10169512544632142</v>
      </c>
      <c r="AI32" s="120">
        <f t="shared" si="23"/>
        <v>18.886259263404526</v>
      </c>
      <c r="AJ32" s="121">
        <f t="shared" si="24"/>
        <v>15.873547040355307</v>
      </c>
      <c r="AK32" s="121">
        <f t="shared" si="25"/>
        <v>14.61280617245826</v>
      </c>
      <c r="AL32" s="121">
        <f t="shared" si="26"/>
        <v>15.653689376849901</v>
      </c>
      <c r="AM32" s="121">
        <f t="shared" si="27"/>
        <v>14.056892876577809</v>
      </c>
      <c r="AN32" s="121">
        <f t="shared" si="28"/>
        <v>12.815917780986963</v>
      </c>
      <c r="AO32" s="121">
        <f t="shared" si="29"/>
        <v>9.7376201475694693</v>
      </c>
      <c r="AP32" s="121">
        <f t="shared" si="30"/>
        <v>2.9433584874010155</v>
      </c>
      <c r="AQ32" s="121">
        <f t="shared" si="31"/>
        <v>4.4050288918874303</v>
      </c>
      <c r="AR32" s="121">
        <f t="shared" si="32"/>
        <v>0.48607208073863095</v>
      </c>
      <c r="AS32" s="121">
        <f t="shared" si="33"/>
        <v>0.99102721682275963</v>
      </c>
      <c r="AT32" s="121">
        <f t="shared" si="34"/>
        <v>-6.5762930464174252</v>
      </c>
      <c r="AU32" s="121">
        <f t="shared" si="34"/>
        <v>-6.5762930464174252</v>
      </c>
      <c r="AV32" s="121">
        <f t="shared" ref="AV32:AV42" si="43">+($V32/$V$19-1)*100</f>
        <v>-10.169512544632141</v>
      </c>
      <c r="AW32" s="121">
        <f t="shared" ref="AW32:AW42" si="44">+($V32/$V$20-1)*100</f>
        <v>-6.7180815624425243</v>
      </c>
      <c r="AX32" s="121">
        <f t="shared" ref="AX32:AX42" si="45">+($V32/$V$21-1)*100</f>
        <v>-0.65823382581738921</v>
      </c>
      <c r="AY32" s="121">
        <f t="shared" ref="AY32:AY42" si="46">+($V32/$V$22-1)*100</f>
        <v>-2.0298163962696236</v>
      </c>
      <c r="AZ32" s="121">
        <f t="shared" ref="AZ32:AZ42" si="47">+($V32/$V$23-1)*100</f>
        <v>3.0180689839436337</v>
      </c>
      <c r="BA32" s="121">
        <f t="shared" ref="BA32:BA42" si="48">+($V32/$V$24-1)*100</f>
        <v>5.2278539161834781</v>
      </c>
      <c r="BB32" s="121">
        <f t="shared" ref="BB32:BB42" si="49">+($V32/$V$25-1)*100</f>
        <v>-0.91539179267092763</v>
      </c>
      <c r="BC32" s="121">
        <f t="shared" ref="BC32:BC42" si="50">+($V32/$V$26-1)*100</f>
        <v>-6.3472512218061716</v>
      </c>
      <c r="BD32" s="121">
        <f t="shared" ref="BD32:BD42" si="51">+($V32/$V$27-1)*100</f>
        <v>5.6355532258378638E-2</v>
      </c>
      <c r="BE32" s="121">
        <f t="shared" ref="BE32:BE42" si="52">+($V32/$V$28-1)*100</f>
        <v>-1.6161695848000202</v>
      </c>
      <c r="BF32" s="121">
        <f t="shared" ref="BF32:BF42" si="53">+($V32/$V$29-1)*100</f>
        <v>-1.221053800000016</v>
      </c>
      <c r="BG32" s="126">
        <f t="shared" ref="BG32:BG42" si="54">+($V32/$V$30-1)*100</f>
        <v>-1.0231000000000212</v>
      </c>
      <c r="BH32" s="125">
        <f t="shared" ref="BH32:BH42" si="55">+($V32/$V$31-1)*100</f>
        <v>1.0999999999999899</v>
      </c>
      <c r="BI32" s="107"/>
    </row>
    <row r="33" spans="3:70" ht="15.75" thickBot="1" x14ac:dyDescent="0.3">
      <c r="C33" s="53">
        <v>4.7</v>
      </c>
      <c r="D33" s="38" t="s">
        <v>145</v>
      </c>
      <c r="E33" s="38" t="s">
        <v>0</v>
      </c>
      <c r="F33" s="38">
        <v>-5.9474796342298575</v>
      </c>
      <c r="G33" s="43">
        <f t="shared" si="4"/>
        <v>35.372513999578921</v>
      </c>
      <c r="U33" s="53">
        <v>4.7</v>
      </c>
      <c r="V33" s="38">
        <f t="shared" si="0"/>
        <v>124.84733518913087</v>
      </c>
      <c r="W33" s="38">
        <f t="shared" si="1"/>
        <v>124.84733518913087</v>
      </c>
      <c r="X33" s="38" t="str">
        <f t="shared" si="5"/>
        <v/>
      </c>
      <c r="Y33" s="38" t="str">
        <f t="shared" si="15"/>
        <v/>
      </c>
      <c r="Z33" s="38" t="str">
        <f t="shared" si="13"/>
        <v/>
      </c>
      <c r="AA33" s="38">
        <f t="shared" si="6"/>
        <v>132.74214737000108</v>
      </c>
      <c r="AB33" s="38">
        <f t="shared" si="7"/>
        <v>-5.9474796342298575</v>
      </c>
      <c r="AC33" s="43">
        <f t="shared" si="8"/>
        <v>35.372513999578921</v>
      </c>
      <c r="AE33" s="144">
        <f t="shared" si="9"/>
        <v>94.052520365770135</v>
      </c>
      <c r="AF33" s="33"/>
      <c r="AG33" s="145">
        <f t="shared" si="10"/>
        <v>-5.9474796342298686E-2</v>
      </c>
      <c r="AI33" s="120">
        <f t="shared" si="23"/>
        <v>24.473913448784536</v>
      </c>
      <c r="AJ33" s="121">
        <f t="shared" si="24"/>
        <v>21.319603751251993</v>
      </c>
      <c r="AK33" s="121">
        <f t="shared" si="25"/>
        <v>19.999608062563802</v>
      </c>
      <c r="AL33" s="121">
        <f t="shared" si="26"/>
        <v>21.089412777561844</v>
      </c>
      <c r="AM33" s="121">
        <f t="shared" si="27"/>
        <v>19.417566841776956</v>
      </c>
      <c r="AN33" s="121">
        <f t="shared" si="28"/>
        <v>14.056892876577809</v>
      </c>
      <c r="AO33" s="121">
        <f t="shared" si="29"/>
        <v>14.895288294505239</v>
      </c>
      <c r="AP33" s="121">
        <f t="shared" si="30"/>
        <v>7.781696336308852</v>
      </c>
      <c r="AQ33" s="121">
        <f t="shared" si="31"/>
        <v>9.312065249806146</v>
      </c>
      <c r="AR33" s="121">
        <f t="shared" si="32"/>
        <v>5.2089174685333361</v>
      </c>
      <c r="AS33" s="121">
        <f t="shared" si="33"/>
        <v>5.7376054960134093</v>
      </c>
      <c r="AT33" s="121">
        <f t="shared" si="34"/>
        <v>-2.1853788195990487</v>
      </c>
      <c r="AU33" s="121">
        <f t="shared" si="34"/>
        <v>-2.1853788195990487</v>
      </c>
      <c r="AV33" s="121">
        <f t="shared" si="43"/>
        <v>-5.9474796342298575</v>
      </c>
      <c r="AW33" s="121">
        <f t="shared" si="44"/>
        <v>-2.3338313958773282</v>
      </c>
      <c r="AX33" s="121">
        <f t="shared" si="45"/>
        <v>4.0108291843691912</v>
      </c>
      <c r="AY33" s="121">
        <f t="shared" si="46"/>
        <v>2.5747822331056991</v>
      </c>
      <c r="AZ33" s="121">
        <f t="shared" si="47"/>
        <v>7.8599182261889666</v>
      </c>
      <c r="BA33" s="121">
        <f t="shared" si="48"/>
        <v>10.173563050244105</v>
      </c>
      <c r="BB33" s="121">
        <f t="shared" si="49"/>
        <v>3.741584793073538</v>
      </c>
      <c r="BC33" s="121">
        <f t="shared" si="50"/>
        <v>-1.9455720292310685</v>
      </c>
      <c r="BD33" s="121">
        <f t="shared" si="51"/>
        <v>4.7590042422745116</v>
      </c>
      <c r="BE33" s="121">
        <f t="shared" si="52"/>
        <v>3.0078704447143778</v>
      </c>
      <c r="BF33" s="121">
        <f t="shared" si="53"/>
        <v>3.4215566713999834</v>
      </c>
      <c r="BG33" s="126">
        <f t="shared" si="54"/>
        <v>3.6288142999999717</v>
      </c>
      <c r="BH33" s="126">
        <f t="shared" si="55"/>
        <v>5.8516999999999708</v>
      </c>
      <c r="BI33" s="125">
        <f>+($V33/$V$32-1)*100</f>
        <v>4.6999999999999931</v>
      </c>
      <c r="BJ33" s="107"/>
    </row>
    <row r="34" spans="3:70" ht="15.75" thickBot="1" x14ac:dyDescent="0.3">
      <c r="C34" s="53">
        <v>2.4</v>
      </c>
      <c r="D34" s="38" t="s">
        <v>145</v>
      </c>
      <c r="E34" s="38" t="s">
        <v>0</v>
      </c>
      <c r="F34" s="38">
        <v>-3.6902191454513678</v>
      </c>
      <c r="G34" s="43">
        <f t="shared" si="4"/>
        <v>13.617717341455823</v>
      </c>
      <c r="U34" s="53">
        <v>2.4</v>
      </c>
      <c r="V34" s="38">
        <f t="shared" si="0"/>
        <v>127.84367123367002</v>
      </c>
      <c r="W34" s="38">
        <f t="shared" si="1"/>
        <v>127.84367123367002</v>
      </c>
      <c r="X34" s="38" t="str">
        <f t="shared" si="5"/>
        <v/>
      </c>
      <c r="Y34" s="38" t="str">
        <f t="shared" si="15"/>
        <v/>
      </c>
      <c r="Z34" s="38" t="str">
        <f t="shared" si="13"/>
        <v/>
      </c>
      <c r="AA34" s="38">
        <f t="shared" si="6"/>
        <v>132.74214737000108</v>
      </c>
      <c r="AB34" s="38">
        <f t="shared" si="7"/>
        <v>-3.6902191454513678</v>
      </c>
      <c r="AC34" s="43">
        <f t="shared" si="8"/>
        <v>13.617717341455823</v>
      </c>
      <c r="AE34" s="144">
        <f t="shared" si="9"/>
        <v>96.30978085454862</v>
      </c>
      <c r="AF34" s="33"/>
      <c r="AG34" s="145">
        <f t="shared" si="10"/>
        <v>-3.6902191454513789E-2</v>
      </c>
      <c r="AI34" s="120">
        <f t="shared" si="23"/>
        <v>27.461287371555375</v>
      </c>
      <c r="AJ34" s="121">
        <f t="shared" si="24"/>
        <v>24.231274241282041</v>
      </c>
      <c r="AK34" s="121">
        <f t="shared" si="25"/>
        <v>22.879598656065326</v>
      </c>
      <c r="AL34" s="121">
        <f t="shared" si="26"/>
        <v>23.99555868422334</v>
      </c>
      <c r="AM34" s="121">
        <f t="shared" si="27"/>
        <v>22.283588445979618</v>
      </c>
      <c r="AN34" s="121">
        <f t="shared" si="28"/>
        <v>19.417566841776956</v>
      </c>
      <c r="AO34" s="121">
        <f t="shared" si="29"/>
        <v>17.652775213573378</v>
      </c>
      <c r="AP34" s="121">
        <f t="shared" si="30"/>
        <v>10.368457048380275</v>
      </c>
      <c r="AQ34" s="121">
        <f t="shared" si="31"/>
        <v>11.935554815801485</v>
      </c>
      <c r="AR34" s="121">
        <f t="shared" si="32"/>
        <v>7.7339314877781451</v>
      </c>
      <c r="AS34" s="121">
        <f t="shared" si="33"/>
        <v>8.2753080279177382</v>
      </c>
      <c r="AT34" s="121">
        <f t="shared" si="34"/>
        <v>0.16217208873057221</v>
      </c>
      <c r="AU34" s="121">
        <f t="shared" si="34"/>
        <v>0.16217208873057221</v>
      </c>
      <c r="AV34" s="121">
        <f t="shared" si="43"/>
        <v>-3.6902191454513678</v>
      </c>
      <c r="AW34" s="121">
        <f t="shared" si="44"/>
        <v>1.0156650621628849E-2</v>
      </c>
      <c r="AX34" s="121">
        <f t="shared" si="45"/>
        <v>6.5070890847940488</v>
      </c>
      <c r="AY34" s="121">
        <f t="shared" si="46"/>
        <v>5.036577006700238</v>
      </c>
      <c r="AZ34" s="121">
        <f t="shared" si="47"/>
        <v>10.448556263617515</v>
      </c>
      <c r="BA34" s="121">
        <f t="shared" si="48"/>
        <v>12.817728563449959</v>
      </c>
      <c r="BB34" s="121">
        <f t="shared" si="49"/>
        <v>6.2313828281073125</v>
      </c>
      <c r="BC34" s="121">
        <f t="shared" si="50"/>
        <v>0.40773424206739239</v>
      </c>
      <c r="BD34" s="121">
        <f t="shared" si="51"/>
        <v>7.2732203440891041</v>
      </c>
      <c r="BE34" s="121">
        <f t="shared" si="52"/>
        <v>5.4800593353875326</v>
      </c>
      <c r="BF34" s="121">
        <f t="shared" si="53"/>
        <v>5.9036740315135727</v>
      </c>
      <c r="BG34" s="126">
        <f t="shared" si="54"/>
        <v>6.1159058431999869</v>
      </c>
      <c r="BH34" s="126">
        <f t="shared" si="55"/>
        <v>8.3921407999999929</v>
      </c>
      <c r="BI34" s="126">
        <f t="shared" ref="BI34:BI42" si="56">+($V34/$V$32-1)*100</f>
        <v>7.212799999999997</v>
      </c>
      <c r="BJ34" s="125">
        <f>+($V34/$V$33-1)*100</f>
        <v>2.4000000000000021</v>
      </c>
      <c r="BK34" s="107"/>
    </row>
    <row r="35" spans="3:70" ht="15.75" thickBot="1" x14ac:dyDescent="0.3">
      <c r="C35" s="53">
        <v>3.3</v>
      </c>
      <c r="D35" s="38" t="s">
        <v>145</v>
      </c>
      <c r="E35" s="38" t="s">
        <v>99</v>
      </c>
      <c r="F35" s="38">
        <v>-0.51199637725126701</v>
      </c>
      <c r="G35" s="43">
        <f t="shared" si="4"/>
        <v>0.26214029031842173</v>
      </c>
      <c r="U35" s="53">
        <v>3.3</v>
      </c>
      <c r="V35" s="38">
        <f t="shared" si="0"/>
        <v>132.06251238438114</v>
      </c>
      <c r="W35" s="38">
        <f t="shared" si="1"/>
        <v>132.06251238438114</v>
      </c>
      <c r="X35" s="38" t="str">
        <f t="shared" si="5"/>
        <v/>
      </c>
      <c r="Y35" s="38" t="str">
        <f t="shared" si="15"/>
        <v/>
      </c>
      <c r="Z35" s="38" t="str">
        <f t="shared" si="13"/>
        <v/>
      </c>
      <c r="AA35" s="38">
        <f t="shared" si="6"/>
        <v>132.74214737000108</v>
      </c>
      <c r="AB35" s="38">
        <f t="shared" si="7"/>
        <v>-0.51199637725126701</v>
      </c>
      <c r="AC35" s="43">
        <f t="shared" si="8"/>
        <v>0.26214029031842173</v>
      </c>
      <c r="AE35" s="144">
        <f t="shared" si="9"/>
        <v>99.488003622748721</v>
      </c>
      <c r="AF35" s="33"/>
      <c r="AG35" s="145">
        <f t="shared" si="10"/>
        <v>-5.1199637725127811E-3</v>
      </c>
      <c r="AI35" s="120">
        <f t="shared" si="23"/>
        <v>31.6675098548167</v>
      </c>
      <c r="AJ35" s="121">
        <f t="shared" si="24"/>
        <v>28.33090629124435</v>
      </c>
      <c r="AK35" s="121">
        <f t="shared" si="25"/>
        <v>26.934625411715494</v>
      </c>
      <c r="AL35" s="121">
        <f t="shared" si="26"/>
        <v>28.087412120802703</v>
      </c>
      <c r="AM35" s="121">
        <f t="shared" si="27"/>
        <v>26.318946864696933</v>
      </c>
      <c r="AN35" s="121">
        <f t="shared" si="28"/>
        <v>22.283588445979618</v>
      </c>
      <c r="AO35" s="121">
        <f t="shared" si="29"/>
        <v>21.535316795621306</v>
      </c>
      <c r="AP35" s="121">
        <f t="shared" si="30"/>
        <v>14.010616130976828</v>
      </c>
      <c r="AQ35" s="121">
        <f t="shared" si="31"/>
        <v>15.629428124722944</v>
      </c>
      <c r="AR35" s="121">
        <f t="shared" si="32"/>
        <v>11.289151226874839</v>
      </c>
      <c r="AS35" s="121">
        <f t="shared" si="33"/>
        <v>11.848393192839035</v>
      </c>
      <c r="AT35" s="121">
        <f t="shared" si="34"/>
        <v>3.4675237676586868</v>
      </c>
      <c r="AU35" s="121">
        <f t="shared" si="34"/>
        <v>3.4675237676586868</v>
      </c>
      <c r="AV35" s="121">
        <f t="shared" si="43"/>
        <v>-0.51199637725126701</v>
      </c>
      <c r="AW35" s="121">
        <f t="shared" si="44"/>
        <v>3.310491820092154</v>
      </c>
      <c r="AX35" s="121">
        <f t="shared" si="45"/>
        <v>10.021823024592269</v>
      </c>
      <c r="AY35" s="121">
        <f t="shared" si="46"/>
        <v>8.5027840479213523</v>
      </c>
      <c r="AZ35" s="121">
        <f t="shared" si="47"/>
        <v>14.093358620316888</v>
      </c>
      <c r="BA35" s="121">
        <f t="shared" si="48"/>
        <v>16.540713606043809</v>
      </c>
      <c r="BB35" s="121">
        <f t="shared" si="49"/>
        <v>9.7370184614348645</v>
      </c>
      <c r="BC35" s="121">
        <f t="shared" si="50"/>
        <v>3.7211894720556193</v>
      </c>
      <c r="BD35" s="121">
        <f t="shared" si="51"/>
        <v>10.813236615444044</v>
      </c>
      <c r="BE35" s="121">
        <f t="shared" si="52"/>
        <v>8.9609012934553256</v>
      </c>
      <c r="BF35" s="121">
        <f t="shared" si="53"/>
        <v>9.3984952745535431</v>
      </c>
      <c r="BG35" s="126">
        <f t="shared" si="54"/>
        <v>9.617730736025587</v>
      </c>
      <c r="BH35" s="126">
        <f t="shared" si="55"/>
        <v>11.969081446399986</v>
      </c>
      <c r="BI35" s="126">
        <f t="shared" si="56"/>
        <v>10.750822400000004</v>
      </c>
      <c r="BJ35" s="126">
        <f t="shared" ref="BJ35:BJ42" si="57">+($V35/$V$33-1)*100</f>
        <v>5.7792000000000066</v>
      </c>
      <c r="BK35" s="125">
        <f>+($V35/$V$34-1)*100</f>
        <v>3.2999999999999918</v>
      </c>
      <c r="BL35" s="110"/>
    </row>
    <row r="36" spans="3:70" ht="15.75" thickBot="1" x14ac:dyDescent="0.3">
      <c r="C36" s="53">
        <v>-0.7</v>
      </c>
      <c r="D36" s="38">
        <v>-0.69999999999998952</v>
      </c>
      <c r="E36" s="38">
        <f t="shared" si="20"/>
        <v>0.48999999999998534</v>
      </c>
      <c r="F36" s="38">
        <v>-1.2084124026105036</v>
      </c>
      <c r="G36" s="43">
        <f t="shared" si="4"/>
        <v>1.4602605347828899</v>
      </c>
      <c r="U36" s="53">
        <v>-0.7</v>
      </c>
      <c r="V36" s="38">
        <f t="shared" si="0"/>
        <v>131.13807479769048</v>
      </c>
      <c r="W36" s="38">
        <f t="shared" si="1"/>
        <v>132.06251238438114</v>
      </c>
      <c r="X36" s="38">
        <f t="shared" si="5"/>
        <v>-0.69999999999998952</v>
      </c>
      <c r="Y36" s="38">
        <f t="shared" si="15"/>
        <v>-0.69999999999998952</v>
      </c>
      <c r="Z36" s="38">
        <f t="shared" si="13"/>
        <v>0.48999999999998534</v>
      </c>
      <c r="AA36" s="38">
        <f t="shared" si="6"/>
        <v>132.74214737000108</v>
      </c>
      <c r="AB36" s="38">
        <f t="shared" si="7"/>
        <v>-1.2084124026105036</v>
      </c>
      <c r="AC36" s="43">
        <f t="shared" si="8"/>
        <v>1.4602605347828899</v>
      </c>
      <c r="AE36" s="144">
        <f t="shared" si="9"/>
        <v>98.79158759738948</v>
      </c>
      <c r="AF36" s="33" t="s">
        <v>184</v>
      </c>
      <c r="AG36" s="145">
        <f t="shared" si="10"/>
        <v>-1.2084124026105147E-2</v>
      </c>
      <c r="AI36" s="120">
        <f t="shared" si="23"/>
        <v>30.745837285832998</v>
      </c>
      <c r="AJ36" s="121">
        <f t="shared" si="24"/>
        <v>27.432589947205656</v>
      </c>
      <c r="AK36" s="121">
        <f t="shared" si="25"/>
        <v>26.04608303383349</v>
      </c>
      <c r="AL36" s="121">
        <f t="shared" si="26"/>
        <v>27.190800235957102</v>
      </c>
      <c r="AM36" s="121">
        <f t="shared" si="27"/>
        <v>25.434714236644073</v>
      </c>
      <c r="AN36" s="121">
        <f t="shared" si="28"/>
        <v>26.318946864696933</v>
      </c>
      <c r="AO36" s="121">
        <f t="shared" si="29"/>
        <v>20.68456957805196</v>
      </c>
      <c r="AP36" s="121">
        <f t="shared" si="30"/>
        <v>13.212541818059997</v>
      </c>
      <c r="AQ36" s="121">
        <f t="shared" si="31"/>
        <v>14.820022127849896</v>
      </c>
      <c r="AR36" s="121">
        <f t="shared" si="32"/>
        <v>10.51012716828672</v>
      </c>
      <c r="AS36" s="121">
        <f t="shared" si="33"/>
        <v>11.065454440489164</v>
      </c>
      <c r="AT36" s="121">
        <f t="shared" si="34"/>
        <v>2.7432511012850824</v>
      </c>
      <c r="AU36" s="121">
        <f t="shared" si="34"/>
        <v>2.7432511012850824</v>
      </c>
      <c r="AV36" s="121">
        <f t="shared" si="43"/>
        <v>-1.2084124026105036</v>
      </c>
      <c r="AW36" s="121">
        <f t="shared" si="44"/>
        <v>2.5873183773515107</v>
      </c>
      <c r="AX36" s="121">
        <f t="shared" si="45"/>
        <v>9.2516702634201309</v>
      </c>
      <c r="AY36" s="121">
        <f t="shared" si="46"/>
        <v>7.7432645595859162</v>
      </c>
      <c r="AZ36" s="121">
        <f t="shared" si="47"/>
        <v>13.29470510997468</v>
      </c>
      <c r="BA36" s="121">
        <f t="shared" si="48"/>
        <v>15.724928610801525</v>
      </c>
      <c r="BB36" s="121">
        <f t="shared" si="49"/>
        <v>8.9688593322048149</v>
      </c>
      <c r="BC36" s="121">
        <f t="shared" si="50"/>
        <v>2.9951411457512345</v>
      </c>
      <c r="BD36" s="121">
        <f t="shared" si="51"/>
        <v>10.037543959135942</v>
      </c>
      <c r="BE36" s="121">
        <f t="shared" si="52"/>
        <v>8.1981749844011418</v>
      </c>
      <c r="BF36" s="121">
        <f t="shared" si="53"/>
        <v>8.6327058076316696</v>
      </c>
      <c r="BG36" s="126">
        <f t="shared" si="54"/>
        <v>8.850406620873418</v>
      </c>
      <c r="BH36" s="126">
        <f t="shared" si="55"/>
        <v>11.185297876275202</v>
      </c>
      <c r="BI36" s="126">
        <f t="shared" si="56"/>
        <v>9.9755666432000076</v>
      </c>
      <c r="BJ36" s="126">
        <f t="shared" si="57"/>
        <v>5.0387456000000164</v>
      </c>
      <c r="BK36" s="126">
        <f t="shared" ref="BK36:BK42" si="58">+($V36/$V$34-1)*100</f>
        <v>2.5769000000000153</v>
      </c>
      <c r="BL36" s="127">
        <f>+($V36/$V$35-1)*100</f>
        <v>-0.69999999999998952</v>
      </c>
      <c r="BM36" s="110"/>
    </row>
    <row r="37" spans="3:70" ht="15.75" thickBot="1" x14ac:dyDescent="0.3">
      <c r="C37" s="53">
        <v>4.7</v>
      </c>
      <c r="D37" s="38" t="s">
        <v>145</v>
      </c>
      <c r="E37" s="38" t="s">
        <v>0</v>
      </c>
      <c r="F37" s="38">
        <v>0</v>
      </c>
      <c r="G37" s="43">
        <f t="shared" si="4"/>
        <v>0</v>
      </c>
      <c r="U37" s="53">
        <v>4.7</v>
      </c>
      <c r="V37" s="38">
        <f t="shared" si="0"/>
        <v>137.30156431318193</v>
      </c>
      <c r="W37" s="38">
        <f t="shared" si="1"/>
        <v>137.30156431318193</v>
      </c>
      <c r="X37" s="38" t="str">
        <f t="shared" si="5"/>
        <v/>
      </c>
      <c r="Y37" s="38" t="str">
        <f t="shared" si="15"/>
        <v/>
      </c>
      <c r="Z37" s="38" t="str">
        <f t="shared" si="13"/>
        <v/>
      </c>
      <c r="AA37" s="38">
        <f t="shared" si="6"/>
        <v>137.30156431318193</v>
      </c>
      <c r="AB37" s="38">
        <f t="shared" si="7"/>
        <v>0</v>
      </c>
      <c r="AC37" s="43">
        <f t="shared" si="8"/>
        <v>0</v>
      </c>
      <c r="AE37" s="144">
        <f t="shared" si="9"/>
        <v>100</v>
      </c>
      <c r="AF37" s="33"/>
      <c r="AG37" s="145">
        <f t="shared" si="10"/>
        <v>0</v>
      </c>
      <c r="AI37" s="120">
        <f t="shared" si="23"/>
        <v>36.890891638267156</v>
      </c>
      <c r="AJ37" s="121">
        <f t="shared" si="24"/>
        <v>33.421921674724331</v>
      </c>
      <c r="AK37" s="121">
        <f t="shared" si="25"/>
        <v>31.970248936423662</v>
      </c>
      <c r="AL37" s="121">
        <f t="shared" si="26"/>
        <v>33.168767847047079</v>
      </c>
      <c r="AM37" s="121">
        <f t="shared" si="27"/>
        <v>31.330145805766342</v>
      </c>
      <c r="AN37" s="121">
        <f t="shared" si="28"/>
        <v>25.434714236644073</v>
      </c>
      <c r="AO37" s="121">
        <f t="shared" si="29"/>
        <v>26.356744348220396</v>
      </c>
      <c r="AP37" s="121">
        <f t="shared" si="30"/>
        <v>18.533531283508808</v>
      </c>
      <c r="AQ37" s="121">
        <f t="shared" si="31"/>
        <v>20.216563167858826</v>
      </c>
      <c r="AR37" s="121">
        <f t="shared" si="32"/>
        <v>15.704103145196191</v>
      </c>
      <c r="AS37" s="121">
        <f t="shared" si="33"/>
        <v>16.285530799192149</v>
      </c>
      <c r="AT37" s="121">
        <f t="shared" si="34"/>
        <v>7.5721839030454818</v>
      </c>
      <c r="AU37" s="121">
        <f t="shared" si="34"/>
        <v>7.5721839030454818</v>
      </c>
      <c r="AV37" s="121">
        <f t="shared" si="43"/>
        <v>3.4347922144668086</v>
      </c>
      <c r="AW37" s="121">
        <f t="shared" si="44"/>
        <v>7.408922341087032</v>
      </c>
      <c r="AX37" s="121">
        <f t="shared" si="45"/>
        <v>14.386498765800869</v>
      </c>
      <c r="AY37" s="121">
        <f t="shared" si="46"/>
        <v>12.807197993886454</v>
      </c>
      <c r="AZ37" s="121">
        <f t="shared" si="47"/>
        <v>18.619556250143489</v>
      </c>
      <c r="BA37" s="121">
        <f t="shared" si="48"/>
        <v>21.164000255509198</v>
      </c>
      <c r="BB37" s="121">
        <f t="shared" si="49"/>
        <v>14.090395720818449</v>
      </c>
      <c r="BC37" s="121">
        <f t="shared" si="50"/>
        <v>7.8359127796015393</v>
      </c>
      <c r="BD37" s="121">
        <f t="shared" si="51"/>
        <v>15.209308525215338</v>
      </c>
      <c r="BE37" s="121">
        <f t="shared" si="52"/>
        <v>13.283489208667998</v>
      </c>
      <c r="BF37" s="121">
        <f t="shared" si="53"/>
        <v>13.738442980590349</v>
      </c>
      <c r="BG37" s="126">
        <f t="shared" si="54"/>
        <v>13.966375732054459</v>
      </c>
      <c r="BH37" s="126">
        <f t="shared" si="55"/>
        <v>16.411006876460132</v>
      </c>
      <c r="BI37" s="126">
        <f t="shared" si="56"/>
        <v>15.144418275430404</v>
      </c>
      <c r="BJ37" s="126">
        <f t="shared" si="57"/>
        <v>9.9755666432000076</v>
      </c>
      <c r="BK37" s="126">
        <f t="shared" si="58"/>
        <v>7.3980142999999998</v>
      </c>
      <c r="BL37" s="126">
        <f t="shared" ref="BL37:BL42" si="59">+($V37/$V$35-1)*100</f>
        <v>3.9671000000000012</v>
      </c>
      <c r="BM37" s="125">
        <f>+($V37/$V$36-1)*100</f>
        <v>4.6999999999999931</v>
      </c>
      <c r="BN37" s="107"/>
    </row>
    <row r="38" spans="3:70" ht="15.75" thickBot="1" x14ac:dyDescent="0.3">
      <c r="C38" s="53">
        <v>0.6</v>
      </c>
      <c r="D38" s="38" t="s">
        <v>145</v>
      </c>
      <c r="E38" s="38" t="s">
        <v>0</v>
      </c>
      <c r="F38" s="38">
        <v>0</v>
      </c>
      <c r="G38" s="43">
        <f t="shared" si="4"/>
        <v>0</v>
      </c>
      <c r="U38" s="53">
        <v>0.6</v>
      </c>
      <c r="V38" s="38">
        <f t="shared" si="0"/>
        <v>138.12537369906102</v>
      </c>
      <c r="W38" s="38">
        <f t="shared" si="1"/>
        <v>138.12537369906102</v>
      </c>
      <c r="X38" s="38" t="str">
        <f t="shared" si="5"/>
        <v/>
      </c>
      <c r="Y38" s="38" t="str">
        <f t="shared" si="15"/>
        <v/>
      </c>
      <c r="Z38" s="38" t="str">
        <f t="shared" si="13"/>
        <v/>
      </c>
      <c r="AA38" s="38">
        <f t="shared" si="6"/>
        <v>138.12537369906102</v>
      </c>
      <c r="AB38" s="38">
        <f t="shared" si="7"/>
        <v>0</v>
      </c>
      <c r="AC38" s="43">
        <f t="shared" si="8"/>
        <v>0</v>
      </c>
      <c r="AE38" s="144">
        <f t="shared" si="9"/>
        <v>100</v>
      </c>
      <c r="AF38" s="33"/>
      <c r="AG38" s="145">
        <f t="shared" si="10"/>
        <v>0</v>
      </c>
      <c r="AI38" s="120">
        <f t="shared" si="23"/>
        <v>37.712236988096763</v>
      </c>
      <c r="AJ38" s="121">
        <f t="shared" si="24"/>
        <v>34.222453204772663</v>
      </c>
      <c r="AK38" s="121">
        <f t="shared" si="25"/>
        <v>32.762070430042201</v>
      </c>
      <c r="AL38" s="121">
        <f t="shared" si="26"/>
        <v>33.967780454129361</v>
      </c>
      <c r="AM38" s="121">
        <f t="shared" si="27"/>
        <v>32.118126680600945</v>
      </c>
      <c r="AN38" s="121">
        <f t="shared" si="28"/>
        <v>31.330145805766342</v>
      </c>
      <c r="AO38" s="121">
        <f t="shared" si="29"/>
        <v>27.114884814309704</v>
      </c>
      <c r="AP38" s="121">
        <f t="shared" si="30"/>
        <v>19.244732471209858</v>
      </c>
      <c r="AQ38" s="121">
        <f t="shared" si="31"/>
        <v>20.937862546865983</v>
      </c>
      <c r="AR38" s="121">
        <f t="shared" si="32"/>
        <v>16.398327764067353</v>
      </c>
      <c r="AS38" s="121">
        <f t="shared" si="33"/>
        <v>16.983243983987293</v>
      </c>
      <c r="AT38" s="121">
        <f t="shared" si="34"/>
        <v>8.217617006463751</v>
      </c>
      <c r="AU38" s="121">
        <f t="shared" si="34"/>
        <v>8.217617006463751</v>
      </c>
      <c r="AV38" s="121">
        <f t="shared" si="43"/>
        <v>4.0554009677536085</v>
      </c>
      <c r="AW38" s="121">
        <f t="shared" si="44"/>
        <v>8.0533758751335505</v>
      </c>
      <c r="AX38" s="121">
        <f t="shared" si="45"/>
        <v>15.072817758395662</v>
      </c>
      <c r="AY38" s="121">
        <f t="shared" si="46"/>
        <v>13.48404118184976</v>
      </c>
      <c r="AZ38" s="121">
        <f t="shared" si="47"/>
        <v>19.331273587644347</v>
      </c>
      <c r="BA38" s="121">
        <f t="shared" si="48"/>
        <v>21.890984257042234</v>
      </c>
      <c r="BB38" s="121">
        <f t="shared" si="49"/>
        <v>14.774938095143341</v>
      </c>
      <c r="BC38" s="121">
        <f t="shared" si="50"/>
        <v>8.482928256279143</v>
      </c>
      <c r="BD38" s="121">
        <f t="shared" si="51"/>
        <v>15.900564376366621</v>
      </c>
      <c r="BE38" s="121">
        <f t="shared" si="52"/>
        <v>13.963190143920002</v>
      </c>
      <c r="BF38" s="121">
        <f t="shared" si="53"/>
        <v>14.420873638473886</v>
      </c>
      <c r="BG38" s="126">
        <f t="shared" si="54"/>
        <v>14.650173986446791</v>
      </c>
      <c r="BH38" s="126">
        <f t="shared" si="55"/>
        <v>17.109472917718893</v>
      </c>
      <c r="BI38" s="126">
        <f t="shared" si="56"/>
        <v>15.835284785082981</v>
      </c>
      <c r="BJ38" s="126">
        <f t="shared" si="57"/>
        <v>10.635420043059218</v>
      </c>
      <c r="BK38" s="126">
        <f t="shared" si="58"/>
        <v>8.0424023858000062</v>
      </c>
      <c r="BL38" s="126">
        <f t="shared" si="59"/>
        <v>4.590902600000013</v>
      </c>
      <c r="BM38" s="126">
        <f t="shared" ref="BM38:BM42" si="60">+($V38/$V$36-1)*100</f>
        <v>5.3282000000000052</v>
      </c>
      <c r="BN38" s="125">
        <f>+($V38/$V$37-1)*100</f>
        <v>0.60000000000000053</v>
      </c>
      <c r="BO38" s="110"/>
    </row>
    <row r="39" spans="3:70" ht="15.75" thickBot="1" x14ac:dyDescent="0.3">
      <c r="C39" s="53">
        <v>1</v>
      </c>
      <c r="D39" s="38" t="s">
        <v>145</v>
      </c>
      <c r="E39" s="38" t="s">
        <v>0</v>
      </c>
      <c r="F39" s="38">
        <v>0</v>
      </c>
      <c r="G39" s="43">
        <f t="shared" si="4"/>
        <v>0</v>
      </c>
      <c r="U39" s="53">
        <v>1</v>
      </c>
      <c r="V39" s="38">
        <f t="shared" si="0"/>
        <v>139.50662743605162</v>
      </c>
      <c r="W39" s="38">
        <f t="shared" si="1"/>
        <v>139.50662743605162</v>
      </c>
      <c r="X39" s="38" t="str">
        <f t="shared" si="5"/>
        <v/>
      </c>
      <c r="Y39" s="38" t="str">
        <f t="shared" si="15"/>
        <v/>
      </c>
      <c r="Z39" s="38" t="str">
        <f t="shared" si="13"/>
        <v/>
      </c>
      <c r="AA39" s="38">
        <f t="shared" si="6"/>
        <v>139.50662743605162</v>
      </c>
      <c r="AB39" s="38">
        <f t="shared" si="7"/>
        <v>0</v>
      </c>
      <c r="AC39" s="43">
        <f t="shared" si="8"/>
        <v>0</v>
      </c>
      <c r="AE39" s="144">
        <f t="shared" si="9"/>
        <v>100</v>
      </c>
      <c r="AF39" s="33"/>
      <c r="AG39" s="145">
        <f t="shared" si="10"/>
        <v>0</v>
      </c>
      <c r="AI39" s="120">
        <f t="shared" si="23"/>
        <v>39.089359357977706</v>
      </c>
      <c r="AJ39" s="121">
        <f t="shared" si="24"/>
        <v>35.564677736820371</v>
      </c>
      <c r="AK39" s="121">
        <f t="shared" si="25"/>
        <v>34.089691134342615</v>
      </c>
      <c r="AL39" s="121">
        <f t="shared" si="26"/>
        <v>35.307458258670657</v>
      </c>
      <c r="AM39" s="121">
        <f t="shared" si="27"/>
        <v>33.439307947406945</v>
      </c>
      <c r="AN39" s="121">
        <f t="shared" si="28"/>
        <v>32.118126680600945</v>
      </c>
      <c r="AO39" s="121">
        <f t="shared" si="29"/>
        <v>28.386033662452803</v>
      </c>
      <c r="AP39" s="121">
        <f t="shared" si="30"/>
        <v>20.437179795921946</v>
      </c>
      <c r="AQ39" s="121">
        <f t="shared" si="31"/>
        <v>22.147241172334642</v>
      </c>
      <c r="AR39" s="121">
        <f t="shared" si="32"/>
        <v>17.562311041708021</v>
      </c>
      <c r="AS39" s="121">
        <f t="shared" si="33"/>
        <v>18.153076423827173</v>
      </c>
      <c r="AT39" s="121">
        <f t="shared" si="34"/>
        <v>9.2997931765283823</v>
      </c>
      <c r="AU39" s="121">
        <f t="shared" si="34"/>
        <v>9.2997931765283823</v>
      </c>
      <c r="AV39" s="121">
        <f t="shared" si="43"/>
        <v>5.0959549774311386</v>
      </c>
      <c r="AW39" s="121">
        <f t="shared" si="44"/>
        <v>9.1339096338848726</v>
      </c>
      <c r="AX39" s="121">
        <f t="shared" si="45"/>
        <v>16.223545935979612</v>
      </c>
      <c r="AY39" s="121">
        <f t="shared" si="46"/>
        <v>14.618881593668265</v>
      </c>
      <c r="AZ39" s="121">
        <f t="shared" si="47"/>
        <v>20.524586323520786</v>
      </c>
      <c r="BA39" s="121">
        <f t="shared" si="48"/>
        <v>23.10989409961266</v>
      </c>
      <c r="BB39" s="121">
        <f t="shared" si="49"/>
        <v>15.922687476094776</v>
      </c>
      <c r="BC39" s="121">
        <f t="shared" si="50"/>
        <v>9.5677575388419367</v>
      </c>
      <c r="BD39" s="121">
        <f t="shared" si="51"/>
        <v>17.059570020130277</v>
      </c>
      <c r="BE39" s="121">
        <f t="shared" si="52"/>
        <v>15.102822045359199</v>
      </c>
      <c r="BF39" s="121">
        <f t="shared" si="53"/>
        <v>15.56508237485863</v>
      </c>
      <c r="BG39" s="126">
        <f t="shared" si="54"/>
        <v>15.79667572631125</v>
      </c>
      <c r="BH39" s="126">
        <f t="shared" si="55"/>
        <v>18.280567646896074</v>
      </c>
      <c r="BI39" s="126">
        <f t="shared" si="56"/>
        <v>16.993637632933822</v>
      </c>
      <c r="BJ39" s="126">
        <f t="shared" si="57"/>
        <v>11.74177424348979</v>
      </c>
      <c r="BK39" s="126">
        <f t="shared" si="58"/>
        <v>9.1228264096580034</v>
      </c>
      <c r="BL39" s="126">
        <f t="shared" si="59"/>
        <v>5.6368116260000045</v>
      </c>
      <c r="BM39" s="126">
        <f t="shared" si="60"/>
        <v>6.3814819999999939</v>
      </c>
      <c r="BN39" s="126">
        <f t="shared" ref="BN39:BN42" si="61">+($V39/$V$37-1)*100</f>
        <v>1.6059999999999963</v>
      </c>
      <c r="BO39" s="125">
        <f>+($V39/$V$38-1)*100</f>
        <v>1.0000000000000009</v>
      </c>
      <c r="BP39" s="110"/>
    </row>
    <row r="40" spans="3:70" ht="15.75" thickBot="1" x14ac:dyDescent="0.3">
      <c r="C40" s="53">
        <v>-0.2</v>
      </c>
      <c r="D40" s="38">
        <v>-0.20000000000000018</v>
      </c>
      <c r="E40" s="38">
        <f t="shared" si="20"/>
        <v>4.000000000000007E-2</v>
      </c>
      <c r="F40" s="38">
        <v>-0.20000000000000018</v>
      </c>
      <c r="G40" s="43">
        <f t="shared" si="4"/>
        <v>4.000000000000007E-2</v>
      </c>
      <c r="U40" s="53">
        <v>-0.2</v>
      </c>
      <c r="V40" s="38">
        <f t="shared" si="0"/>
        <v>139.22761418117952</v>
      </c>
      <c r="W40" s="38">
        <f t="shared" si="1"/>
        <v>139.50662743605162</v>
      </c>
      <c r="X40" s="38">
        <f t="shared" si="5"/>
        <v>-0.20000000000000018</v>
      </c>
      <c r="Y40" s="38">
        <f t="shared" si="15"/>
        <v>-0.20000000000000018</v>
      </c>
      <c r="Z40" s="38">
        <f t="shared" si="13"/>
        <v>4.000000000000007E-2</v>
      </c>
      <c r="AA40" s="38">
        <f t="shared" si="6"/>
        <v>139.50662743605162</v>
      </c>
      <c r="AB40" s="38">
        <f t="shared" si="7"/>
        <v>-0.20000000000000018</v>
      </c>
      <c r="AC40" s="43">
        <f t="shared" si="8"/>
        <v>4.000000000000007E-2</v>
      </c>
      <c r="AE40" s="144">
        <f t="shared" si="9"/>
        <v>99.8</v>
      </c>
      <c r="AF40" s="33"/>
      <c r="AG40" s="145">
        <f t="shared" si="10"/>
        <v>-2.0000000000000018E-3</v>
      </c>
      <c r="AI40" s="120">
        <f t="shared" si="23"/>
        <v>38.811180639261764</v>
      </c>
      <c r="AJ40" s="121">
        <f t="shared" si="24"/>
        <v>35.293548381346753</v>
      </c>
      <c r="AK40" s="121">
        <f t="shared" si="25"/>
        <v>33.821511752073931</v>
      </c>
      <c r="AL40" s="121">
        <f t="shared" si="26"/>
        <v>35.036843342153311</v>
      </c>
      <c r="AM40" s="121">
        <f t="shared" si="27"/>
        <v>33.17242933151212</v>
      </c>
      <c r="AN40" s="121">
        <f t="shared" si="28"/>
        <v>33.439307947406945</v>
      </c>
      <c r="AO40" s="121">
        <f t="shared" si="29"/>
        <v>28.129261595127897</v>
      </c>
      <c r="AP40" s="121">
        <f t="shared" si="30"/>
        <v>20.196305436330107</v>
      </c>
      <c r="AQ40" s="121">
        <f t="shared" si="31"/>
        <v>21.902946689989978</v>
      </c>
      <c r="AR40" s="121">
        <f t="shared" si="32"/>
        <v>17.327186419624606</v>
      </c>
      <c r="AS40" s="121">
        <f t="shared" si="33"/>
        <v>17.916770270979509</v>
      </c>
      <c r="AT40" s="121">
        <f t="shared" si="34"/>
        <v>9.0811935901753174</v>
      </c>
      <c r="AU40" s="121">
        <f t="shared" si="34"/>
        <v>9.0811935901753174</v>
      </c>
      <c r="AV40" s="121">
        <f t="shared" si="43"/>
        <v>4.8857630674762786</v>
      </c>
      <c r="AW40" s="121">
        <f t="shared" si="44"/>
        <v>8.9156418146171035</v>
      </c>
      <c r="AX40" s="121">
        <f t="shared" si="45"/>
        <v>15.991098844107654</v>
      </c>
      <c r="AY40" s="121">
        <f t="shared" si="46"/>
        <v>14.389643830480914</v>
      </c>
      <c r="AZ40" s="121">
        <f t="shared" si="47"/>
        <v>20.283537150873741</v>
      </c>
      <c r="BA40" s="121">
        <f t="shared" si="48"/>
        <v>22.86367431141343</v>
      </c>
      <c r="BB40" s="121">
        <f t="shared" si="49"/>
        <v>15.6908421011426</v>
      </c>
      <c r="BC40" s="121">
        <f t="shared" si="50"/>
        <v>9.3486220237642534</v>
      </c>
      <c r="BD40" s="121">
        <f t="shared" si="51"/>
        <v>16.82545088009002</v>
      </c>
      <c r="BE40" s="121">
        <f t="shared" si="52"/>
        <v>14.872616401268468</v>
      </c>
      <c r="BF40" s="121">
        <f t="shared" si="53"/>
        <v>15.333952210108915</v>
      </c>
      <c r="BG40" s="126">
        <f t="shared" si="54"/>
        <v>15.56508237485863</v>
      </c>
      <c r="BH40" s="126">
        <f t="shared" si="55"/>
        <v>18.044006511602273</v>
      </c>
      <c r="BI40" s="126">
        <f t="shared" si="56"/>
        <v>16.759650357667955</v>
      </c>
      <c r="BJ40" s="126">
        <f t="shared" si="57"/>
        <v>11.518290695002831</v>
      </c>
      <c r="BK40" s="126">
        <f t="shared" si="58"/>
        <v>8.904580756838687</v>
      </c>
      <c r="BL40" s="126">
        <f t="shared" si="59"/>
        <v>5.4255380027480093</v>
      </c>
      <c r="BM40" s="126">
        <f t="shared" si="60"/>
        <v>6.1687190359999811</v>
      </c>
      <c r="BN40" s="126">
        <f t="shared" si="61"/>
        <v>1.4027879999999993</v>
      </c>
      <c r="BO40" s="126">
        <f>+($V40/$V$38-1)*100</f>
        <v>0.79799999999998761</v>
      </c>
      <c r="BP40" s="125">
        <f>+($V40/$V$39-1)*100</f>
        <v>-0.20000000000000018</v>
      </c>
      <c r="BQ40" s="107"/>
    </row>
    <row r="41" spans="3:70" ht="15.75" thickBot="1" x14ac:dyDescent="0.3">
      <c r="C41" s="53">
        <v>3.4</v>
      </c>
      <c r="D41" s="33" t="s">
        <v>0</v>
      </c>
      <c r="E41" s="38" t="s">
        <v>0</v>
      </c>
      <c r="F41" s="38">
        <v>0</v>
      </c>
      <c r="G41" s="43">
        <f t="shared" si="4"/>
        <v>0</v>
      </c>
      <c r="U41" s="53">
        <v>3.4</v>
      </c>
      <c r="V41" s="38">
        <f t="shared" si="0"/>
        <v>143.96135306333963</v>
      </c>
      <c r="W41" s="38">
        <f t="shared" si="1"/>
        <v>143.96135306333963</v>
      </c>
      <c r="X41" s="38" t="str">
        <f t="shared" si="5"/>
        <v/>
      </c>
      <c r="Y41" s="38" t="str">
        <f t="shared" si="15"/>
        <v/>
      </c>
      <c r="Z41" s="38" t="str">
        <f t="shared" si="13"/>
        <v/>
      </c>
      <c r="AA41" s="38">
        <f t="shared" si="6"/>
        <v>143.96135306333963</v>
      </c>
      <c r="AB41" s="38">
        <f t="shared" si="7"/>
        <v>0</v>
      </c>
      <c r="AC41" s="43">
        <f t="shared" si="8"/>
        <v>0</v>
      </c>
      <c r="AE41" s="144">
        <f t="shared" si="9"/>
        <v>100</v>
      </c>
      <c r="AF41" s="33"/>
      <c r="AG41" s="145">
        <f t="shared" si="10"/>
        <v>0</v>
      </c>
      <c r="AI41" s="120">
        <f t="shared" si="23"/>
        <v>43.530760780996673</v>
      </c>
      <c r="AJ41" s="121">
        <f t="shared" si="24"/>
        <v>39.893529026312535</v>
      </c>
      <c r="AK41" s="121">
        <f t="shared" si="25"/>
        <v>38.371443151644471</v>
      </c>
      <c r="AL41" s="121">
        <f t="shared" si="26"/>
        <v>39.628096015786518</v>
      </c>
      <c r="AM41" s="121">
        <f t="shared" si="27"/>
        <v>37.70029192878355</v>
      </c>
      <c r="AN41" s="121">
        <f t="shared" si="28"/>
        <v>33.17242933151212</v>
      </c>
      <c r="AO41" s="121">
        <f t="shared" si="29"/>
        <v>32.485656489362256</v>
      </c>
      <c r="AP41" s="121">
        <f t="shared" si="30"/>
        <v>24.282979821165341</v>
      </c>
      <c r="AQ41" s="121">
        <f t="shared" si="31"/>
        <v>26.047646877449647</v>
      </c>
      <c r="AR41" s="121">
        <f t="shared" si="32"/>
        <v>21.316310757891866</v>
      </c>
      <c r="AS41" s="121">
        <f t="shared" si="33"/>
        <v>21.925940460192827</v>
      </c>
      <c r="AT41" s="121">
        <f t="shared" si="34"/>
        <v>12.789954172241291</v>
      </c>
      <c r="AU41" s="121">
        <f t="shared" si="34"/>
        <v>12.789954172241291</v>
      </c>
      <c r="AV41" s="121">
        <f t="shared" si="43"/>
        <v>8.451879011770469</v>
      </c>
      <c r="AW41" s="121">
        <f t="shared" si="44"/>
        <v>12.618773636314096</v>
      </c>
      <c r="AX41" s="121">
        <f t="shared" si="45"/>
        <v>19.934796204807338</v>
      </c>
      <c r="AY41" s="121">
        <f t="shared" si="46"/>
        <v>18.278891720717283</v>
      </c>
      <c r="AZ41" s="121">
        <f t="shared" si="47"/>
        <v>24.373177414003464</v>
      </c>
      <c r="BA41" s="121">
        <f t="shared" si="48"/>
        <v>27.041039238001495</v>
      </c>
      <c r="BB41" s="121">
        <f t="shared" si="49"/>
        <v>19.624330732581452</v>
      </c>
      <c r="BC41" s="121">
        <f t="shared" si="50"/>
        <v>13.066475172572245</v>
      </c>
      <c r="BD41" s="121">
        <f t="shared" si="51"/>
        <v>20.797516210013089</v>
      </c>
      <c r="BE41" s="121">
        <f t="shared" si="52"/>
        <v>18.778285358911617</v>
      </c>
      <c r="BF41" s="121">
        <f t="shared" si="53"/>
        <v>19.25530658525263</v>
      </c>
      <c r="BG41" s="126">
        <f t="shared" si="54"/>
        <v>19.494295175603817</v>
      </c>
      <c r="BH41" s="126">
        <f t="shared" si="55"/>
        <v>22.05750273299676</v>
      </c>
      <c r="BI41" s="126">
        <f t="shared" si="56"/>
        <v>20.729478469828667</v>
      </c>
      <c r="BJ41" s="126">
        <f t="shared" si="57"/>
        <v>15.309912578632922</v>
      </c>
      <c r="BK41" s="126">
        <f t="shared" si="58"/>
        <v>12.607336502571197</v>
      </c>
      <c r="BL41" s="126">
        <f t="shared" si="59"/>
        <v>9.0100062948414319</v>
      </c>
      <c r="BM41" s="126">
        <f t="shared" si="60"/>
        <v>9.7784554832240023</v>
      </c>
      <c r="BN41" s="126">
        <f t="shared" si="61"/>
        <v>4.8504827919999993</v>
      </c>
      <c r="BO41" s="126">
        <f>+($V41/$V$38-1)*100</f>
        <v>4.2251320000000092</v>
      </c>
      <c r="BP41" s="126">
        <f>+($V41/$V$39-1)*100</f>
        <v>3.1932000000000071</v>
      </c>
      <c r="BQ41" s="125">
        <f>+($V41/$V$40-1)*100</f>
        <v>3.400000000000003</v>
      </c>
      <c r="BR41" s="107"/>
    </row>
    <row r="42" spans="3:70" ht="15.75" thickBot="1" x14ac:dyDescent="0.3">
      <c r="C42" s="53">
        <v>1</v>
      </c>
      <c r="D42" s="33" t="s">
        <v>0</v>
      </c>
      <c r="E42" s="38" t="s">
        <v>0</v>
      </c>
      <c r="F42" s="38">
        <v>0</v>
      </c>
      <c r="G42" s="43">
        <f t="shared" si="4"/>
        <v>0</v>
      </c>
      <c r="U42" s="53">
        <v>1</v>
      </c>
      <c r="V42" s="38">
        <f t="shared" si="0"/>
        <v>145.40096659397304</v>
      </c>
      <c r="W42" s="38">
        <f t="shared" si="1"/>
        <v>145.40096659397304</v>
      </c>
      <c r="X42" s="38" t="str">
        <f t="shared" si="5"/>
        <v/>
      </c>
      <c r="Y42" s="38" t="str">
        <f t="shared" si="15"/>
        <v/>
      </c>
      <c r="Z42" s="38" t="str">
        <f t="shared" si="13"/>
        <v/>
      </c>
      <c r="AA42" s="38">
        <f t="shared" si="6"/>
        <v>145.40096659397304</v>
      </c>
      <c r="AB42" s="38">
        <f t="shared" si="7"/>
        <v>0</v>
      </c>
      <c r="AC42" s="43">
        <f t="shared" si="8"/>
        <v>0</v>
      </c>
      <c r="AE42" s="146">
        <f t="shared" si="9"/>
        <v>100</v>
      </c>
      <c r="AF42" s="36" t="s">
        <v>185</v>
      </c>
      <c r="AG42" s="147">
        <f t="shared" si="10"/>
        <v>0</v>
      </c>
      <c r="AI42" s="128">
        <f t="shared" si="23"/>
        <v>44.966068388806633</v>
      </c>
      <c r="AJ42" s="129">
        <f t="shared" si="24"/>
        <v>41.292464316575675</v>
      </c>
      <c r="AK42" s="129">
        <f t="shared" si="25"/>
        <v>39.755157583160909</v>
      </c>
      <c r="AL42" s="129">
        <f t="shared" si="26"/>
        <v>41.024376975944406</v>
      </c>
      <c r="AM42" s="129">
        <f t="shared" si="27"/>
        <v>39.077294848071411</v>
      </c>
      <c r="AN42" s="129">
        <f t="shared" si="28"/>
        <v>37.70029192878355</v>
      </c>
      <c r="AO42" s="129">
        <f t="shared" si="29"/>
        <v>33.810513054255885</v>
      </c>
      <c r="AP42" s="129">
        <f t="shared" si="30"/>
        <v>25.525809619377004</v>
      </c>
      <c r="AQ42" s="129">
        <f t="shared" si="31"/>
        <v>27.308123346224143</v>
      </c>
      <c r="AR42" s="129">
        <f t="shared" si="32"/>
        <v>22.529473865470795</v>
      </c>
      <c r="AS42" s="129">
        <f t="shared" si="33"/>
        <v>23.145199864794776</v>
      </c>
      <c r="AT42" s="129">
        <f t="shared" si="34"/>
        <v>13.917853713963723</v>
      </c>
      <c r="AU42" s="129">
        <f t="shared" si="34"/>
        <v>13.917853713963723</v>
      </c>
      <c r="AV42" s="129">
        <f t="shared" si="43"/>
        <v>9.5363978018881959</v>
      </c>
      <c r="AW42" s="129">
        <f t="shared" si="44"/>
        <v>13.744961372677245</v>
      </c>
      <c r="AX42" s="129">
        <f t="shared" si="45"/>
        <v>21.134144166855418</v>
      </c>
      <c r="AY42" s="129">
        <f t="shared" si="46"/>
        <v>19.461680637924459</v>
      </c>
      <c r="AZ42" s="129">
        <f t="shared" si="47"/>
        <v>25.616909188143499</v>
      </c>
      <c r="BA42" s="129">
        <f t="shared" si="48"/>
        <v>28.311449630381524</v>
      </c>
      <c r="BB42" s="129">
        <f t="shared" si="49"/>
        <v>20.820574039907271</v>
      </c>
      <c r="BC42" s="129">
        <f t="shared" si="50"/>
        <v>14.197139924297986</v>
      </c>
      <c r="BD42" s="129">
        <f t="shared" si="51"/>
        <v>22.005491372113227</v>
      </c>
      <c r="BE42" s="129">
        <f t="shared" si="52"/>
        <v>19.96606821250073</v>
      </c>
      <c r="BF42" s="129">
        <f t="shared" si="53"/>
        <v>20.447859651105162</v>
      </c>
      <c r="BG42" s="130">
        <f t="shared" si="54"/>
        <v>20.689238127359879</v>
      </c>
      <c r="BH42" s="130">
        <f t="shared" si="55"/>
        <v>23.278077760326731</v>
      </c>
      <c r="BI42" s="130">
        <f t="shared" si="56"/>
        <v>21.936773254526965</v>
      </c>
      <c r="BJ42" s="130">
        <f t="shared" si="57"/>
        <v>16.463011704419262</v>
      </c>
      <c r="BK42" s="130">
        <f t="shared" si="58"/>
        <v>13.733409867596924</v>
      </c>
      <c r="BL42" s="130">
        <f t="shared" si="59"/>
        <v>10.100106357789862</v>
      </c>
      <c r="BM42" s="130">
        <f t="shared" si="60"/>
        <v>10.876240038056251</v>
      </c>
      <c r="BN42" s="130">
        <f t="shared" si="61"/>
        <v>5.8989876199200042</v>
      </c>
      <c r="BO42" s="130">
        <f>+($V42/$V$38-1)*100</f>
        <v>5.2673833200000075</v>
      </c>
      <c r="BP42" s="130">
        <f>+($V42/$V$39-1)*100</f>
        <v>4.2251320000000092</v>
      </c>
      <c r="BQ42" s="130">
        <f>+($V42/$V$40-1)*100</f>
        <v>4.4340000000000046</v>
      </c>
      <c r="BR42" s="131">
        <f>+($V42/$V$41-1)*100</f>
        <v>1.0000000000000009</v>
      </c>
    </row>
    <row r="43" spans="3:70" ht="15.75" thickBot="1" x14ac:dyDescent="0.3">
      <c r="C43" s="32"/>
      <c r="D43" s="33"/>
      <c r="E43" s="33"/>
      <c r="F43" s="33"/>
      <c r="G43" s="34"/>
      <c r="U43" s="32"/>
      <c r="V43" s="33"/>
      <c r="W43" s="33"/>
      <c r="X43" s="33"/>
      <c r="Y43" s="33"/>
      <c r="Z43" s="33"/>
      <c r="AA43" s="33"/>
      <c r="AB43" s="33"/>
      <c r="AC43" s="34"/>
    </row>
    <row r="44" spans="3:70" ht="15.75" thickBot="1" x14ac:dyDescent="0.3">
      <c r="C44" s="18" t="s">
        <v>16</v>
      </c>
      <c r="D44" s="19"/>
      <c r="E44" s="52" t="s">
        <v>0</v>
      </c>
      <c r="F44" s="52">
        <f t="shared" ref="F44:G44" si="62">SUM(F7:F43)</f>
        <v>-135.32571198357422</v>
      </c>
      <c r="G44" s="48">
        <f t="shared" si="62"/>
        <v>1285.1907727705479</v>
      </c>
      <c r="U44" s="18" t="s">
        <v>16</v>
      </c>
      <c r="V44" s="19"/>
      <c r="W44" s="19"/>
      <c r="X44" s="19"/>
      <c r="Y44" s="19"/>
      <c r="Z44" s="19"/>
      <c r="AA44" s="19"/>
      <c r="AB44" s="52">
        <f>SUM(AB7:AB42)</f>
        <v>-135.32571198357422</v>
      </c>
      <c r="AC44" s="48">
        <f>SUM(AC7:AC42)</f>
        <v>1285.1907727705479</v>
      </c>
    </row>
    <row r="45" spans="3:70" ht="15.75" thickBot="1" x14ac:dyDescent="0.3">
      <c r="C45" s="15"/>
      <c r="D45" s="16"/>
      <c r="E45" s="16"/>
      <c r="F45" s="16"/>
      <c r="G45" s="21"/>
      <c r="U45" s="15"/>
      <c r="V45" s="16"/>
      <c r="W45" s="16"/>
      <c r="X45" s="16"/>
      <c r="Y45" s="16"/>
      <c r="Z45" s="16"/>
      <c r="AA45" s="16"/>
      <c r="AB45" s="16"/>
      <c r="AC45" s="21"/>
      <c r="AH45" t="s">
        <v>172</v>
      </c>
      <c r="AI45" s="132">
        <f>MIN(AI7:BR42)</f>
        <v>-14.632405668065795</v>
      </c>
    </row>
    <row r="46" spans="3:70" x14ac:dyDescent="0.25">
      <c r="AI46" s="133"/>
    </row>
    <row r="47" spans="3:70" ht="15.75" thickBot="1" x14ac:dyDescent="0.3">
      <c r="AI47" s="133"/>
    </row>
    <row r="48" spans="3:70" ht="15.75" thickBot="1" x14ac:dyDescent="0.3">
      <c r="C48" s="78" t="s">
        <v>151</v>
      </c>
      <c r="D48" s="79"/>
      <c r="E48" s="79"/>
      <c r="F48" s="148">
        <f>ABS(AI45)</f>
        <v>14.632405668065795</v>
      </c>
      <c r="G48" s="79"/>
      <c r="H48" s="79"/>
      <c r="I48" s="149"/>
      <c r="AH48" t="s">
        <v>152</v>
      </c>
      <c r="AI48" s="134">
        <f>MIN(AI7:AT18)</f>
        <v>-1.4000000000000012</v>
      </c>
    </row>
    <row r="49" spans="3:35" ht="15.75" thickBot="1" x14ac:dyDescent="0.3">
      <c r="C49" s="69"/>
      <c r="D49" s="70"/>
      <c r="E49" s="70"/>
      <c r="F49" s="70"/>
      <c r="G49" s="70"/>
      <c r="H49" s="70"/>
      <c r="I49" s="72"/>
      <c r="AH49" t="s">
        <v>153</v>
      </c>
      <c r="AI49" s="135">
        <f>MIN(AU19:BF30)</f>
        <v>-14.632405668065795</v>
      </c>
    </row>
    <row r="50" spans="3:35" ht="15.75" thickBot="1" x14ac:dyDescent="0.3">
      <c r="C50" s="69" t="s">
        <v>152</v>
      </c>
      <c r="D50" s="70"/>
      <c r="E50" s="70"/>
      <c r="F50" s="150">
        <f>ABS(AI48)</f>
        <v>1.4000000000000012</v>
      </c>
      <c r="G50" s="70"/>
      <c r="H50" s="70"/>
      <c r="I50" s="72"/>
      <c r="AH50" t="s">
        <v>154</v>
      </c>
      <c r="AI50" s="136">
        <f>MIN(BG31:BR42)</f>
        <v>-2.1000000000000019</v>
      </c>
    </row>
    <row r="51" spans="3:35" x14ac:dyDescent="0.25">
      <c r="C51" s="69"/>
      <c r="D51" s="70"/>
      <c r="E51" s="70"/>
      <c r="F51" s="70"/>
      <c r="G51" s="70"/>
      <c r="H51" s="70"/>
      <c r="I51" s="72"/>
    </row>
    <row r="52" spans="3:35" x14ac:dyDescent="0.25">
      <c r="C52" s="69" t="s">
        <v>153</v>
      </c>
      <c r="D52" s="70"/>
      <c r="E52" s="70"/>
      <c r="F52" s="150">
        <f>ABS(AI49)</f>
        <v>14.632405668065795</v>
      </c>
      <c r="G52" s="70"/>
      <c r="H52" s="70"/>
      <c r="I52" s="72"/>
    </row>
    <row r="53" spans="3:35" x14ac:dyDescent="0.25">
      <c r="C53" s="69"/>
      <c r="D53" s="70"/>
      <c r="E53" s="70"/>
      <c r="F53" s="70"/>
      <c r="G53" s="70"/>
      <c r="H53" s="70"/>
      <c r="I53" s="72"/>
    </row>
    <row r="54" spans="3:35" x14ac:dyDescent="0.25">
      <c r="C54" s="69" t="s">
        <v>154</v>
      </c>
      <c r="D54" s="70"/>
      <c r="E54" s="70"/>
      <c r="F54" s="150">
        <f>ABS(AI50)</f>
        <v>2.1000000000000019</v>
      </c>
      <c r="G54" s="70"/>
      <c r="H54" s="70"/>
      <c r="I54" s="72"/>
    </row>
    <row r="55" spans="3:35" x14ac:dyDescent="0.25">
      <c r="C55" s="69"/>
      <c r="D55" s="70"/>
      <c r="E55" s="70"/>
      <c r="F55" s="70"/>
      <c r="G55" s="70"/>
      <c r="H55" s="70"/>
      <c r="I55" s="72"/>
    </row>
    <row r="56" spans="3:35" x14ac:dyDescent="0.25">
      <c r="C56" s="69" t="s">
        <v>176</v>
      </c>
      <c r="D56" s="70"/>
      <c r="E56" s="70"/>
      <c r="F56" s="70"/>
      <c r="G56" s="70"/>
      <c r="H56" s="70" t="s">
        <v>180</v>
      </c>
      <c r="I56" s="72"/>
    </row>
    <row r="57" spans="3:35" x14ac:dyDescent="0.25">
      <c r="C57" s="69"/>
      <c r="D57" s="70"/>
      <c r="E57" s="70"/>
      <c r="F57" s="70"/>
      <c r="G57" s="70"/>
      <c r="H57" s="70"/>
      <c r="I57" s="72"/>
    </row>
    <row r="58" spans="3:35" x14ac:dyDescent="0.25">
      <c r="C58" s="69" t="s">
        <v>177</v>
      </c>
      <c r="D58" s="70"/>
      <c r="E58" s="70"/>
      <c r="F58" s="70">
        <v>14.63</v>
      </c>
      <c r="G58" s="70"/>
      <c r="H58" s="150">
        <f>+F58^2</f>
        <v>214.03690000000003</v>
      </c>
      <c r="I58" s="72"/>
    </row>
    <row r="59" spans="3:35" x14ac:dyDescent="0.25">
      <c r="C59" s="69"/>
      <c r="D59" s="70"/>
      <c r="E59" s="70"/>
      <c r="F59" s="70"/>
      <c r="G59" s="70"/>
      <c r="H59" s="150"/>
      <c r="I59" s="72"/>
    </row>
    <row r="60" spans="3:35" x14ac:dyDescent="0.25">
      <c r="C60" s="69" t="s">
        <v>178</v>
      </c>
      <c r="D60" s="70"/>
      <c r="E60" s="70"/>
      <c r="F60" s="70">
        <v>1.4</v>
      </c>
      <c r="G60" s="70"/>
      <c r="H60" s="150">
        <f>+F60^2</f>
        <v>1.9599999999999997</v>
      </c>
      <c r="I60" s="72"/>
    </row>
    <row r="61" spans="3:35" x14ac:dyDescent="0.25">
      <c r="C61" s="69"/>
      <c r="D61" s="70"/>
      <c r="E61" s="70"/>
      <c r="F61" s="70"/>
      <c r="G61" s="70"/>
      <c r="H61" s="150"/>
      <c r="I61" s="72"/>
    </row>
    <row r="62" spans="3:35" x14ac:dyDescent="0.25">
      <c r="C62" s="69" t="s">
        <v>179</v>
      </c>
      <c r="D62" s="70"/>
      <c r="E62" s="70"/>
      <c r="F62" s="70">
        <v>0.9</v>
      </c>
      <c r="G62" s="70"/>
      <c r="H62" s="150">
        <f>+F62^2</f>
        <v>0.81</v>
      </c>
      <c r="I62" s="72"/>
    </row>
    <row r="63" spans="3:35" x14ac:dyDescent="0.25">
      <c r="C63" s="69"/>
      <c r="D63" s="70"/>
      <c r="E63" s="70"/>
      <c r="F63" s="70"/>
      <c r="G63" s="70"/>
      <c r="H63" s="70"/>
      <c r="I63" s="72"/>
    </row>
    <row r="64" spans="3:35" x14ac:dyDescent="0.25">
      <c r="C64" s="69"/>
      <c r="D64" s="70"/>
      <c r="E64" s="70"/>
      <c r="F64" s="70"/>
      <c r="G64" s="70"/>
      <c r="H64" s="70"/>
      <c r="I64" s="72"/>
    </row>
    <row r="65" spans="3:25" x14ac:dyDescent="0.25">
      <c r="C65" s="69" t="s">
        <v>175</v>
      </c>
      <c r="D65" s="70"/>
      <c r="E65" s="70"/>
      <c r="F65" s="70"/>
      <c r="G65" s="70"/>
      <c r="H65" s="70"/>
      <c r="I65" s="72"/>
    </row>
    <row r="66" spans="3:25" x14ac:dyDescent="0.25">
      <c r="C66" s="69"/>
      <c r="D66" s="70"/>
      <c r="E66" s="70"/>
      <c r="F66" s="70"/>
      <c r="G66" s="70"/>
      <c r="H66" s="70"/>
      <c r="I66" s="72"/>
    </row>
    <row r="67" spans="3:25" x14ac:dyDescent="0.25">
      <c r="C67" s="69" t="s">
        <v>159</v>
      </c>
      <c r="D67" s="70"/>
      <c r="E67" s="70"/>
      <c r="F67" s="150">
        <f>ABS(D21)</f>
        <v>9.5742999999999903</v>
      </c>
      <c r="G67" s="70"/>
      <c r="H67" s="150">
        <f>+F67^2</f>
        <v>91.667220489999821</v>
      </c>
      <c r="I67" s="72"/>
    </row>
    <row r="68" spans="3:25" x14ac:dyDescent="0.25">
      <c r="C68" s="69"/>
      <c r="D68" s="70"/>
      <c r="E68" s="70"/>
      <c r="F68" s="70"/>
      <c r="G68" s="70"/>
      <c r="H68" s="150"/>
      <c r="I68" s="72"/>
      <c r="Y68" s="2" t="s">
        <v>454</v>
      </c>
    </row>
    <row r="69" spans="3:25" x14ac:dyDescent="0.25">
      <c r="C69" s="69" t="s">
        <v>160</v>
      </c>
      <c r="D69" s="70"/>
      <c r="E69" s="70"/>
      <c r="F69" s="150">
        <f>ABS(D24)</f>
        <v>6.8971000000000116</v>
      </c>
      <c r="G69" s="70"/>
      <c r="H69" s="150">
        <f>+F69^2</f>
        <v>47.569988410000157</v>
      </c>
      <c r="I69" s="72"/>
    </row>
    <row r="70" spans="3:25" x14ac:dyDescent="0.25">
      <c r="C70" s="69"/>
      <c r="D70" s="70"/>
      <c r="E70" s="70"/>
      <c r="F70" s="70"/>
      <c r="G70" s="70"/>
      <c r="H70" s="150"/>
      <c r="I70" s="72"/>
    </row>
    <row r="71" spans="3:25" ht="15.75" thickBot="1" x14ac:dyDescent="0.3">
      <c r="C71" s="73" t="s">
        <v>161</v>
      </c>
      <c r="D71" s="74"/>
      <c r="E71" s="74"/>
      <c r="F71" s="151">
        <f>ABS(D27)</f>
        <v>6.4000000000000057</v>
      </c>
      <c r="G71" s="74"/>
      <c r="H71" s="151">
        <f>+F71^2</f>
        <v>40.960000000000072</v>
      </c>
      <c r="I71" s="15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N51"/>
  <sheetViews>
    <sheetView topLeftCell="A14" workbookViewId="0">
      <selection activeCell="M33" sqref="M33"/>
    </sheetView>
  </sheetViews>
  <sheetFormatPr defaultRowHeight="15" x14ac:dyDescent="0.25"/>
  <cols>
    <col min="14" max="14" width="9.5703125" bestFit="1" customWidth="1"/>
  </cols>
  <sheetData>
    <row r="4" spans="3:14" ht="15.75" thickBot="1" x14ac:dyDescent="0.3"/>
    <row r="5" spans="3:14" ht="15.75" thickBot="1" x14ac:dyDescent="0.3">
      <c r="C5" s="39" t="s">
        <v>455</v>
      </c>
      <c r="D5" s="40"/>
      <c r="E5" s="40"/>
      <c r="F5" s="40"/>
      <c r="G5" s="40"/>
      <c r="H5" s="41"/>
    </row>
    <row r="6" spans="3:14" ht="15.75" thickBot="1" x14ac:dyDescent="0.3">
      <c r="C6" s="18" t="s">
        <v>11</v>
      </c>
      <c r="D6" s="19" t="s">
        <v>1</v>
      </c>
      <c r="E6" s="19" t="s">
        <v>9</v>
      </c>
      <c r="F6" s="19" t="s">
        <v>9</v>
      </c>
      <c r="G6" s="19" t="s">
        <v>9</v>
      </c>
      <c r="H6" s="20" t="s">
        <v>9</v>
      </c>
    </row>
    <row r="7" spans="3:14" x14ac:dyDescent="0.25">
      <c r="C7" s="22"/>
      <c r="D7" s="23" t="s">
        <v>49</v>
      </c>
      <c r="E7" s="23" t="s">
        <v>96</v>
      </c>
      <c r="F7" s="23" t="s">
        <v>18</v>
      </c>
      <c r="G7" s="23" t="s">
        <v>97</v>
      </c>
      <c r="H7" s="24" t="s">
        <v>18</v>
      </c>
      <c r="K7" s="18" t="s">
        <v>456</v>
      </c>
      <c r="L7" s="8"/>
      <c r="M7" s="8"/>
      <c r="N7" s="9"/>
    </row>
    <row r="8" spans="3:14" ht="15.75" thickBot="1" x14ac:dyDescent="0.3">
      <c r="C8" s="15"/>
      <c r="D8" s="16" t="s">
        <v>50</v>
      </c>
      <c r="E8" s="16" t="s">
        <v>0</v>
      </c>
      <c r="F8" s="16"/>
      <c r="G8" s="16" t="s">
        <v>0</v>
      </c>
      <c r="H8" s="21"/>
      <c r="K8" s="10"/>
      <c r="L8" s="11"/>
      <c r="M8" s="11"/>
      <c r="N8" s="12"/>
    </row>
    <row r="9" spans="3:14" x14ac:dyDescent="0.25">
      <c r="C9" s="29"/>
      <c r="D9" s="30"/>
      <c r="E9" s="30"/>
      <c r="F9" s="30"/>
      <c r="G9" s="30"/>
      <c r="H9" s="31"/>
      <c r="K9" s="84"/>
      <c r="L9" s="13"/>
      <c r="M9" s="13"/>
      <c r="N9" s="14"/>
    </row>
    <row r="10" spans="3:14" x14ac:dyDescent="0.25">
      <c r="C10" s="32">
        <f>C9+1</f>
        <v>1</v>
      </c>
      <c r="D10" s="42">
        <v>0.3</v>
      </c>
      <c r="E10" s="42">
        <f>IF(D10&lt;E$49,D10-E$49,"")</f>
        <v>-0.2</v>
      </c>
      <c r="F10" s="38">
        <f>IF(D10&lt;E$49,E10^2,"")</f>
        <v>4.0000000000000008E-2</v>
      </c>
      <c r="G10" s="33" t="str">
        <f>IF(D10&gt;E$49,D10-E$49,"")</f>
        <v/>
      </c>
      <c r="H10" s="34" t="str">
        <f t="shared" ref="H10:H45" si="0">IF(D10&gt;E$49,G10^2,"")</f>
        <v/>
      </c>
      <c r="K10" s="32" t="s">
        <v>35</v>
      </c>
      <c r="L10" s="33"/>
      <c r="M10" s="33"/>
      <c r="N10" s="43">
        <f>0-E47/C45</f>
        <v>1.0083333333333335</v>
      </c>
    </row>
    <row r="11" spans="3:14" x14ac:dyDescent="0.25">
      <c r="C11" s="32">
        <f t="shared" ref="C11:C45" si="1">C10+1</f>
        <v>2</v>
      </c>
      <c r="D11" s="42">
        <v>2.6</v>
      </c>
      <c r="E11" s="42" t="str">
        <f t="shared" ref="E11:E45" si="2">IF(D11&lt;E$49,D11-E$49,"")</f>
        <v/>
      </c>
      <c r="F11" s="38" t="str">
        <f t="shared" ref="F11:F45" si="3">IF(D11&lt;E$49,E11^2,"")</f>
        <v/>
      </c>
      <c r="G11" s="42">
        <f t="shared" ref="G11:G45" si="4">IF(D11&gt;E$49,D11-E$49,"")</f>
        <v>2.1</v>
      </c>
      <c r="H11" s="43">
        <f t="shared" si="0"/>
        <v>4.41</v>
      </c>
      <c r="K11" s="32"/>
      <c r="L11" s="33"/>
      <c r="M11" s="33"/>
      <c r="N11" s="34"/>
    </row>
    <row r="12" spans="3:14" x14ac:dyDescent="0.25">
      <c r="C12" s="32">
        <f t="shared" si="1"/>
        <v>3</v>
      </c>
      <c r="D12" s="42">
        <v>1.1000000000000001</v>
      </c>
      <c r="E12" s="42" t="str">
        <f t="shared" si="2"/>
        <v/>
      </c>
      <c r="F12" s="38" t="str">
        <f t="shared" si="3"/>
        <v/>
      </c>
      <c r="G12" s="42">
        <f t="shared" si="4"/>
        <v>0.60000000000000009</v>
      </c>
      <c r="H12" s="43">
        <f t="shared" si="0"/>
        <v>0.3600000000000001</v>
      </c>
      <c r="K12" s="32" t="s">
        <v>36</v>
      </c>
      <c r="L12" s="33"/>
      <c r="M12" s="33"/>
      <c r="N12" s="43">
        <f>+(F47/C45)^0.5</f>
        <v>2.1169291175872869</v>
      </c>
    </row>
    <row r="13" spans="3:14" x14ac:dyDescent="0.25">
      <c r="C13" s="32">
        <f t="shared" si="1"/>
        <v>4</v>
      </c>
      <c r="D13" s="42">
        <v>-0.9</v>
      </c>
      <c r="E13" s="42">
        <f t="shared" si="2"/>
        <v>-1.4</v>
      </c>
      <c r="F13" s="38">
        <f t="shared" si="3"/>
        <v>1.9599999999999997</v>
      </c>
      <c r="G13" s="42" t="str">
        <f t="shared" si="4"/>
        <v/>
      </c>
      <c r="H13" s="43" t="str">
        <f t="shared" si="0"/>
        <v/>
      </c>
      <c r="K13" s="32"/>
      <c r="L13" s="33"/>
      <c r="M13" s="33"/>
      <c r="N13" s="34"/>
    </row>
    <row r="14" spans="3:14" x14ac:dyDescent="0.25">
      <c r="C14" s="32">
        <f t="shared" si="1"/>
        <v>5</v>
      </c>
      <c r="D14" s="42">
        <v>1.4</v>
      </c>
      <c r="E14" s="42" t="str">
        <f t="shared" si="2"/>
        <v/>
      </c>
      <c r="F14" s="38" t="str">
        <f t="shared" si="3"/>
        <v/>
      </c>
      <c r="G14" s="42">
        <f t="shared" si="4"/>
        <v>0.89999999999999991</v>
      </c>
      <c r="H14" s="43">
        <f t="shared" si="0"/>
        <v>0.80999999999999983</v>
      </c>
      <c r="K14" s="32" t="s">
        <v>37</v>
      </c>
      <c r="L14" s="33"/>
      <c r="M14" s="33"/>
      <c r="N14" s="43">
        <f>+N12*12^0.5</f>
        <v>7.3332575753662619</v>
      </c>
    </row>
    <row r="15" spans="3:14" x14ac:dyDescent="0.25">
      <c r="C15" s="32">
        <f t="shared" si="1"/>
        <v>6</v>
      </c>
      <c r="D15" s="42">
        <v>2.4</v>
      </c>
      <c r="E15" s="42" t="str">
        <f t="shared" si="2"/>
        <v/>
      </c>
      <c r="F15" s="38" t="str">
        <f t="shared" si="3"/>
        <v/>
      </c>
      <c r="G15" s="42">
        <f t="shared" si="4"/>
        <v>1.9</v>
      </c>
      <c r="H15" s="43">
        <f t="shared" si="0"/>
        <v>3.61</v>
      </c>
      <c r="K15" s="32"/>
      <c r="L15" s="33"/>
      <c r="M15" s="33"/>
      <c r="N15" s="34"/>
    </row>
    <row r="16" spans="3:14" x14ac:dyDescent="0.25">
      <c r="C16" s="32">
        <f t="shared" si="1"/>
        <v>7</v>
      </c>
      <c r="D16" s="42">
        <v>1.5</v>
      </c>
      <c r="E16" s="42" t="str">
        <f t="shared" si="2"/>
        <v/>
      </c>
      <c r="F16" s="38" t="str">
        <f t="shared" si="3"/>
        <v/>
      </c>
      <c r="G16" s="42">
        <f t="shared" si="4"/>
        <v>1</v>
      </c>
      <c r="H16" s="43">
        <f t="shared" si="0"/>
        <v>1</v>
      </c>
      <c r="K16" s="32" t="s">
        <v>38</v>
      </c>
      <c r="L16" s="33"/>
      <c r="M16" s="33"/>
      <c r="N16" s="43">
        <f>+G47/C45</f>
        <v>1.6083333333333334</v>
      </c>
    </row>
    <row r="17" spans="3:14" x14ac:dyDescent="0.25">
      <c r="C17" s="32">
        <f t="shared" si="1"/>
        <v>8</v>
      </c>
      <c r="D17" s="42">
        <v>6.6</v>
      </c>
      <c r="E17" s="42" t="str">
        <f t="shared" si="2"/>
        <v/>
      </c>
      <c r="F17" s="38" t="str">
        <f t="shared" si="3"/>
        <v/>
      </c>
      <c r="G17" s="42">
        <f t="shared" si="4"/>
        <v>6.1</v>
      </c>
      <c r="H17" s="43">
        <f t="shared" si="0"/>
        <v>37.209999999999994</v>
      </c>
      <c r="K17" s="32"/>
      <c r="L17" s="33"/>
      <c r="M17" s="33"/>
      <c r="N17" s="34"/>
    </row>
    <row r="18" spans="3:14" x14ac:dyDescent="0.25">
      <c r="C18" s="32">
        <f t="shared" si="1"/>
        <v>9</v>
      </c>
      <c r="D18" s="42">
        <v>-1.4</v>
      </c>
      <c r="E18" s="42">
        <f t="shared" si="2"/>
        <v>-1.9</v>
      </c>
      <c r="F18" s="38">
        <f t="shared" si="3"/>
        <v>3.61</v>
      </c>
      <c r="G18" s="42" t="str">
        <f t="shared" si="4"/>
        <v/>
      </c>
      <c r="H18" s="43" t="str">
        <f t="shared" si="0"/>
        <v/>
      </c>
      <c r="K18" s="32" t="s">
        <v>39</v>
      </c>
      <c r="L18" s="33"/>
      <c r="M18" s="33"/>
      <c r="N18" s="43">
        <f>+(H47/C45)^0.5</f>
        <v>2.6236636810214664</v>
      </c>
    </row>
    <row r="19" spans="3:14" x14ac:dyDescent="0.25">
      <c r="C19" s="32">
        <f t="shared" si="1"/>
        <v>10</v>
      </c>
      <c r="D19" s="42">
        <v>3.9</v>
      </c>
      <c r="E19" s="42" t="str">
        <f t="shared" si="2"/>
        <v/>
      </c>
      <c r="F19" s="38" t="str">
        <f t="shared" si="3"/>
        <v/>
      </c>
      <c r="G19" s="42">
        <f t="shared" si="4"/>
        <v>3.4</v>
      </c>
      <c r="H19" s="43">
        <f t="shared" si="0"/>
        <v>11.559999999999999</v>
      </c>
      <c r="K19" s="32"/>
      <c r="L19" s="33"/>
      <c r="M19" s="33"/>
      <c r="N19" s="34"/>
    </row>
    <row r="20" spans="3:14" x14ac:dyDescent="0.25">
      <c r="C20" s="32">
        <f t="shared" si="1"/>
        <v>11</v>
      </c>
      <c r="D20" s="42">
        <v>-0.5</v>
      </c>
      <c r="E20" s="42">
        <f t="shared" si="2"/>
        <v>-1</v>
      </c>
      <c r="F20" s="38">
        <f t="shared" si="3"/>
        <v>1</v>
      </c>
      <c r="G20" s="42" t="str">
        <f t="shared" si="4"/>
        <v/>
      </c>
      <c r="H20" s="43" t="str">
        <f t="shared" si="0"/>
        <v/>
      </c>
      <c r="K20" s="32" t="s">
        <v>40</v>
      </c>
      <c r="L20" s="33"/>
      <c r="M20" s="33"/>
      <c r="N20" s="43">
        <f>+N18*12^0.5</f>
        <v>9.0886375950047285</v>
      </c>
    </row>
    <row r="21" spans="3:14" x14ac:dyDescent="0.25">
      <c r="C21" s="32">
        <f t="shared" si="1"/>
        <v>12</v>
      </c>
      <c r="D21" s="42">
        <v>8.1</v>
      </c>
      <c r="E21" s="42" t="str">
        <f t="shared" si="2"/>
        <v/>
      </c>
      <c r="F21" s="38" t="str">
        <f t="shared" si="3"/>
        <v/>
      </c>
      <c r="G21" s="42">
        <f t="shared" si="4"/>
        <v>7.6</v>
      </c>
      <c r="H21" s="43">
        <f t="shared" si="0"/>
        <v>57.76</v>
      </c>
      <c r="K21" s="32"/>
      <c r="L21" s="33"/>
      <c r="M21" s="33"/>
      <c r="N21" s="34"/>
    </row>
    <row r="22" spans="3:14" x14ac:dyDescent="0.25">
      <c r="C22" s="32">
        <f t="shared" si="1"/>
        <v>13</v>
      </c>
      <c r="D22" s="42">
        <v>4</v>
      </c>
      <c r="E22" s="42" t="str">
        <f t="shared" si="2"/>
        <v/>
      </c>
      <c r="F22" s="38" t="str">
        <f t="shared" si="3"/>
        <v/>
      </c>
      <c r="G22" s="42">
        <f t="shared" si="4"/>
        <v>3.5</v>
      </c>
      <c r="H22" s="43">
        <f t="shared" si="0"/>
        <v>12.25</v>
      </c>
      <c r="K22" s="32" t="s">
        <v>41</v>
      </c>
      <c r="L22" s="33"/>
      <c r="M22" s="33"/>
      <c r="N22" s="49">
        <f>+N18/N16</f>
        <v>1.6312934804278547</v>
      </c>
    </row>
    <row r="23" spans="3:14" x14ac:dyDescent="0.25">
      <c r="C23" s="32">
        <f t="shared" si="1"/>
        <v>14</v>
      </c>
      <c r="D23" s="42">
        <v>-3.7</v>
      </c>
      <c r="E23" s="42">
        <f t="shared" si="2"/>
        <v>-4.2</v>
      </c>
      <c r="F23" s="38">
        <f t="shared" si="3"/>
        <v>17.64</v>
      </c>
      <c r="G23" s="42" t="str">
        <f t="shared" si="4"/>
        <v/>
      </c>
      <c r="H23" s="43" t="str">
        <f t="shared" si="0"/>
        <v/>
      </c>
      <c r="K23" s="32"/>
      <c r="L23" s="33"/>
      <c r="M23" s="33"/>
      <c r="N23" s="34"/>
    </row>
    <row r="24" spans="3:14" x14ac:dyDescent="0.25">
      <c r="C24" s="32">
        <f t="shared" si="1"/>
        <v>15</v>
      </c>
      <c r="D24" s="42">
        <v>-6.1</v>
      </c>
      <c r="E24" s="42">
        <f t="shared" si="2"/>
        <v>-6.6</v>
      </c>
      <c r="F24" s="38">
        <f t="shared" si="3"/>
        <v>43.559999999999995</v>
      </c>
      <c r="G24" s="42" t="str">
        <f t="shared" si="4"/>
        <v/>
      </c>
      <c r="H24" s="43" t="str">
        <f t="shared" si="0"/>
        <v/>
      </c>
      <c r="K24" s="32" t="s">
        <v>42</v>
      </c>
      <c r="L24" s="33"/>
      <c r="M24" s="33"/>
      <c r="N24" s="43">
        <f>(' Descriptive Statistics'!M6-E51)/N14</f>
        <v>0.97113350940383114</v>
      </c>
    </row>
    <row r="25" spans="3:14" x14ac:dyDescent="0.25">
      <c r="C25" s="32">
        <f t="shared" si="1"/>
        <v>16</v>
      </c>
      <c r="D25" s="42">
        <v>1.4</v>
      </c>
      <c r="E25" s="42" t="str">
        <f t="shared" si="2"/>
        <v/>
      </c>
      <c r="F25" s="38" t="str">
        <f t="shared" si="3"/>
        <v/>
      </c>
      <c r="G25" s="42">
        <f t="shared" si="4"/>
        <v>0.89999999999999991</v>
      </c>
      <c r="H25" s="43">
        <f t="shared" si="0"/>
        <v>0.80999999999999983</v>
      </c>
      <c r="K25" s="32"/>
      <c r="L25" s="33"/>
      <c r="M25" s="33"/>
      <c r="N25" s="34"/>
    </row>
    <row r="26" spans="3:14" x14ac:dyDescent="0.25">
      <c r="C26" s="32">
        <f t="shared" si="1"/>
        <v>17</v>
      </c>
      <c r="D26" s="42">
        <v>-4.9000000000000004</v>
      </c>
      <c r="E26" s="42">
        <f t="shared" si="2"/>
        <v>-5.4</v>
      </c>
      <c r="F26" s="38">
        <f t="shared" si="3"/>
        <v>29.160000000000004</v>
      </c>
      <c r="G26" s="42" t="str">
        <f t="shared" si="4"/>
        <v/>
      </c>
      <c r="H26" s="43" t="str">
        <f t="shared" si="0"/>
        <v/>
      </c>
      <c r="K26" s="32" t="s">
        <v>45</v>
      </c>
      <c r="L26" s="33"/>
      <c r="M26" s="33"/>
      <c r="N26" s="43">
        <f>+N16/N14</f>
        <v>0.21932044753698762</v>
      </c>
    </row>
    <row r="27" spans="3:14" x14ac:dyDescent="0.25">
      <c r="C27" s="32">
        <f t="shared" si="1"/>
        <v>18</v>
      </c>
      <c r="D27" s="42">
        <v>-2.1</v>
      </c>
      <c r="E27" s="42">
        <f t="shared" si="2"/>
        <v>-2.6</v>
      </c>
      <c r="F27" s="38">
        <f t="shared" si="3"/>
        <v>6.7600000000000007</v>
      </c>
      <c r="G27" s="42" t="str">
        <f t="shared" si="4"/>
        <v/>
      </c>
      <c r="H27" s="43" t="str">
        <f t="shared" si="0"/>
        <v/>
      </c>
      <c r="K27" s="32"/>
      <c r="L27" s="33"/>
      <c r="M27" s="33"/>
      <c r="N27" s="34"/>
    </row>
    <row r="28" spans="3:14" x14ac:dyDescent="0.25">
      <c r="C28" s="32">
        <f t="shared" si="1"/>
        <v>19</v>
      </c>
      <c r="D28" s="42">
        <v>6.2</v>
      </c>
      <c r="E28" s="42" t="str">
        <f t="shared" si="2"/>
        <v/>
      </c>
      <c r="F28" s="38" t="str">
        <f t="shared" si="3"/>
        <v/>
      </c>
      <c r="G28" s="42">
        <f t="shared" si="4"/>
        <v>5.7</v>
      </c>
      <c r="H28" s="43">
        <f t="shared" si="0"/>
        <v>32.49</v>
      </c>
      <c r="K28" s="32" t="s">
        <v>46</v>
      </c>
      <c r="L28" s="33"/>
      <c r="M28" s="33"/>
      <c r="N28" s="43">
        <f>+N20/N14</f>
        <v>1.2393724755468982</v>
      </c>
    </row>
    <row r="29" spans="3:14" ht="15.75" thickBot="1" x14ac:dyDescent="0.3">
      <c r="C29" s="32">
        <f t="shared" si="1"/>
        <v>20</v>
      </c>
      <c r="D29" s="42">
        <v>5.8</v>
      </c>
      <c r="E29" s="42" t="str">
        <f t="shared" si="2"/>
        <v/>
      </c>
      <c r="F29" s="38" t="str">
        <f t="shared" si="3"/>
        <v/>
      </c>
      <c r="G29" s="42">
        <f t="shared" si="4"/>
        <v>5.3</v>
      </c>
      <c r="H29" s="43">
        <f t="shared" si="0"/>
        <v>28.09</v>
      </c>
      <c r="K29" s="10"/>
      <c r="L29" s="11"/>
      <c r="M29" s="11"/>
      <c r="N29" s="12"/>
    </row>
    <row r="30" spans="3:14" x14ac:dyDescent="0.25">
      <c r="C30" s="32">
        <f t="shared" si="1"/>
        <v>21</v>
      </c>
      <c r="D30" s="42">
        <v>-6.4</v>
      </c>
      <c r="E30" s="42">
        <f t="shared" si="2"/>
        <v>-6.9</v>
      </c>
      <c r="F30" s="38">
        <f t="shared" si="3"/>
        <v>47.610000000000007</v>
      </c>
      <c r="G30" s="42" t="str">
        <f t="shared" si="4"/>
        <v/>
      </c>
      <c r="H30" s="43" t="str">
        <f t="shared" si="0"/>
        <v/>
      </c>
    </row>
    <row r="31" spans="3:14" x14ac:dyDescent="0.25">
      <c r="C31" s="32">
        <f t="shared" si="1"/>
        <v>22</v>
      </c>
      <c r="D31" s="42">
        <v>1.7</v>
      </c>
      <c r="E31" s="42" t="str">
        <f t="shared" si="2"/>
        <v/>
      </c>
      <c r="F31" s="38" t="str">
        <f t="shared" si="3"/>
        <v/>
      </c>
      <c r="G31" s="42">
        <f t="shared" si="4"/>
        <v>1.2</v>
      </c>
      <c r="H31" s="43">
        <f t="shared" si="0"/>
        <v>1.44</v>
      </c>
    </row>
    <row r="32" spans="3:14" x14ac:dyDescent="0.25">
      <c r="C32" s="32">
        <f t="shared" si="1"/>
        <v>23</v>
      </c>
      <c r="D32" s="42">
        <v>-0.4</v>
      </c>
      <c r="E32" s="42">
        <f t="shared" si="2"/>
        <v>-0.9</v>
      </c>
      <c r="F32" s="38">
        <f t="shared" si="3"/>
        <v>0.81</v>
      </c>
      <c r="G32" s="42" t="str">
        <f t="shared" si="4"/>
        <v/>
      </c>
      <c r="H32" s="43" t="str">
        <f t="shared" si="0"/>
        <v/>
      </c>
    </row>
    <row r="33" spans="3:8" x14ac:dyDescent="0.25">
      <c r="C33" s="32">
        <f t="shared" si="1"/>
        <v>24</v>
      </c>
      <c r="D33" s="42">
        <v>-0.2</v>
      </c>
      <c r="E33" s="42">
        <f t="shared" si="2"/>
        <v>-0.7</v>
      </c>
      <c r="F33" s="38">
        <f t="shared" si="3"/>
        <v>0.48999999999999994</v>
      </c>
      <c r="G33" s="42" t="str">
        <f t="shared" si="4"/>
        <v/>
      </c>
      <c r="H33" s="43" t="str">
        <f t="shared" si="0"/>
        <v/>
      </c>
    </row>
    <row r="34" spans="3:8" x14ac:dyDescent="0.25">
      <c r="C34" s="32">
        <f t="shared" si="1"/>
        <v>25</v>
      </c>
      <c r="D34" s="42">
        <v>-2.1</v>
      </c>
      <c r="E34" s="42">
        <f t="shared" si="2"/>
        <v>-2.6</v>
      </c>
      <c r="F34" s="38">
        <f t="shared" si="3"/>
        <v>6.7600000000000007</v>
      </c>
      <c r="G34" s="42" t="str">
        <f t="shared" si="4"/>
        <v/>
      </c>
      <c r="H34" s="43" t="str">
        <f t="shared" si="0"/>
        <v/>
      </c>
    </row>
    <row r="35" spans="3:8" x14ac:dyDescent="0.25">
      <c r="C35" s="32">
        <f t="shared" si="1"/>
        <v>26</v>
      </c>
      <c r="D35" s="42">
        <v>1.1000000000000001</v>
      </c>
      <c r="E35" s="42" t="str">
        <f t="shared" si="2"/>
        <v/>
      </c>
      <c r="F35" s="38" t="str">
        <f t="shared" si="3"/>
        <v/>
      </c>
      <c r="G35" s="42">
        <f t="shared" si="4"/>
        <v>0.60000000000000009</v>
      </c>
      <c r="H35" s="43">
        <f t="shared" si="0"/>
        <v>0.3600000000000001</v>
      </c>
    </row>
    <row r="36" spans="3:8" x14ac:dyDescent="0.25">
      <c r="C36" s="32">
        <f t="shared" si="1"/>
        <v>27</v>
      </c>
      <c r="D36" s="42">
        <v>4.7</v>
      </c>
      <c r="E36" s="42" t="str">
        <f t="shared" si="2"/>
        <v/>
      </c>
      <c r="F36" s="38" t="str">
        <f t="shared" si="3"/>
        <v/>
      </c>
      <c r="G36" s="42">
        <f t="shared" si="4"/>
        <v>4.2</v>
      </c>
      <c r="H36" s="43">
        <f t="shared" si="0"/>
        <v>17.64</v>
      </c>
    </row>
    <row r="37" spans="3:8" x14ac:dyDescent="0.25">
      <c r="C37" s="32">
        <f t="shared" si="1"/>
        <v>28</v>
      </c>
      <c r="D37" s="42">
        <v>2.4</v>
      </c>
      <c r="E37" s="42" t="str">
        <f t="shared" si="2"/>
        <v/>
      </c>
      <c r="F37" s="38" t="str">
        <f t="shared" si="3"/>
        <v/>
      </c>
      <c r="G37" s="42">
        <f t="shared" si="4"/>
        <v>1.9</v>
      </c>
      <c r="H37" s="43">
        <f t="shared" si="0"/>
        <v>3.61</v>
      </c>
    </row>
    <row r="38" spans="3:8" x14ac:dyDescent="0.25">
      <c r="C38" s="32">
        <f t="shared" si="1"/>
        <v>29</v>
      </c>
      <c r="D38" s="42">
        <v>3.3</v>
      </c>
      <c r="E38" s="42" t="str">
        <f t="shared" si="2"/>
        <v/>
      </c>
      <c r="F38" s="38" t="str">
        <f t="shared" si="3"/>
        <v/>
      </c>
      <c r="G38" s="42">
        <f t="shared" si="4"/>
        <v>2.8</v>
      </c>
      <c r="H38" s="43">
        <f t="shared" si="0"/>
        <v>7.839999999999999</v>
      </c>
    </row>
    <row r="39" spans="3:8" x14ac:dyDescent="0.25">
      <c r="C39" s="32">
        <f t="shared" si="1"/>
        <v>30</v>
      </c>
      <c r="D39" s="42">
        <v>-0.7</v>
      </c>
      <c r="E39" s="42">
        <f t="shared" si="2"/>
        <v>-1.2</v>
      </c>
      <c r="F39" s="38">
        <f t="shared" si="3"/>
        <v>1.44</v>
      </c>
      <c r="G39" s="42" t="str">
        <f t="shared" si="4"/>
        <v/>
      </c>
      <c r="H39" s="43" t="str">
        <f t="shared" si="0"/>
        <v/>
      </c>
    </row>
    <row r="40" spans="3:8" x14ac:dyDescent="0.25">
      <c r="C40" s="32">
        <f t="shared" si="1"/>
        <v>31</v>
      </c>
      <c r="D40" s="42">
        <v>4.7</v>
      </c>
      <c r="E40" s="42" t="str">
        <f t="shared" si="2"/>
        <v/>
      </c>
      <c r="F40" s="38" t="str">
        <f t="shared" si="3"/>
        <v/>
      </c>
      <c r="G40" s="42">
        <f t="shared" si="4"/>
        <v>4.2</v>
      </c>
      <c r="H40" s="43">
        <f t="shared" si="0"/>
        <v>17.64</v>
      </c>
    </row>
    <row r="41" spans="3:8" x14ac:dyDescent="0.25">
      <c r="C41" s="32">
        <f t="shared" si="1"/>
        <v>32</v>
      </c>
      <c r="D41" s="42">
        <v>0.6</v>
      </c>
      <c r="E41" s="42" t="str">
        <f t="shared" si="2"/>
        <v/>
      </c>
      <c r="F41" s="38" t="str">
        <f t="shared" si="3"/>
        <v/>
      </c>
      <c r="G41" s="42">
        <f t="shared" si="4"/>
        <v>9.9999999999999978E-2</v>
      </c>
      <c r="H41" s="43">
        <f t="shared" si="0"/>
        <v>9.999999999999995E-3</v>
      </c>
    </row>
    <row r="42" spans="3:8" x14ac:dyDescent="0.25">
      <c r="C42" s="32">
        <f t="shared" si="1"/>
        <v>33</v>
      </c>
      <c r="D42" s="42">
        <v>1</v>
      </c>
      <c r="E42" s="42" t="str">
        <f t="shared" si="2"/>
        <v/>
      </c>
      <c r="F42" s="38" t="str">
        <f t="shared" si="3"/>
        <v/>
      </c>
      <c r="G42" s="42">
        <f t="shared" si="4"/>
        <v>0.5</v>
      </c>
      <c r="H42" s="43">
        <f t="shared" si="0"/>
        <v>0.25</v>
      </c>
    </row>
    <row r="43" spans="3:8" x14ac:dyDescent="0.25">
      <c r="C43" s="32">
        <f t="shared" si="1"/>
        <v>34</v>
      </c>
      <c r="D43" s="42">
        <v>-0.2</v>
      </c>
      <c r="E43" s="42">
        <f t="shared" si="2"/>
        <v>-0.7</v>
      </c>
      <c r="F43" s="38">
        <f t="shared" si="3"/>
        <v>0.48999999999999994</v>
      </c>
      <c r="G43" s="42" t="str">
        <f t="shared" si="4"/>
        <v/>
      </c>
      <c r="H43" s="43" t="str">
        <f t="shared" si="0"/>
        <v/>
      </c>
    </row>
    <row r="44" spans="3:8" x14ac:dyDescent="0.25">
      <c r="C44" s="32">
        <f t="shared" si="1"/>
        <v>35</v>
      </c>
      <c r="D44" s="42">
        <v>3.4</v>
      </c>
      <c r="E44" s="42" t="str">
        <f t="shared" si="2"/>
        <v/>
      </c>
      <c r="F44" s="38" t="str">
        <f t="shared" si="3"/>
        <v/>
      </c>
      <c r="G44" s="42">
        <f t="shared" si="4"/>
        <v>2.9</v>
      </c>
      <c r="H44" s="43">
        <f t="shared" si="0"/>
        <v>8.41</v>
      </c>
    </row>
    <row r="45" spans="3:8" ht="15.75" thickBot="1" x14ac:dyDescent="0.3">
      <c r="C45" s="32">
        <f t="shared" si="1"/>
        <v>36</v>
      </c>
      <c r="D45" s="42">
        <v>1</v>
      </c>
      <c r="E45" s="42" t="str">
        <f t="shared" si="2"/>
        <v/>
      </c>
      <c r="F45" s="38" t="str">
        <f t="shared" si="3"/>
        <v/>
      </c>
      <c r="G45" s="42">
        <f t="shared" si="4"/>
        <v>0.5</v>
      </c>
      <c r="H45" s="43">
        <f t="shared" si="0"/>
        <v>0.25</v>
      </c>
    </row>
    <row r="46" spans="3:8" x14ac:dyDescent="0.25">
      <c r="C46" s="18"/>
      <c r="D46" s="19"/>
      <c r="E46" s="19"/>
      <c r="F46" s="19"/>
      <c r="G46" s="19"/>
      <c r="H46" s="20"/>
    </row>
    <row r="47" spans="3:8" ht="15.75" thickBot="1" x14ac:dyDescent="0.3">
      <c r="C47" s="15" t="s">
        <v>16</v>
      </c>
      <c r="D47" s="16"/>
      <c r="E47" s="16">
        <f>SUM(E10:E45)</f>
        <v>-36.300000000000004</v>
      </c>
      <c r="F47" s="16">
        <f>SUM(F10:F45)</f>
        <v>161.33000000000001</v>
      </c>
      <c r="G47" s="16">
        <f t="shared" ref="G47:H47" si="5">SUM(G10:G45)</f>
        <v>57.900000000000006</v>
      </c>
      <c r="H47" s="21">
        <f t="shared" si="5"/>
        <v>247.81000000000003</v>
      </c>
    </row>
    <row r="49" spans="1:5" x14ac:dyDescent="0.25">
      <c r="A49" s="2" t="s">
        <v>43</v>
      </c>
      <c r="B49" s="2"/>
      <c r="C49" s="2"/>
      <c r="D49" s="2"/>
      <c r="E49" s="2">
        <v>0.5</v>
      </c>
    </row>
    <row r="50" spans="1:5" x14ac:dyDescent="0.25">
      <c r="A50" s="2"/>
      <c r="B50" s="2"/>
      <c r="C50" s="2"/>
      <c r="D50" s="2"/>
      <c r="E50" s="2"/>
    </row>
    <row r="51" spans="1:5" x14ac:dyDescent="0.25">
      <c r="A51" s="2" t="s">
        <v>44</v>
      </c>
      <c r="B51" s="2"/>
      <c r="C51" s="2"/>
      <c r="D51" s="2"/>
      <c r="E51" s="5">
        <f>((1+E49/100)^12-1)*100</f>
        <v>6.1677811864497611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7499-7948-4493-AE03-02B4C9C7B54F}">
  <dimension ref="C4:AP71"/>
  <sheetViews>
    <sheetView topLeftCell="S1" workbookViewId="0">
      <selection activeCell="AJ18" sqref="AJ18"/>
    </sheetView>
  </sheetViews>
  <sheetFormatPr defaultRowHeight="15" x14ac:dyDescent="0.25"/>
  <cols>
    <col min="7" max="7" width="9.5703125" bestFit="1" customWidth="1"/>
    <col min="10" max="10" width="9.5703125" bestFit="1" customWidth="1"/>
    <col min="15" max="15" width="12.5703125" customWidth="1"/>
    <col min="37" max="37" width="9.5703125" bestFit="1" customWidth="1"/>
    <col min="42" max="42" width="16.28515625" customWidth="1"/>
  </cols>
  <sheetData>
    <row r="4" spans="3:42" ht="15.75" thickBot="1" x14ac:dyDescent="0.3"/>
    <row r="5" spans="3:42" ht="15.75" thickBot="1" x14ac:dyDescent="0.3">
      <c r="C5" s="18" t="s">
        <v>458</v>
      </c>
      <c r="D5" s="19"/>
      <c r="E5" s="19"/>
      <c r="F5" s="19"/>
      <c r="G5" s="19"/>
      <c r="H5" s="19"/>
      <c r="I5" s="19"/>
      <c r="J5" s="20"/>
      <c r="L5" s="18" t="s">
        <v>459</v>
      </c>
      <c r="M5" s="19"/>
      <c r="N5" s="19"/>
      <c r="O5" s="20"/>
      <c r="Q5" s="39" t="s">
        <v>461</v>
      </c>
      <c r="R5" s="40"/>
      <c r="S5" s="40"/>
      <c r="T5" s="40"/>
      <c r="U5" s="41"/>
      <c r="W5" s="18" t="s">
        <v>462</v>
      </c>
      <c r="X5" s="19"/>
      <c r="Y5" s="19"/>
      <c r="Z5" s="20"/>
      <c r="AB5" s="39" t="s">
        <v>460</v>
      </c>
      <c r="AC5" s="40"/>
      <c r="AD5" s="40"/>
      <c r="AE5" s="40"/>
      <c r="AF5" s="41"/>
      <c r="AH5" s="18" t="s">
        <v>464</v>
      </c>
      <c r="AI5" s="19"/>
      <c r="AJ5" s="19"/>
      <c r="AK5" s="20"/>
      <c r="AM5" s="18" t="s">
        <v>465</v>
      </c>
      <c r="AN5" s="19"/>
      <c r="AO5" s="19"/>
      <c r="AP5" s="20"/>
    </row>
    <row r="6" spans="3:42" ht="15.75" thickBot="1" x14ac:dyDescent="0.3">
      <c r="C6" s="18" t="s">
        <v>101</v>
      </c>
      <c r="D6" s="19" t="s">
        <v>116</v>
      </c>
      <c r="E6" s="19" t="s">
        <v>118</v>
      </c>
      <c r="F6" s="19" t="s">
        <v>0</v>
      </c>
      <c r="G6" s="19" t="s">
        <v>118</v>
      </c>
      <c r="H6" s="19"/>
      <c r="I6" s="19"/>
      <c r="J6" s="20" t="s">
        <v>118</v>
      </c>
      <c r="L6" s="10"/>
      <c r="M6" s="11"/>
      <c r="N6" s="11"/>
      <c r="O6" s="12"/>
      <c r="Q6" s="18" t="s">
        <v>116</v>
      </c>
      <c r="R6" s="108" t="s">
        <v>122</v>
      </c>
      <c r="S6" s="19"/>
      <c r="T6" s="109" t="s">
        <v>123</v>
      </c>
      <c r="U6" s="20"/>
      <c r="W6" s="10"/>
      <c r="X6" s="11"/>
      <c r="Y6" s="11"/>
      <c r="Z6" s="12"/>
      <c r="AB6" s="18" t="s">
        <v>101</v>
      </c>
      <c r="AC6" s="19" t="s">
        <v>116</v>
      </c>
      <c r="AD6" s="19" t="s">
        <v>119</v>
      </c>
      <c r="AE6" s="19" t="s">
        <v>134</v>
      </c>
      <c r="AF6" s="20" t="s">
        <v>135</v>
      </c>
      <c r="AH6" s="10"/>
      <c r="AI6" s="11"/>
      <c r="AJ6" s="11"/>
      <c r="AK6" s="12"/>
      <c r="AM6" s="10"/>
      <c r="AN6" s="11"/>
      <c r="AO6" s="11"/>
      <c r="AP6" s="12"/>
    </row>
    <row r="7" spans="3:42" x14ac:dyDescent="0.25">
      <c r="C7" s="22"/>
      <c r="D7" s="23" t="s">
        <v>117</v>
      </c>
      <c r="E7" s="23" t="s">
        <v>116</v>
      </c>
      <c r="F7" s="23" t="s">
        <v>119</v>
      </c>
      <c r="G7" s="23" t="s">
        <v>119</v>
      </c>
      <c r="H7" s="23" t="s">
        <v>121</v>
      </c>
      <c r="I7" s="23" t="s">
        <v>119</v>
      </c>
      <c r="J7" s="24" t="s">
        <v>119</v>
      </c>
      <c r="L7" s="32" t="s">
        <v>103</v>
      </c>
      <c r="M7" s="33"/>
      <c r="N7" s="33"/>
      <c r="O7" s="43">
        <f>+E30/D30</f>
        <v>14.818181818181818</v>
      </c>
      <c r="Q7" s="22" t="s">
        <v>117</v>
      </c>
      <c r="R7" s="23" t="s">
        <v>121</v>
      </c>
      <c r="S7" s="23" t="s">
        <v>119</v>
      </c>
      <c r="T7" s="23" t="s">
        <v>121</v>
      </c>
      <c r="U7" s="24" t="s">
        <v>119</v>
      </c>
      <c r="W7" s="29" t="s">
        <v>125</v>
      </c>
      <c r="X7" s="30"/>
      <c r="Y7" s="30"/>
      <c r="Z7" s="47">
        <f>(U30-S30)/(2*I30*0.25%)</f>
        <v>12.545581631782401</v>
      </c>
      <c r="AB7" s="22"/>
      <c r="AC7" s="23" t="s">
        <v>117</v>
      </c>
      <c r="AD7" s="23" t="s">
        <v>120</v>
      </c>
      <c r="AE7" s="23"/>
      <c r="AF7" s="24" t="s">
        <v>124</v>
      </c>
      <c r="AH7" s="32" t="s">
        <v>126</v>
      </c>
      <c r="AI7" s="33"/>
      <c r="AJ7" s="33"/>
      <c r="AK7" s="43">
        <f>+AF30/I30</f>
        <v>230.05611105802794</v>
      </c>
      <c r="AM7" s="29" t="s">
        <v>129</v>
      </c>
      <c r="AN7" s="30"/>
      <c r="AO7" s="30"/>
      <c r="AP7" s="47" t="s">
        <v>0</v>
      </c>
    </row>
    <row r="8" spans="3:42" ht="15.75" thickBot="1" x14ac:dyDescent="0.3">
      <c r="C8" s="15"/>
      <c r="D8" s="45" t="s">
        <v>0</v>
      </c>
      <c r="E8" s="16" t="s">
        <v>117</v>
      </c>
      <c r="F8" s="16" t="s">
        <v>120</v>
      </c>
      <c r="G8" s="16" t="s">
        <v>120</v>
      </c>
      <c r="H8" s="16" t="s">
        <v>70</v>
      </c>
      <c r="I8" s="16" t="s">
        <v>120</v>
      </c>
      <c r="J8" s="21" t="s">
        <v>120</v>
      </c>
      <c r="L8" s="32"/>
      <c r="M8" s="33"/>
      <c r="N8" s="33"/>
      <c r="O8" s="34"/>
      <c r="Q8" s="106" t="s">
        <v>0</v>
      </c>
      <c r="R8" s="16" t="s">
        <v>70</v>
      </c>
      <c r="S8" s="16" t="s">
        <v>120</v>
      </c>
      <c r="T8" s="16" t="s">
        <v>70</v>
      </c>
      <c r="U8" s="21" t="s">
        <v>120</v>
      </c>
      <c r="W8" s="35"/>
      <c r="X8" s="36"/>
      <c r="Y8" s="36"/>
      <c r="Z8" s="37"/>
      <c r="AB8" s="15"/>
      <c r="AC8" s="45" t="s">
        <v>0</v>
      </c>
      <c r="AD8" s="16"/>
      <c r="AE8" s="16"/>
      <c r="AF8" s="21" t="s">
        <v>136</v>
      </c>
      <c r="AH8" s="32"/>
      <c r="AI8" s="33"/>
      <c r="AJ8" s="33"/>
      <c r="AK8" s="34"/>
      <c r="AM8" s="32"/>
      <c r="AN8" s="113" t="s">
        <v>131</v>
      </c>
      <c r="AO8" s="33"/>
      <c r="AP8" s="111">
        <f>+U30/I30-1</f>
        <v>3.2029588873099035E-2</v>
      </c>
    </row>
    <row r="9" spans="3:42" x14ac:dyDescent="0.25">
      <c r="C9" s="29">
        <v>1</v>
      </c>
      <c r="D9" s="30">
        <v>6</v>
      </c>
      <c r="E9" s="30">
        <v>6</v>
      </c>
      <c r="F9" s="51">
        <f>+D9/(1+F$32)^C9</f>
        <v>5.775195662164438</v>
      </c>
      <c r="G9" s="51">
        <f>+C9*F9</f>
        <v>5.775195662164438</v>
      </c>
      <c r="H9" s="91">
        <v>3.5000000000000003E-2</v>
      </c>
      <c r="I9" s="51">
        <f>+D9/(1+H9)^C9</f>
        <v>5.7971014492753632</v>
      </c>
      <c r="J9" s="47">
        <f>+C9*I9</f>
        <v>5.7971014492753632</v>
      </c>
      <c r="L9" s="32" t="s">
        <v>104</v>
      </c>
      <c r="M9" s="33"/>
      <c r="N9" s="33"/>
      <c r="O9" s="43">
        <f>+G30/I30</f>
        <v>13.130406937083976</v>
      </c>
      <c r="Q9" s="29">
        <v>6</v>
      </c>
      <c r="R9" s="91">
        <v>3.7500000000000006E-2</v>
      </c>
      <c r="S9" s="51">
        <f>+Q9/(1+R9)^C9</f>
        <v>5.783132530120481</v>
      </c>
      <c r="T9" s="91">
        <v>3.2500000000000001E-2</v>
      </c>
      <c r="U9" s="47">
        <f>+Q9/(1+T9)^C9</f>
        <v>5.8111380145278453</v>
      </c>
      <c r="AB9" s="29">
        <v>1</v>
      </c>
      <c r="AC9" s="30">
        <v>6</v>
      </c>
      <c r="AD9" s="51">
        <f>+AC9/(1+H9)^AB9</f>
        <v>5.7971014492753632</v>
      </c>
      <c r="AE9" s="30">
        <f>AB9*(AB9+1)</f>
        <v>2</v>
      </c>
      <c r="AF9" s="31">
        <f>+AE9*AD9</f>
        <v>11.594202898550726</v>
      </c>
      <c r="AH9" s="32" t="s">
        <v>127</v>
      </c>
      <c r="AI9" s="33"/>
      <c r="AJ9" s="33"/>
      <c r="AK9" s="43">
        <f>+AK7*(1/(1+F32/1))^2</f>
        <v>213.13986113908712</v>
      </c>
      <c r="AM9" s="32" t="s">
        <v>0</v>
      </c>
      <c r="AN9" s="33"/>
      <c r="AO9" s="33"/>
      <c r="AP9" s="43" t="s">
        <v>0</v>
      </c>
    </row>
    <row r="10" spans="3:42" x14ac:dyDescent="0.25">
      <c r="C10" s="32">
        <v>2</v>
      </c>
      <c r="D10" s="33">
        <v>6</v>
      </c>
      <c r="E10" s="33">
        <v>12</v>
      </c>
      <c r="F10" s="38">
        <f t="shared" ref="F10:F28" si="0">+D10/(1+F$32)^C10</f>
        <v>5.5588141560471573</v>
      </c>
      <c r="G10" s="38">
        <f t="shared" ref="G10:G28" si="1">+C10*F10</f>
        <v>11.117628312094315</v>
      </c>
      <c r="H10" s="87">
        <v>3.5000000000000003E-2</v>
      </c>
      <c r="I10" s="38">
        <f t="shared" ref="I10:I28" si="2">+D10/(1+H10)^C10</f>
        <v>5.6010642021984181</v>
      </c>
      <c r="J10" s="43">
        <f t="shared" ref="J10:J28" si="3">+C10*I10</f>
        <v>11.202128404396836</v>
      </c>
      <c r="L10" s="32"/>
      <c r="M10" s="33"/>
      <c r="N10" s="33"/>
      <c r="O10" s="34"/>
      <c r="Q10" s="32">
        <v>6</v>
      </c>
      <c r="R10" s="87">
        <v>3.7500000000000006E-2</v>
      </c>
      <c r="S10" s="38">
        <f t="shared" ref="S10:S28" si="4">+Q10/(1+R10)^C10</f>
        <v>5.5741036434896198</v>
      </c>
      <c r="T10" s="87">
        <v>3.2500000000000001E-2</v>
      </c>
      <c r="U10" s="43">
        <f t="shared" ref="U10:U28" si="5">+Q10/(1+T10)^C10</f>
        <v>5.6282208373151041</v>
      </c>
      <c r="AB10" s="32">
        <v>2</v>
      </c>
      <c r="AC10" s="33">
        <v>6</v>
      </c>
      <c r="AD10" s="38">
        <f t="shared" ref="AD10:AD28" si="6">+AC10/(1+H10)^AB10</f>
        <v>5.6010642021984181</v>
      </c>
      <c r="AE10" s="33">
        <f t="shared" ref="AE10:AE28" si="7">AB10*(AB10+1)</f>
        <v>6</v>
      </c>
      <c r="AF10" s="34">
        <f t="shared" ref="AF10:AF28" si="8">+AE10*AD10</f>
        <v>33.606385213190507</v>
      </c>
      <c r="AH10" s="32"/>
      <c r="AI10" s="33"/>
      <c r="AJ10" s="33"/>
      <c r="AK10" s="34"/>
      <c r="AM10" s="32"/>
      <c r="AN10" s="112" t="s">
        <v>130</v>
      </c>
      <c r="AO10" s="33"/>
      <c r="AP10" s="111">
        <f>+S30/I30-1</f>
        <v>-3.0698319285812903E-2</v>
      </c>
    </row>
    <row r="11" spans="3:42" ht="15.75" thickBot="1" x14ac:dyDescent="0.3">
      <c r="C11" s="32">
        <v>3</v>
      </c>
      <c r="D11" s="33">
        <v>6</v>
      </c>
      <c r="E11" s="33">
        <v>18</v>
      </c>
      <c r="F11" s="38">
        <f t="shared" si="0"/>
        <v>5.3505399001303022</v>
      </c>
      <c r="G11" s="38">
        <f t="shared" si="1"/>
        <v>16.051619700390908</v>
      </c>
      <c r="H11" s="87">
        <v>3.5000000000000003E-2</v>
      </c>
      <c r="I11" s="38">
        <f t="shared" si="2"/>
        <v>5.4116562340081344</v>
      </c>
      <c r="J11" s="43">
        <f t="shared" si="3"/>
        <v>16.234968702024403</v>
      </c>
      <c r="L11" s="32" t="s">
        <v>105</v>
      </c>
      <c r="M11" s="33"/>
      <c r="N11" s="33"/>
      <c r="O11" s="43">
        <f>+O9/(1+F32/1)</f>
        <v>12.638444864250204</v>
      </c>
      <c r="Q11" s="32">
        <v>6</v>
      </c>
      <c r="R11" s="87">
        <v>3.7500000000000006E-2</v>
      </c>
      <c r="S11" s="38">
        <f t="shared" si="4"/>
        <v>5.3726300178213204</v>
      </c>
      <c r="T11" s="87">
        <v>3.2500000000000001E-2</v>
      </c>
      <c r="U11" s="43">
        <f t="shared" si="5"/>
        <v>5.4510613436465913</v>
      </c>
      <c r="AB11" s="32">
        <v>3</v>
      </c>
      <c r="AC11" s="33">
        <v>6</v>
      </c>
      <c r="AD11" s="38">
        <f t="shared" si="6"/>
        <v>5.4116562340081344</v>
      </c>
      <c r="AE11" s="33">
        <f t="shared" si="7"/>
        <v>12</v>
      </c>
      <c r="AF11" s="34">
        <f t="shared" si="8"/>
        <v>64.939874808097613</v>
      </c>
      <c r="AH11" s="35" t="s">
        <v>128</v>
      </c>
      <c r="AI11" s="36"/>
      <c r="AJ11" s="36"/>
      <c r="AK11" s="76">
        <f>(U30+S30-2*I30)/(I30*0.25%^2)</f>
        <v>213.00313396576598</v>
      </c>
      <c r="AM11" s="32" t="s">
        <v>0</v>
      </c>
      <c r="AN11" s="33"/>
      <c r="AO11" s="33"/>
      <c r="AP11" s="43" t="s">
        <v>0</v>
      </c>
    </row>
    <row r="12" spans="3:42" x14ac:dyDescent="0.25">
      <c r="C12" s="32">
        <v>4</v>
      </c>
      <c r="D12" s="33">
        <v>6</v>
      </c>
      <c r="E12" s="33">
        <v>24</v>
      </c>
      <c r="F12" s="38">
        <f t="shared" si="0"/>
        <v>5.1500691369117106</v>
      </c>
      <c r="G12" s="38">
        <f t="shared" si="1"/>
        <v>20.600276547646843</v>
      </c>
      <c r="H12" s="87">
        <v>3.5000000000000003E-2</v>
      </c>
      <c r="I12" s="38">
        <f t="shared" si="2"/>
        <v>5.2286533661914341</v>
      </c>
      <c r="J12" s="43">
        <f t="shared" si="3"/>
        <v>20.914613464765736</v>
      </c>
      <c r="L12" s="32"/>
      <c r="M12" s="33"/>
      <c r="N12" s="33"/>
      <c r="O12" s="34"/>
      <c r="Q12" s="32">
        <v>6</v>
      </c>
      <c r="R12" s="87">
        <v>3.7500000000000006E-2</v>
      </c>
      <c r="S12" s="38">
        <f t="shared" si="4"/>
        <v>5.1784385713940422</v>
      </c>
      <c r="T12" s="87">
        <v>3.2500000000000001E-2</v>
      </c>
      <c r="U12" s="43">
        <f t="shared" si="5"/>
        <v>5.2794782989313225</v>
      </c>
      <c r="AB12" s="32">
        <v>4</v>
      </c>
      <c r="AC12" s="33">
        <v>6</v>
      </c>
      <c r="AD12" s="38">
        <f t="shared" si="6"/>
        <v>5.2286533661914341</v>
      </c>
      <c r="AE12" s="33">
        <f t="shared" si="7"/>
        <v>20</v>
      </c>
      <c r="AF12" s="34">
        <f t="shared" si="8"/>
        <v>104.57306732382868</v>
      </c>
      <c r="AM12" s="32" t="s">
        <v>132</v>
      </c>
      <c r="AN12" s="33"/>
      <c r="AO12" s="33"/>
      <c r="AP12" s="34"/>
    </row>
    <row r="13" spans="3:42" x14ac:dyDescent="0.25">
      <c r="C13" s="32">
        <v>5</v>
      </c>
      <c r="D13" s="33">
        <v>6</v>
      </c>
      <c r="E13" s="33">
        <v>30</v>
      </c>
      <c r="F13" s="38">
        <f t="shared" si="0"/>
        <v>4.95710948988991</v>
      </c>
      <c r="G13" s="38">
        <f t="shared" si="1"/>
        <v>24.785547449449549</v>
      </c>
      <c r="H13" s="87">
        <v>3.5000000000000003E-2</v>
      </c>
      <c r="I13" s="38">
        <f t="shared" si="2"/>
        <v>5.0518390011511451</v>
      </c>
      <c r="J13" s="43">
        <f t="shared" si="3"/>
        <v>25.259195005755725</v>
      </c>
      <c r="L13" s="32" t="s">
        <v>106</v>
      </c>
      <c r="M13" s="33"/>
      <c r="N13" s="33"/>
      <c r="O13" s="43">
        <f>+J30/I30</f>
        <v>13.029283616772975</v>
      </c>
      <c r="Q13" s="32">
        <v>6</v>
      </c>
      <c r="R13" s="87">
        <v>3.7500000000000006E-2</v>
      </c>
      <c r="S13" s="38">
        <f t="shared" si="4"/>
        <v>4.9912660929099193</v>
      </c>
      <c r="T13" s="87">
        <v>3.2500000000000001E-2</v>
      </c>
      <c r="U13" s="43">
        <f t="shared" si="5"/>
        <v>5.1132961732991022</v>
      </c>
      <c r="AB13" s="32">
        <v>5</v>
      </c>
      <c r="AC13" s="33">
        <v>6</v>
      </c>
      <c r="AD13" s="38">
        <f t="shared" si="6"/>
        <v>5.0518390011511451</v>
      </c>
      <c r="AE13" s="33">
        <f t="shared" si="7"/>
        <v>30</v>
      </c>
      <c r="AF13" s="34">
        <f t="shared" si="8"/>
        <v>151.55517003453434</v>
      </c>
      <c r="AM13" s="32"/>
      <c r="AN13" s="33"/>
      <c r="AO13" s="33"/>
      <c r="AP13" s="34"/>
    </row>
    <row r="14" spans="3:42" x14ac:dyDescent="0.25">
      <c r="C14" s="32">
        <v>6</v>
      </c>
      <c r="D14" s="33">
        <v>6</v>
      </c>
      <c r="E14" s="33">
        <v>36</v>
      </c>
      <c r="F14" s="38">
        <f t="shared" si="0"/>
        <v>4.7713795371477303</v>
      </c>
      <c r="G14" s="38">
        <f t="shared" si="1"/>
        <v>28.628277222886382</v>
      </c>
      <c r="H14" s="87">
        <v>3.5000000000000003E-2</v>
      </c>
      <c r="I14" s="38">
        <f t="shared" si="2"/>
        <v>4.8810038658465169</v>
      </c>
      <c r="J14" s="43">
        <f t="shared" si="3"/>
        <v>29.286023195079103</v>
      </c>
      <c r="L14" s="32"/>
      <c r="M14" s="33"/>
      <c r="N14" s="33"/>
      <c r="O14" s="34"/>
      <c r="Q14" s="32">
        <v>6</v>
      </c>
      <c r="R14" s="87">
        <v>3.7500000000000006E-2</v>
      </c>
      <c r="S14" s="38">
        <f t="shared" si="4"/>
        <v>4.8108588847324523</v>
      </c>
      <c r="T14" s="87">
        <v>3.2500000000000001E-2</v>
      </c>
      <c r="U14" s="43">
        <f t="shared" si="5"/>
        <v>4.9523449620330293</v>
      </c>
      <c r="AB14" s="32">
        <v>6</v>
      </c>
      <c r="AC14" s="33">
        <v>6</v>
      </c>
      <c r="AD14" s="38">
        <f t="shared" si="6"/>
        <v>4.8810038658465169</v>
      </c>
      <c r="AE14" s="33">
        <f t="shared" si="7"/>
        <v>42</v>
      </c>
      <c r="AF14" s="34">
        <f t="shared" si="8"/>
        <v>205.00216236555372</v>
      </c>
      <c r="AM14" s="32"/>
      <c r="AN14" s="87">
        <v>2.5000000000000001E-3</v>
      </c>
      <c r="AO14" s="33"/>
      <c r="AP14" s="114">
        <f>-O15*-AN14+AK9/2*AN14^2</f>
        <v>3.2018837993016927E-2</v>
      </c>
    </row>
    <row r="15" spans="3:42" ht="15.75" thickBot="1" x14ac:dyDescent="0.3">
      <c r="C15" s="32">
        <v>7</v>
      </c>
      <c r="D15" s="33">
        <v>6</v>
      </c>
      <c r="E15" s="33">
        <v>42</v>
      </c>
      <c r="F15" s="38">
        <f t="shared" si="0"/>
        <v>4.5926084009126225</v>
      </c>
      <c r="G15" s="38">
        <f t="shared" si="1"/>
        <v>32.148258806388355</v>
      </c>
      <c r="H15" s="87">
        <v>3.5000000000000003E-2</v>
      </c>
      <c r="I15" s="38">
        <f t="shared" si="2"/>
        <v>4.7159457641029148</v>
      </c>
      <c r="J15" s="43">
        <f t="shared" si="3"/>
        <v>33.011620348720406</v>
      </c>
      <c r="L15" s="35" t="s">
        <v>107</v>
      </c>
      <c r="M15" s="36"/>
      <c r="N15" s="36"/>
      <c r="O15" s="76">
        <f>+O13/(1+F32/1)</f>
        <v>12.541110370782912</v>
      </c>
      <c r="Q15" s="32">
        <v>6</v>
      </c>
      <c r="R15" s="87">
        <v>3.7500000000000006E-2</v>
      </c>
      <c r="S15" s="38">
        <f t="shared" si="4"/>
        <v>4.636972419019231</v>
      </c>
      <c r="T15" s="87">
        <v>3.2500000000000001E-2</v>
      </c>
      <c r="U15" s="43">
        <f t="shared" si="5"/>
        <v>4.7964600116542648</v>
      </c>
      <c r="AB15" s="32">
        <v>7</v>
      </c>
      <c r="AC15" s="33">
        <v>6</v>
      </c>
      <c r="AD15" s="38">
        <f t="shared" si="6"/>
        <v>4.7159457641029148</v>
      </c>
      <c r="AE15" s="33">
        <f t="shared" si="7"/>
        <v>56</v>
      </c>
      <c r="AF15" s="34">
        <f t="shared" si="8"/>
        <v>264.09296278976325</v>
      </c>
      <c r="AM15" s="32"/>
      <c r="AN15" s="33"/>
      <c r="AO15" s="33"/>
      <c r="AP15" s="34"/>
    </row>
    <row r="16" spans="3:42" ht="15.75" thickBot="1" x14ac:dyDescent="0.3">
      <c r="C16" s="32">
        <v>8</v>
      </c>
      <c r="D16" s="33">
        <v>6</v>
      </c>
      <c r="E16" s="33">
        <v>48</v>
      </c>
      <c r="F16" s="38">
        <f t="shared" si="0"/>
        <v>4.4205353524950892</v>
      </c>
      <c r="G16" s="38">
        <f t="shared" si="1"/>
        <v>35.364282819960714</v>
      </c>
      <c r="H16" s="87">
        <v>3.5000000000000003E-2</v>
      </c>
      <c r="I16" s="38">
        <f t="shared" si="2"/>
        <v>4.5564693372975036</v>
      </c>
      <c r="J16" s="43">
        <f t="shared" si="3"/>
        <v>36.451754698380029</v>
      </c>
      <c r="Q16" s="32">
        <v>6</v>
      </c>
      <c r="R16" s="87">
        <v>3.7500000000000006E-2</v>
      </c>
      <c r="S16" s="38">
        <f t="shared" si="4"/>
        <v>4.4693710062835956</v>
      </c>
      <c r="T16" s="87">
        <v>3.2500000000000001E-2</v>
      </c>
      <c r="U16" s="43">
        <f t="shared" si="5"/>
        <v>4.6454818514811285</v>
      </c>
      <c r="AB16" s="32">
        <v>8</v>
      </c>
      <c r="AC16" s="33">
        <v>6</v>
      </c>
      <c r="AD16" s="38">
        <f t="shared" si="6"/>
        <v>4.5564693372975036</v>
      </c>
      <c r="AE16" s="33">
        <f t="shared" si="7"/>
        <v>72</v>
      </c>
      <c r="AF16" s="34">
        <f t="shared" si="8"/>
        <v>328.06579228542023</v>
      </c>
      <c r="AM16" s="32"/>
      <c r="AN16" s="87">
        <v>-2.5000000000000001E-3</v>
      </c>
      <c r="AO16" s="33"/>
      <c r="AP16" s="114">
        <f>-O15*-AN16+AK9/2*AN16^2</f>
        <v>-3.0686713860897635E-2</v>
      </c>
    </row>
    <row r="17" spans="3:42" x14ac:dyDescent="0.25">
      <c r="C17" s="32">
        <v>9</v>
      </c>
      <c r="D17" s="33">
        <v>6</v>
      </c>
      <c r="E17" s="33">
        <v>54</v>
      </c>
      <c r="F17" s="38">
        <f t="shared" si="0"/>
        <v>4.2549094320290299</v>
      </c>
      <c r="G17" s="38">
        <f t="shared" si="1"/>
        <v>38.29418488826127</v>
      </c>
      <c r="H17" s="87">
        <v>3.7499999999999999E-2</v>
      </c>
      <c r="I17" s="38">
        <f t="shared" si="2"/>
        <v>4.3078274759359951</v>
      </c>
      <c r="J17" s="43">
        <f t="shared" si="3"/>
        <v>38.770447283423955</v>
      </c>
      <c r="L17" s="63" t="s">
        <v>108</v>
      </c>
      <c r="M17" s="64"/>
      <c r="N17" s="64"/>
      <c r="O17" s="65"/>
      <c r="Q17" s="32">
        <v>6</v>
      </c>
      <c r="R17" s="87">
        <v>0.04</v>
      </c>
      <c r="S17" s="38">
        <f t="shared" si="4"/>
        <v>4.2155204134729827</v>
      </c>
      <c r="T17" s="87">
        <v>3.4999999999999996E-2</v>
      </c>
      <c r="U17" s="43">
        <f t="shared" si="5"/>
        <v>4.4023858331376848</v>
      </c>
      <c r="AB17" s="32">
        <v>9</v>
      </c>
      <c r="AC17" s="33">
        <v>6</v>
      </c>
      <c r="AD17" s="38">
        <f t="shared" si="6"/>
        <v>4.3078274759359951</v>
      </c>
      <c r="AE17" s="33">
        <f t="shared" si="7"/>
        <v>90</v>
      </c>
      <c r="AF17" s="34">
        <f t="shared" si="8"/>
        <v>387.70447283423954</v>
      </c>
      <c r="AM17" s="32"/>
      <c r="AN17" s="33"/>
      <c r="AO17" s="33"/>
      <c r="AP17" s="34"/>
    </row>
    <row r="18" spans="3:42" x14ac:dyDescent="0.25">
      <c r="C18" s="32">
        <v>10</v>
      </c>
      <c r="D18" s="33">
        <v>6</v>
      </c>
      <c r="E18" s="33">
        <v>60</v>
      </c>
      <c r="F18" s="38">
        <f t="shared" si="0"/>
        <v>4.0954890824594345</v>
      </c>
      <c r="G18" s="38">
        <f t="shared" si="1"/>
        <v>40.954890824594344</v>
      </c>
      <c r="H18" s="87">
        <v>3.7499999999999999E-2</v>
      </c>
      <c r="I18" s="38">
        <f t="shared" si="2"/>
        <v>4.1521228683720421</v>
      </c>
      <c r="J18" s="43">
        <f t="shared" si="3"/>
        <v>41.521228683720423</v>
      </c>
      <c r="L18" s="94"/>
      <c r="M18" s="95"/>
      <c r="N18" s="95"/>
      <c r="O18" s="96"/>
      <c r="Q18" s="32">
        <v>6</v>
      </c>
      <c r="R18" s="87">
        <v>0.04</v>
      </c>
      <c r="S18" s="38">
        <f t="shared" si="4"/>
        <v>4.0533850129547915</v>
      </c>
      <c r="T18" s="87">
        <v>3.4999999999999996E-2</v>
      </c>
      <c r="U18" s="43">
        <f t="shared" si="5"/>
        <v>4.253512882258633</v>
      </c>
      <c r="AB18" s="32">
        <v>10</v>
      </c>
      <c r="AC18" s="33">
        <v>6</v>
      </c>
      <c r="AD18" s="38">
        <f t="shared" si="6"/>
        <v>4.1521228683720421</v>
      </c>
      <c r="AE18" s="33">
        <f t="shared" si="7"/>
        <v>110</v>
      </c>
      <c r="AF18" s="34">
        <f t="shared" si="8"/>
        <v>456.73351552092464</v>
      </c>
      <c r="AM18" s="32" t="s">
        <v>133</v>
      </c>
      <c r="AN18" s="33"/>
      <c r="AO18" s="33"/>
      <c r="AP18" s="34"/>
    </row>
    <row r="19" spans="3:42" x14ac:dyDescent="0.25">
      <c r="C19" s="32">
        <v>11</v>
      </c>
      <c r="D19" s="33">
        <v>6</v>
      </c>
      <c r="E19" s="33">
        <v>66</v>
      </c>
      <c r="F19" s="38">
        <f t="shared" si="0"/>
        <v>3.9420417972435899</v>
      </c>
      <c r="G19" s="38">
        <f t="shared" si="1"/>
        <v>43.362459769679489</v>
      </c>
      <c r="H19" s="87">
        <v>3.7499999999999999E-2</v>
      </c>
      <c r="I19" s="38">
        <f t="shared" si="2"/>
        <v>4.0020461381899208</v>
      </c>
      <c r="J19" s="43">
        <f t="shared" si="3"/>
        <v>44.022507520089128</v>
      </c>
      <c r="L19" s="69" t="s">
        <v>109</v>
      </c>
      <c r="M19" s="70"/>
      <c r="N19" s="70"/>
      <c r="O19" s="97">
        <f>DATE(2008,1,1)</f>
        <v>39448</v>
      </c>
      <c r="Q19" s="32">
        <v>6</v>
      </c>
      <c r="R19" s="87">
        <v>0.04</v>
      </c>
      <c r="S19" s="38">
        <f t="shared" si="4"/>
        <v>3.8974855893796074</v>
      </c>
      <c r="T19" s="87">
        <v>3.4999999999999996E-2</v>
      </c>
      <c r="U19" s="43">
        <f t="shared" si="5"/>
        <v>4.109674282375491</v>
      </c>
      <c r="AB19" s="32">
        <v>11</v>
      </c>
      <c r="AC19" s="33">
        <v>6</v>
      </c>
      <c r="AD19" s="38">
        <f t="shared" si="6"/>
        <v>4.0020461381899208</v>
      </c>
      <c r="AE19" s="33">
        <f t="shared" si="7"/>
        <v>132</v>
      </c>
      <c r="AF19" s="34">
        <f t="shared" si="8"/>
        <v>528.27009024106951</v>
      </c>
      <c r="AM19" s="32"/>
      <c r="AN19" s="33"/>
      <c r="AO19" s="33"/>
      <c r="AP19" s="34"/>
    </row>
    <row r="20" spans="3:42" x14ac:dyDescent="0.25">
      <c r="C20" s="32">
        <v>12</v>
      </c>
      <c r="D20" s="33">
        <v>6</v>
      </c>
      <c r="E20" s="33">
        <v>72</v>
      </c>
      <c r="F20" s="38">
        <f t="shared" si="0"/>
        <v>3.7943437812520147</v>
      </c>
      <c r="G20" s="38">
        <f t="shared" si="1"/>
        <v>45.532125375024179</v>
      </c>
      <c r="H20" s="87">
        <v>3.7499999999999999E-2</v>
      </c>
      <c r="I20" s="38">
        <f t="shared" si="2"/>
        <v>3.8573938681348623</v>
      </c>
      <c r="J20" s="43">
        <f t="shared" si="3"/>
        <v>46.288726417618349</v>
      </c>
      <c r="L20" s="69" t="s">
        <v>110</v>
      </c>
      <c r="M20" s="70"/>
      <c r="N20" s="70"/>
      <c r="O20" s="97">
        <f>DATE(2028,1,1)</f>
        <v>46753</v>
      </c>
      <c r="Q20" s="32">
        <v>6</v>
      </c>
      <c r="R20" s="87">
        <v>0.04</v>
      </c>
      <c r="S20" s="38">
        <f t="shared" si="4"/>
        <v>3.747582297480391</v>
      </c>
      <c r="T20" s="87">
        <v>3.4999999999999996E-2</v>
      </c>
      <c r="U20" s="43">
        <f t="shared" si="5"/>
        <v>3.9706997897347738</v>
      </c>
      <c r="AB20" s="32">
        <v>12</v>
      </c>
      <c r="AC20" s="33">
        <v>6</v>
      </c>
      <c r="AD20" s="38">
        <f t="shared" si="6"/>
        <v>3.8573938681348623</v>
      </c>
      <c r="AE20" s="33">
        <f t="shared" si="7"/>
        <v>156</v>
      </c>
      <c r="AF20" s="34">
        <f t="shared" si="8"/>
        <v>601.7534434290385</v>
      </c>
      <c r="AM20" s="32"/>
      <c r="AN20" s="87">
        <v>2.5000000000000001E-3</v>
      </c>
      <c r="AO20" s="33"/>
      <c r="AP20" s="114">
        <f>-Z7*-AN20+AK11/2*AN20^2</f>
        <v>3.2029588873099021E-2</v>
      </c>
    </row>
    <row r="21" spans="3:42" x14ac:dyDescent="0.25">
      <c r="C21" s="32">
        <v>13</v>
      </c>
      <c r="D21" s="33">
        <v>6</v>
      </c>
      <c r="E21" s="33">
        <v>78</v>
      </c>
      <c r="F21" s="38">
        <f t="shared" si="0"/>
        <v>3.6521796243745408</v>
      </c>
      <c r="G21" s="38">
        <f t="shared" si="1"/>
        <v>47.478335116869033</v>
      </c>
      <c r="H21" s="87">
        <v>3.7499999999999999E-2</v>
      </c>
      <c r="I21" s="38">
        <f t="shared" si="2"/>
        <v>3.7179699933829995</v>
      </c>
      <c r="J21" s="43">
        <f t="shared" si="3"/>
        <v>48.333609913978997</v>
      </c>
      <c r="L21" s="69" t="s">
        <v>111</v>
      </c>
      <c r="M21" s="70"/>
      <c r="N21" s="70"/>
      <c r="O21" s="98">
        <v>0.06</v>
      </c>
      <c r="Q21" s="32">
        <v>6</v>
      </c>
      <c r="R21" s="87">
        <v>0.04</v>
      </c>
      <c r="S21" s="38">
        <f t="shared" si="4"/>
        <v>3.603444516808068</v>
      </c>
      <c r="T21" s="87">
        <v>3.4999999999999996E-2</v>
      </c>
      <c r="U21" s="43">
        <f t="shared" si="5"/>
        <v>3.8364249176181398</v>
      </c>
      <c r="AB21" s="32">
        <v>13</v>
      </c>
      <c r="AC21" s="33">
        <v>6</v>
      </c>
      <c r="AD21" s="38">
        <f t="shared" si="6"/>
        <v>3.7179699933829995</v>
      </c>
      <c r="AE21" s="33">
        <f t="shared" si="7"/>
        <v>182</v>
      </c>
      <c r="AF21" s="34">
        <f t="shared" si="8"/>
        <v>676.67053879570585</v>
      </c>
      <c r="AM21" s="32"/>
      <c r="AN21" s="33"/>
      <c r="AO21" s="33"/>
      <c r="AP21" s="34"/>
    </row>
    <row r="22" spans="3:42" ht="15.75" thickBot="1" x14ac:dyDescent="0.3">
      <c r="C22" s="32">
        <v>14</v>
      </c>
      <c r="D22" s="33">
        <v>6</v>
      </c>
      <c r="E22" s="33">
        <v>84</v>
      </c>
      <c r="F22" s="38">
        <f t="shared" si="0"/>
        <v>3.5153419873555327</v>
      </c>
      <c r="G22" s="38">
        <f t="shared" si="1"/>
        <v>49.214787822977456</v>
      </c>
      <c r="H22" s="87">
        <v>3.7499999999999999E-2</v>
      </c>
      <c r="I22" s="38">
        <f t="shared" si="2"/>
        <v>3.5835855357908426</v>
      </c>
      <c r="J22" s="43">
        <f t="shared" si="3"/>
        <v>50.170197501071797</v>
      </c>
      <c r="L22" s="69" t="s">
        <v>112</v>
      </c>
      <c r="M22" s="70"/>
      <c r="N22" s="70"/>
      <c r="O22" s="99">
        <f>+F32</f>
        <v>3.8925839224520642E-2</v>
      </c>
      <c r="Q22" s="32">
        <v>6</v>
      </c>
      <c r="R22" s="87">
        <v>0.04</v>
      </c>
      <c r="S22" s="38">
        <f t="shared" si="4"/>
        <v>3.4648504969308345</v>
      </c>
      <c r="T22" s="87">
        <v>3.4999999999999996E-2</v>
      </c>
      <c r="U22" s="43">
        <f t="shared" si="5"/>
        <v>3.7066907416600383</v>
      </c>
      <c r="AB22" s="32">
        <v>14</v>
      </c>
      <c r="AC22" s="33">
        <v>6</v>
      </c>
      <c r="AD22" s="38">
        <f t="shared" si="6"/>
        <v>3.5835855357908426</v>
      </c>
      <c r="AE22" s="33">
        <f t="shared" si="7"/>
        <v>210</v>
      </c>
      <c r="AF22" s="34">
        <f t="shared" si="8"/>
        <v>752.55296251607695</v>
      </c>
      <c r="AM22" s="35"/>
      <c r="AN22" s="88">
        <v>-2.5000000000000001E-3</v>
      </c>
      <c r="AO22" s="36"/>
      <c r="AP22" s="115">
        <f>-Z7*-AN22+AK11/2*AN22^2</f>
        <v>-3.0698319285812986E-2</v>
      </c>
    </row>
    <row r="23" spans="3:42" x14ac:dyDescent="0.25">
      <c r="C23" s="32">
        <v>15</v>
      </c>
      <c r="D23" s="33">
        <v>6</v>
      </c>
      <c r="E23" s="33">
        <v>90</v>
      </c>
      <c r="F23" s="38">
        <f t="shared" si="0"/>
        <v>3.3836312994000308</v>
      </c>
      <c r="G23" s="38">
        <f t="shared" si="1"/>
        <v>50.754469491000464</v>
      </c>
      <c r="H23" s="87">
        <v>3.7499999999999999E-2</v>
      </c>
      <c r="I23" s="38">
        <f t="shared" si="2"/>
        <v>3.4540583477502098</v>
      </c>
      <c r="J23" s="43">
        <f t="shared" si="3"/>
        <v>51.810875216253145</v>
      </c>
      <c r="L23" s="69" t="s">
        <v>113</v>
      </c>
      <c r="M23" s="70"/>
      <c r="N23" s="70"/>
      <c r="O23" s="72">
        <v>1</v>
      </c>
      <c r="Q23" s="32">
        <v>6</v>
      </c>
      <c r="R23" s="87">
        <v>0.04</v>
      </c>
      <c r="S23" s="38">
        <f t="shared" si="4"/>
        <v>3.331587016279649</v>
      </c>
      <c r="T23" s="87">
        <v>3.4999999999999996E-2</v>
      </c>
      <c r="U23" s="43">
        <f t="shared" si="5"/>
        <v>3.5813437117488296</v>
      </c>
      <c r="AB23" s="32">
        <v>15</v>
      </c>
      <c r="AC23" s="33">
        <v>6</v>
      </c>
      <c r="AD23" s="38">
        <f t="shared" si="6"/>
        <v>3.4540583477502098</v>
      </c>
      <c r="AE23" s="33">
        <f t="shared" si="7"/>
        <v>240</v>
      </c>
      <c r="AF23" s="34">
        <f t="shared" si="8"/>
        <v>828.97400346005031</v>
      </c>
    </row>
    <row r="24" spans="3:42" x14ac:dyDescent="0.25">
      <c r="C24" s="32">
        <v>16</v>
      </c>
      <c r="D24" s="33">
        <v>6</v>
      </c>
      <c r="E24" s="33">
        <v>96</v>
      </c>
      <c r="F24" s="38">
        <f t="shared" si="0"/>
        <v>3.2568554671098129</v>
      </c>
      <c r="G24" s="38">
        <f t="shared" si="1"/>
        <v>52.109687473757006</v>
      </c>
      <c r="H24" s="87">
        <v>3.7499999999999999E-2</v>
      </c>
      <c r="I24" s="38">
        <f t="shared" si="2"/>
        <v>3.3292128653014061</v>
      </c>
      <c r="J24" s="43">
        <f t="shared" si="3"/>
        <v>53.267405844822498</v>
      </c>
      <c r="L24" s="69" t="s">
        <v>114</v>
      </c>
      <c r="M24" s="70"/>
      <c r="N24" s="70"/>
      <c r="O24" s="72">
        <v>1</v>
      </c>
      <c r="Q24" s="32">
        <v>6</v>
      </c>
      <c r="R24" s="87">
        <v>0.04</v>
      </c>
      <c r="S24" s="38">
        <f t="shared" si="4"/>
        <v>3.2034490541150462</v>
      </c>
      <c r="T24" s="87">
        <v>3.4999999999999996E-2</v>
      </c>
      <c r="U24" s="43">
        <f t="shared" si="5"/>
        <v>3.4602354702887248</v>
      </c>
      <c r="AB24" s="32">
        <v>16</v>
      </c>
      <c r="AC24" s="33">
        <v>6</v>
      </c>
      <c r="AD24" s="38">
        <f t="shared" si="6"/>
        <v>3.3292128653014061</v>
      </c>
      <c r="AE24" s="33">
        <f t="shared" si="7"/>
        <v>272</v>
      </c>
      <c r="AF24" s="34">
        <f t="shared" si="8"/>
        <v>905.54589936198249</v>
      </c>
    </row>
    <row r="25" spans="3:42" x14ac:dyDescent="0.25">
      <c r="C25" s="32">
        <v>17</v>
      </c>
      <c r="D25" s="33">
        <v>6</v>
      </c>
      <c r="E25" s="33">
        <v>102</v>
      </c>
      <c r="F25" s="38">
        <f t="shared" si="0"/>
        <v>3.1348295943248545</v>
      </c>
      <c r="G25" s="38">
        <f t="shared" si="1"/>
        <v>53.292103103522528</v>
      </c>
      <c r="H25" s="87">
        <v>0.04</v>
      </c>
      <c r="I25" s="38">
        <f t="shared" si="2"/>
        <v>3.0802394751106212</v>
      </c>
      <c r="J25" s="43">
        <f t="shared" si="3"/>
        <v>52.364071076880563</v>
      </c>
      <c r="L25" s="100"/>
      <c r="M25" s="101"/>
      <c r="N25" s="101"/>
      <c r="O25" s="102"/>
      <c r="Q25" s="32">
        <v>6</v>
      </c>
      <c r="R25" s="87">
        <v>4.2500000000000003E-2</v>
      </c>
      <c r="S25" s="38">
        <f t="shared" si="4"/>
        <v>2.957046598588124</v>
      </c>
      <c r="T25" s="87">
        <v>3.7499999999999999E-2</v>
      </c>
      <c r="U25" s="43">
        <f t="shared" si="5"/>
        <v>3.2088798701700298</v>
      </c>
      <c r="AB25" s="32">
        <v>17</v>
      </c>
      <c r="AC25" s="33">
        <v>6</v>
      </c>
      <c r="AD25" s="38">
        <f t="shared" si="6"/>
        <v>3.0802394751106212</v>
      </c>
      <c r="AE25" s="33">
        <f t="shared" si="7"/>
        <v>306</v>
      </c>
      <c r="AF25" s="34">
        <f t="shared" si="8"/>
        <v>942.55327938385005</v>
      </c>
    </row>
    <row r="26" spans="3:42" x14ac:dyDescent="0.25">
      <c r="C26" s="32">
        <v>18</v>
      </c>
      <c r="D26" s="33">
        <v>6</v>
      </c>
      <c r="E26" s="33">
        <v>108</v>
      </c>
      <c r="F26" s="38">
        <f t="shared" si="0"/>
        <v>3.0173757124616007</v>
      </c>
      <c r="G26" s="38">
        <f t="shared" si="1"/>
        <v>54.312762824308813</v>
      </c>
      <c r="H26" s="87">
        <v>0.04</v>
      </c>
      <c r="I26" s="38">
        <f t="shared" si="2"/>
        <v>2.9617687260679051</v>
      </c>
      <c r="J26" s="43">
        <f t="shared" si="3"/>
        <v>53.311837069222292</v>
      </c>
      <c r="L26" s="69" t="s">
        <v>115</v>
      </c>
      <c r="M26" s="70"/>
      <c r="N26" s="70"/>
      <c r="O26" s="71">
        <f>DURATION(O19,O20,O21,O22,O23,O24)</f>
        <v>13.130406936396648</v>
      </c>
      <c r="Q26" s="32">
        <v>6</v>
      </c>
      <c r="R26" s="87">
        <v>4.2500000000000003E-2</v>
      </c>
      <c r="S26" s="38">
        <f t="shared" si="4"/>
        <v>2.8364955382140278</v>
      </c>
      <c r="T26" s="87">
        <v>3.7499999999999999E-2</v>
      </c>
      <c r="U26" s="43">
        <f t="shared" si="5"/>
        <v>3.0928962604048476</v>
      </c>
      <c r="AB26" s="32">
        <v>18</v>
      </c>
      <c r="AC26" s="33">
        <v>6</v>
      </c>
      <c r="AD26" s="38">
        <f t="shared" si="6"/>
        <v>2.9617687260679051</v>
      </c>
      <c r="AE26" s="33">
        <f t="shared" si="7"/>
        <v>342</v>
      </c>
      <c r="AF26" s="34">
        <f t="shared" si="8"/>
        <v>1012.9249043152236</v>
      </c>
    </row>
    <row r="27" spans="3:42" x14ac:dyDescent="0.25">
      <c r="C27" s="32">
        <v>19</v>
      </c>
      <c r="D27" s="33">
        <v>6</v>
      </c>
      <c r="E27" s="33">
        <v>114</v>
      </c>
      <c r="F27" s="38">
        <f t="shared" si="0"/>
        <v>2.9043225209547607</v>
      </c>
      <c r="G27" s="38">
        <f t="shared" si="1"/>
        <v>55.18212789814045</v>
      </c>
      <c r="H27" s="87">
        <v>0.04</v>
      </c>
      <c r="I27" s="38">
        <f t="shared" si="2"/>
        <v>2.8478545442960623</v>
      </c>
      <c r="J27" s="43">
        <f t="shared" si="3"/>
        <v>54.109236341625184</v>
      </c>
      <c r="L27" s="69"/>
      <c r="M27" s="70"/>
      <c r="N27" s="70"/>
      <c r="O27" s="72"/>
      <c r="Q27" s="32">
        <v>6</v>
      </c>
      <c r="R27" s="87">
        <v>4.2500000000000003E-2</v>
      </c>
      <c r="S27" s="38">
        <f t="shared" si="4"/>
        <v>2.7208590294618968</v>
      </c>
      <c r="T27" s="87">
        <v>3.7499999999999999E-2</v>
      </c>
      <c r="U27" s="43">
        <f t="shared" si="5"/>
        <v>2.9811048293058771</v>
      </c>
      <c r="AB27" s="32">
        <v>19</v>
      </c>
      <c r="AC27" s="33">
        <v>6</v>
      </c>
      <c r="AD27" s="38">
        <f t="shared" si="6"/>
        <v>2.8478545442960623</v>
      </c>
      <c r="AE27" s="33">
        <f t="shared" si="7"/>
        <v>380</v>
      </c>
      <c r="AF27" s="34">
        <f t="shared" si="8"/>
        <v>1082.1847268325037</v>
      </c>
    </row>
    <row r="28" spans="3:42" ht="15.75" thickBot="1" x14ac:dyDescent="0.3">
      <c r="C28" s="32">
        <v>20</v>
      </c>
      <c r="D28" s="33">
        <v>106</v>
      </c>
      <c r="E28" s="33">
        <v>2120</v>
      </c>
      <c r="F28" s="38">
        <f t="shared" si="0"/>
        <v>49.38725742782524</v>
      </c>
      <c r="G28" s="38">
        <f t="shared" si="1"/>
        <v>987.74514855650477</v>
      </c>
      <c r="H28" s="87">
        <v>0.04</v>
      </c>
      <c r="I28" s="38">
        <f t="shared" si="2"/>
        <v>48.377016297336958</v>
      </c>
      <c r="J28" s="43">
        <f t="shared" si="3"/>
        <v>967.54032594673913</v>
      </c>
      <c r="L28" s="69" t="s">
        <v>107</v>
      </c>
      <c r="M28" s="70"/>
      <c r="N28" s="70"/>
      <c r="O28" s="71">
        <f>MDURATION(O19,O20,O21,O22,O23,O24)</f>
        <v>12.638444863588628</v>
      </c>
      <c r="Q28" s="35">
        <v>106</v>
      </c>
      <c r="R28" s="88">
        <v>4.2500000000000003E-2</v>
      </c>
      <c r="S28" s="44">
        <f t="shared" si="4"/>
        <v>46.108882034046538</v>
      </c>
      <c r="T28" s="88">
        <v>3.7499999999999999E-2</v>
      </c>
      <c r="U28" s="76">
        <f t="shared" si="5"/>
        <v>50.762588258059907</v>
      </c>
      <c r="AB28" s="35">
        <v>20</v>
      </c>
      <c r="AC28" s="36">
        <v>106</v>
      </c>
      <c r="AD28" s="44">
        <f t="shared" si="6"/>
        <v>48.377016297336958</v>
      </c>
      <c r="AE28" s="36">
        <f t="shared" si="7"/>
        <v>420</v>
      </c>
      <c r="AF28" s="37">
        <f t="shared" si="8"/>
        <v>20318.346844881522</v>
      </c>
    </row>
    <row r="29" spans="3:42" ht="15.75" thickBot="1" x14ac:dyDescent="0.3">
      <c r="C29" s="18"/>
      <c r="D29" s="19"/>
      <c r="E29" s="19"/>
      <c r="F29" s="19"/>
      <c r="G29" s="19"/>
      <c r="H29" s="19"/>
      <c r="I29" s="19"/>
      <c r="J29" s="20"/>
      <c r="L29" s="103"/>
      <c r="M29" s="104"/>
      <c r="N29" s="104"/>
      <c r="O29" s="105"/>
      <c r="Q29" s="18"/>
      <c r="R29" s="19"/>
      <c r="S29" s="19"/>
      <c r="T29" s="19"/>
      <c r="U29" s="20"/>
      <c r="AB29" s="18"/>
      <c r="AC29" s="19"/>
      <c r="AD29" s="19"/>
      <c r="AE29" s="19"/>
      <c r="AF29" s="20"/>
    </row>
    <row r="30" spans="3:42" ht="15.75" thickBot="1" x14ac:dyDescent="0.3">
      <c r="C30" s="15" t="s">
        <v>16</v>
      </c>
      <c r="D30" s="16">
        <f>SUM(D9:D28)</f>
        <v>220</v>
      </c>
      <c r="E30" s="16">
        <f>SUM(E9:E29)</f>
        <v>3260</v>
      </c>
      <c r="F30" s="45">
        <f>SUM(F9:F29)</f>
        <v>128.91482936248943</v>
      </c>
      <c r="G30" s="45">
        <f>SUM(G9:G29)</f>
        <v>1692.7041696656215</v>
      </c>
      <c r="H30" s="16"/>
      <c r="I30" s="45">
        <f>SUM(I9:I28)</f>
        <v>128.91482935574123</v>
      </c>
      <c r="J30" s="82">
        <f>SUM(J9:J28)</f>
        <v>1679.6678740838431</v>
      </c>
      <c r="Q30" s="15" t="s">
        <v>16</v>
      </c>
      <c r="R30" s="16"/>
      <c r="S30" s="45">
        <f>SUM(S9:S28)</f>
        <v>124.95736076350261</v>
      </c>
      <c r="T30" s="16"/>
      <c r="U30" s="82">
        <f>SUM(U9:U28)</f>
        <v>133.04391833965136</v>
      </c>
      <c r="AB30" s="15" t="s">
        <v>16</v>
      </c>
      <c r="AC30" s="16">
        <f>SUM(AC9:AC28)</f>
        <v>220</v>
      </c>
      <c r="AD30" s="16"/>
      <c r="AE30" s="16"/>
      <c r="AF30" s="21">
        <f>SUM(AF9:AF28)</f>
        <v>29657.644299291125</v>
      </c>
    </row>
    <row r="31" spans="3:42" ht="15.75" thickBot="1" x14ac:dyDescent="0.3"/>
    <row r="32" spans="3:42" ht="15.75" thickBot="1" x14ac:dyDescent="0.3">
      <c r="E32" s="92" t="s">
        <v>102</v>
      </c>
      <c r="F32" s="93">
        <f>IRR(F34:F5428)</f>
        <v>3.8925839224520642E-2</v>
      </c>
    </row>
    <row r="34" spans="6:6" x14ac:dyDescent="0.25">
      <c r="F34" s="1">
        <f>-I30</f>
        <v>-128.91482935574123</v>
      </c>
    </row>
    <row r="35" spans="6:6" x14ac:dyDescent="0.25">
      <c r="F35">
        <f>+D9</f>
        <v>6</v>
      </c>
    </row>
    <row r="36" spans="6:6" x14ac:dyDescent="0.25">
      <c r="F36">
        <f t="shared" ref="F36:F54" si="9">+D10</f>
        <v>6</v>
      </c>
    </row>
    <row r="37" spans="6:6" x14ac:dyDescent="0.25">
      <c r="F37">
        <f t="shared" si="9"/>
        <v>6</v>
      </c>
    </row>
    <row r="38" spans="6:6" x14ac:dyDescent="0.25">
      <c r="F38">
        <f t="shared" si="9"/>
        <v>6</v>
      </c>
    </row>
    <row r="39" spans="6:6" x14ac:dyDescent="0.25">
      <c r="F39">
        <f t="shared" si="9"/>
        <v>6</v>
      </c>
    </row>
    <row r="40" spans="6:6" x14ac:dyDescent="0.25">
      <c r="F40">
        <f t="shared" si="9"/>
        <v>6</v>
      </c>
    </row>
    <row r="41" spans="6:6" x14ac:dyDescent="0.25">
      <c r="F41">
        <f t="shared" si="9"/>
        <v>6</v>
      </c>
    </row>
    <row r="42" spans="6:6" x14ac:dyDescent="0.25">
      <c r="F42">
        <f t="shared" si="9"/>
        <v>6</v>
      </c>
    </row>
    <row r="43" spans="6:6" x14ac:dyDescent="0.25">
      <c r="F43">
        <f t="shared" si="9"/>
        <v>6</v>
      </c>
    </row>
    <row r="44" spans="6:6" x14ac:dyDescent="0.25">
      <c r="F44">
        <f t="shared" si="9"/>
        <v>6</v>
      </c>
    </row>
    <row r="45" spans="6:6" x14ac:dyDescent="0.25">
      <c r="F45">
        <f t="shared" si="9"/>
        <v>6</v>
      </c>
    </row>
    <row r="46" spans="6:6" x14ac:dyDescent="0.25">
      <c r="F46">
        <f t="shared" si="9"/>
        <v>6</v>
      </c>
    </row>
    <row r="47" spans="6:6" x14ac:dyDescent="0.25">
      <c r="F47">
        <f t="shared" si="9"/>
        <v>6</v>
      </c>
    </row>
    <row r="48" spans="6:6" x14ac:dyDescent="0.25">
      <c r="F48">
        <f t="shared" si="9"/>
        <v>6</v>
      </c>
    </row>
    <row r="49" spans="6:6" x14ac:dyDescent="0.25">
      <c r="F49">
        <f t="shared" si="9"/>
        <v>6</v>
      </c>
    </row>
    <row r="50" spans="6:6" x14ac:dyDescent="0.25">
      <c r="F50">
        <f t="shared" si="9"/>
        <v>6</v>
      </c>
    </row>
    <row r="51" spans="6:6" x14ac:dyDescent="0.25">
      <c r="F51">
        <f t="shared" si="9"/>
        <v>6</v>
      </c>
    </row>
    <row r="52" spans="6:6" x14ac:dyDescent="0.25">
      <c r="F52">
        <f t="shared" si="9"/>
        <v>6</v>
      </c>
    </row>
    <row r="53" spans="6:6" x14ac:dyDescent="0.25">
      <c r="F53">
        <f t="shared" si="9"/>
        <v>6</v>
      </c>
    </row>
    <row r="54" spans="6:6" x14ac:dyDescent="0.25">
      <c r="F54">
        <f t="shared" si="9"/>
        <v>106</v>
      </c>
    </row>
    <row r="71" spans="12:12" x14ac:dyDescent="0.25">
      <c r="L71" s="2" t="s">
        <v>463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6</vt:i4>
      </vt:variant>
    </vt:vector>
  </HeadingPairs>
  <TitlesOfParts>
    <vt:vector size="46" baseType="lpstr">
      <vt:lpstr>Contents</vt:lpstr>
      <vt:lpstr>Return Calculations</vt:lpstr>
      <vt:lpstr>Benchmarks</vt:lpstr>
      <vt:lpstr> Descriptive Statistics</vt:lpstr>
      <vt:lpstr>Appraisal Measures</vt:lpstr>
      <vt:lpstr>Regression Analysis</vt:lpstr>
      <vt:lpstr>Drawdown</vt:lpstr>
      <vt:lpstr>Partial Moments</vt:lpstr>
      <vt:lpstr>Fixed Income Risk</vt:lpstr>
      <vt:lpstr>Risk-adjusted return</vt:lpstr>
      <vt:lpstr>Brinson, Hood &amp; Beebower </vt:lpstr>
      <vt:lpstr>Brinson &amp; Fachler</vt:lpstr>
      <vt:lpstr>Including  Interaction</vt:lpstr>
      <vt:lpstr>Geometric</vt:lpstr>
      <vt:lpstr>Attribution after cashflow</vt:lpstr>
      <vt:lpstr>Security Level</vt:lpstr>
      <vt:lpstr>Off- benchmark</vt:lpstr>
      <vt:lpstr>Investment Decision Process</vt:lpstr>
      <vt:lpstr>Market Neutral, Leverage etc</vt:lpstr>
      <vt:lpstr>Attribution with Futures</vt:lpstr>
      <vt:lpstr>Attribution including options</vt:lpstr>
      <vt:lpstr>Ankrim &amp; Hensel</vt:lpstr>
      <vt:lpstr>Karnosky &amp; Singer</vt:lpstr>
      <vt:lpstr>Naive Multi-Currency</vt:lpstr>
      <vt:lpstr>Multi-Currency Geometric</vt:lpstr>
      <vt:lpstr>Currency including timing </vt:lpstr>
      <vt:lpstr>Interest rate differentials</vt:lpstr>
      <vt:lpstr>Currency plus forwards</vt:lpstr>
      <vt:lpstr>Weighted Duration</vt:lpstr>
      <vt:lpstr>Campisi</vt:lpstr>
      <vt:lpstr>Yield Curve Decomposition</vt:lpstr>
      <vt:lpstr>Carino Smoothing</vt:lpstr>
      <vt:lpstr>Menchero Smoothing</vt:lpstr>
      <vt:lpstr>GRAP Method</vt:lpstr>
      <vt:lpstr>Frongello Method</vt:lpstr>
      <vt:lpstr>Multi-period Geometric</vt:lpstr>
      <vt:lpstr>Annualised Contributions</vt:lpstr>
      <vt:lpstr>Risk-adjusted Attribution</vt:lpstr>
      <vt:lpstr>Multi-level</vt:lpstr>
      <vt:lpstr>Balanced</vt:lpstr>
      <vt:lpstr>Balanced!Print_Area</vt:lpstr>
      <vt:lpstr>Campisi!Print_Area</vt:lpstr>
      <vt:lpstr>'Karnosky &amp; Singer'!Print_Area</vt:lpstr>
      <vt:lpstr>'Market Neutral, Leverage etc'!Print_Area</vt:lpstr>
      <vt:lpstr>'Regression Analysis'!Print_Area</vt:lpstr>
      <vt:lpstr>'Weighted Duration'!Print_Area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cp:lastPrinted>2021-07-27T13:39:53Z</cp:lastPrinted>
  <dcterms:created xsi:type="dcterms:W3CDTF">2013-07-15T09:59:19Z</dcterms:created>
  <dcterms:modified xsi:type="dcterms:W3CDTF">2022-12-20T12:08:37Z</dcterms:modified>
</cp:coreProperties>
</file>